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3"/>
  <workbookPr codeName="ThisWorkbook" defaultThemeVersion="124226"/>
  <mc:AlternateContent xmlns:mc="http://schemas.openxmlformats.org/markup-compatibility/2006">
    <mc:Choice Requires="x15">
      <x15ac:absPath xmlns:x15ac="http://schemas.microsoft.com/office/spreadsheetml/2010/11/ac" url="S:\FCRPS BiOp and AMIP Reporting\Adult Conversion Rates\Most current Adult survival\"/>
    </mc:Choice>
  </mc:AlternateContent>
  <xr:revisionPtr revIDLastSave="0" documentId="13_ncr:1_{2FAD3B97-0D75-459A-8705-C7DD550192BB}" xr6:coauthVersionLast="36" xr6:coauthVersionMax="36" xr10:uidLastSave="{00000000-0000-0000-0000-000000000000}"/>
  <bookViews>
    <workbookView xWindow="7056" yWindow="0" windowWidth="16200" windowHeight="25032" tabRatio="624" firstSheet="7" activeTab="10" xr2:uid="{00000000-000D-0000-FFFF-FFFF00000000}"/>
  </bookViews>
  <sheets>
    <sheet name="Notes" sheetId="6" r:id="rId1"/>
    <sheet name="new summary chart" sheetId="28" r:id="rId2"/>
    <sheet name="Data summary for graphs" sheetId="24" r:id="rId3"/>
    <sheet name="Summary Chart" sheetId="26" r:id="rId4"/>
    <sheet name="MIDC Sthd (2)" sheetId="27" r:id="rId5"/>
    <sheet name="All SR Fall" sheetId="32" r:id="rId6"/>
    <sheet name="SR Fall Chin" sheetId="13" r:id="rId7"/>
    <sheet name="SRSS all" sheetId="31" r:id="rId8"/>
    <sheet name="SR Spr-Sum Chin" sheetId="12" r:id="rId9"/>
    <sheet name="sockye by year" sheetId="29" r:id="rId10"/>
    <sheet name="SR Sockeye" sheetId="18" r:id="rId11"/>
    <sheet name="SR Sthd" sheetId="16" r:id="rId12"/>
    <sheet name="UC all" sheetId="30" r:id="rId13"/>
    <sheet name="UCR Spr Chin" sheetId="14" r:id="rId14"/>
    <sheet name="UCR Sthd" sheetId="15" r:id="rId15"/>
  </sheets>
  <externalReferences>
    <externalReference r:id="rId16"/>
  </externalReferences>
  <definedNames>
    <definedName name="_xlnm.Print_Area" localSheetId="2">'Data summary for graphs'!$A$1:$Q$154</definedName>
    <definedName name="_xlnm.Print_Area" localSheetId="4">'MIDC Sthd (2)'!$A$1:$V$52</definedName>
    <definedName name="_xlnm.Print_Area" localSheetId="0">Notes!$A$1:$C$30</definedName>
    <definedName name="_xlnm.Print_Area" localSheetId="6">'SR Fall Chin'!$A$1:$AW$73</definedName>
    <definedName name="_xlnm.Print_Area" localSheetId="10">'SR Sockeye'!$A$1:$W$53</definedName>
    <definedName name="_xlnm.Print_Area" localSheetId="8">'SR Spr-Sum Chin'!$A$1:$W$90</definedName>
    <definedName name="_xlnm.Print_Area" localSheetId="11">'SR Sthd'!$A$1:$W$77</definedName>
    <definedName name="_xlnm.Print_Area" localSheetId="13">'UCR Spr Chin'!$A$1:$V$38</definedName>
    <definedName name="_xlnm.Print_Area" localSheetId="14">'UCR Sthd'!$A$1:$V$52</definedName>
  </definedNames>
  <calcPr calcId="191029"/>
</workbook>
</file>

<file path=xl/calcChain.xml><?xml version="1.0" encoding="utf-8"?>
<calcChain xmlns="http://schemas.openxmlformats.org/spreadsheetml/2006/main">
  <c r="M29" i="18" l="1"/>
  <c r="M31" i="18"/>
  <c r="G28" i="14"/>
  <c r="G29" i="14"/>
  <c r="G30" i="14"/>
  <c r="G31" i="14"/>
  <c r="G27" i="14"/>
  <c r="N61" i="12"/>
  <c r="O61" i="12"/>
  <c r="K28" i="13"/>
  <c r="L28" i="13"/>
  <c r="M28" i="13"/>
  <c r="K29" i="13"/>
  <c r="L29" i="13"/>
  <c r="M29" i="13"/>
  <c r="K30" i="13"/>
  <c r="L30" i="13"/>
  <c r="M30" i="13"/>
  <c r="K31" i="13"/>
  <c r="L31" i="13"/>
  <c r="M31" i="13"/>
  <c r="L25" i="15"/>
  <c r="M25" i="15"/>
  <c r="L26" i="15"/>
  <c r="M26" i="15"/>
  <c r="L27" i="15"/>
  <c r="M27" i="15"/>
  <c r="L28" i="15"/>
  <c r="M28" i="15" s="1"/>
  <c r="L29" i="15"/>
  <c r="M29" i="15" s="1"/>
  <c r="L30" i="15"/>
  <c r="M30" i="15" s="1"/>
  <c r="M31" i="15"/>
  <c r="L31" i="15"/>
  <c r="K31" i="15"/>
  <c r="K60" i="16"/>
  <c r="M60" i="16"/>
  <c r="L60" i="16" s="1"/>
  <c r="K61" i="16"/>
  <c r="M61" i="16"/>
  <c r="L61" i="16" s="1"/>
  <c r="K62" i="16"/>
  <c r="M62" i="16"/>
  <c r="L62" i="16" s="1"/>
  <c r="K63" i="16"/>
  <c r="M63" i="16"/>
  <c r="L63" i="16" s="1"/>
  <c r="K64" i="16"/>
  <c r="M64" i="16"/>
  <c r="L64" i="16" s="1"/>
  <c r="N31" i="15"/>
  <c r="M62" i="13"/>
  <c r="L62" i="13" s="1"/>
  <c r="K62" i="13"/>
  <c r="K63" i="13"/>
  <c r="H63" i="13"/>
  <c r="H62" i="13"/>
  <c r="J28" i="27"/>
  <c r="J29" i="27"/>
  <c r="J30" i="27"/>
  <c r="J31" i="27"/>
  <c r="E31" i="27"/>
  <c r="F31" i="15"/>
  <c r="AE31" i="15"/>
  <c r="AG31" i="15"/>
  <c r="AH31" i="15"/>
  <c r="AJ31" i="15" s="1"/>
  <c r="AI31" i="15"/>
  <c r="AK31" i="15" s="1"/>
  <c r="E31" i="15"/>
  <c r="X31" i="15"/>
  <c r="Z31" i="15"/>
  <c r="AA31" i="15"/>
  <c r="AC31" i="15" s="1"/>
  <c r="G31" i="15" s="1"/>
  <c r="AB31" i="15"/>
  <c r="AD31" i="15" s="1"/>
  <c r="H31" i="15" s="1"/>
  <c r="AF31" i="15"/>
  <c r="AL31" i="15"/>
  <c r="AN31" i="15"/>
  <c r="AO31" i="15"/>
  <c r="AQ31" i="15" s="1"/>
  <c r="AP31" i="15"/>
  <c r="AR31" i="15" s="1"/>
  <c r="Y31" i="15"/>
  <c r="AM31" i="15"/>
  <c r="G64" i="16"/>
  <c r="F64" i="16" s="1"/>
  <c r="E64" i="16"/>
  <c r="K31" i="16"/>
  <c r="M31" i="16"/>
  <c r="L31" i="16" s="1"/>
  <c r="O31" i="16" s="1"/>
  <c r="N31" i="16"/>
  <c r="G31" i="16"/>
  <c r="F31" i="16" s="1"/>
  <c r="E31" i="16"/>
  <c r="P31" i="16" l="1"/>
  <c r="M63" i="13"/>
  <c r="L63" i="13" s="1"/>
  <c r="J31" i="14"/>
  <c r="M61" i="12"/>
  <c r="L61" i="12" s="1"/>
  <c r="K61" i="12"/>
  <c r="I61" i="12"/>
  <c r="H61" i="12"/>
  <c r="M31" i="12"/>
  <c r="P31" i="12" s="1"/>
  <c r="W31" i="12" s="1"/>
  <c r="K31" i="12"/>
  <c r="N31" i="12" s="1"/>
  <c r="U31" i="12" s="1"/>
  <c r="T31" i="12" l="1"/>
  <c r="L31" i="12"/>
  <c r="R31" i="12"/>
  <c r="G63" i="13"/>
  <c r="F63" i="13"/>
  <c r="AE63" i="13"/>
  <c r="AG63" i="13" s="1"/>
  <c r="AL63" i="13"/>
  <c r="AN63" i="13"/>
  <c r="AO63" i="13"/>
  <c r="AQ63" i="13" s="1"/>
  <c r="AP63" i="13"/>
  <c r="AR63" i="13" s="1"/>
  <c r="G31" i="13"/>
  <c r="F31" i="13"/>
  <c r="E31" i="13"/>
  <c r="E63" i="13"/>
  <c r="X63" i="13"/>
  <c r="Z63" i="13"/>
  <c r="AA63" i="13"/>
  <c r="AC63" i="13"/>
  <c r="AB63" i="13"/>
  <c r="AD63" i="13"/>
  <c r="AF63" i="13"/>
  <c r="Y63" i="13"/>
  <c r="AM63" i="13"/>
  <c r="G31" i="12"/>
  <c r="F31" i="12"/>
  <c r="AE31" i="12"/>
  <c r="AH31" i="12" s="1"/>
  <c r="AJ31" i="12" s="1"/>
  <c r="AG31" i="12"/>
  <c r="AI31" i="12"/>
  <c r="AL31" i="12"/>
  <c r="AN31" i="12"/>
  <c r="AO31" i="12"/>
  <c r="AQ31" i="12" s="1"/>
  <c r="AP31" i="12"/>
  <c r="AR31" i="12" s="1"/>
  <c r="G61" i="12"/>
  <c r="F61" i="12"/>
  <c r="E31" i="12"/>
  <c r="X31" i="12"/>
  <c r="Z31" i="12"/>
  <c r="AA31" i="12"/>
  <c r="AC31" i="12" s="1"/>
  <c r="AB31" i="12"/>
  <c r="AD31" i="12" s="1"/>
  <c r="AF31" i="12"/>
  <c r="E61" i="12"/>
  <c r="Y31" i="12"/>
  <c r="AM31" i="12"/>
  <c r="F31" i="14"/>
  <c r="E31" i="14"/>
  <c r="K31" i="18"/>
  <c r="L31" i="18"/>
  <c r="E31" i="18"/>
  <c r="F31" i="18"/>
  <c r="G31" i="18"/>
  <c r="F32" i="18"/>
  <c r="G32" i="18"/>
  <c r="H32" i="18"/>
  <c r="I32" i="18"/>
  <c r="J32" i="18"/>
  <c r="K32" i="18"/>
  <c r="L32" i="18"/>
  <c r="M32" i="18"/>
  <c r="N32" i="18"/>
  <c r="O32" i="18"/>
  <c r="P32" i="18"/>
  <c r="E32" i="18"/>
  <c r="S31" i="12" l="1"/>
  <c r="O31" i="12"/>
  <c r="V31" i="12" s="1"/>
  <c r="AI63" i="13"/>
  <c r="AK63" i="13" s="1"/>
  <c r="AH63" i="13"/>
  <c r="AJ63" i="13" s="1"/>
  <c r="AK31" i="12"/>
  <c r="M19" i="12"/>
  <c r="G291" i="12" l="1"/>
  <c r="G292" i="12"/>
  <c r="G293" i="12"/>
  <c r="G294" i="12"/>
  <c r="G295" i="12"/>
  <c r="G296" i="12"/>
  <c r="G297" i="12"/>
  <c r="G298" i="12"/>
  <c r="G299" i="12"/>
  <c r="G300" i="12"/>
  <c r="G301" i="12"/>
  <c r="G302" i="12"/>
  <c r="G303" i="12"/>
  <c r="G304" i="12"/>
  <c r="G305" i="12"/>
  <c r="G306" i="12"/>
  <c r="G307" i="12"/>
  <c r="G308" i="12"/>
  <c r="G309" i="12"/>
  <c r="G310" i="12"/>
  <c r="G290" i="12"/>
  <c r="D291" i="12"/>
  <c r="E291" i="12"/>
  <c r="F291" i="12"/>
  <c r="D292" i="12"/>
  <c r="E292" i="12"/>
  <c r="F292" i="12"/>
  <c r="D293" i="12"/>
  <c r="E293" i="12"/>
  <c r="F293" i="12"/>
  <c r="D294" i="12"/>
  <c r="E294" i="12"/>
  <c r="F294" i="12"/>
  <c r="D295" i="12"/>
  <c r="E295" i="12"/>
  <c r="F295" i="12"/>
  <c r="D296" i="12"/>
  <c r="E296" i="12"/>
  <c r="F296" i="12"/>
  <c r="D297" i="12"/>
  <c r="E297" i="12"/>
  <c r="F297" i="12"/>
  <c r="D298" i="12"/>
  <c r="E298" i="12"/>
  <c r="F298" i="12"/>
  <c r="D299" i="12"/>
  <c r="E299" i="12"/>
  <c r="F299" i="12"/>
  <c r="D300" i="12"/>
  <c r="E300" i="12"/>
  <c r="F300" i="12"/>
  <c r="D301" i="12"/>
  <c r="E301" i="12"/>
  <c r="F301" i="12"/>
  <c r="D302" i="12"/>
  <c r="E302" i="12"/>
  <c r="F302" i="12"/>
  <c r="D303" i="12"/>
  <c r="E303" i="12"/>
  <c r="F303" i="12"/>
  <c r="D304" i="12"/>
  <c r="E304" i="12"/>
  <c r="F304" i="12"/>
  <c r="D305" i="12"/>
  <c r="E305" i="12"/>
  <c r="F305" i="12"/>
  <c r="D306" i="12"/>
  <c r="E306" i="12"/>
  <c r="F306" i="12"/>
  <c r="D307" i="12"/>
  <c r="E307" i="12"/>
  <c r="F307" i="12"/>
  <c r="D308" i="12"/>
  <c r="E308" i="12"/>
  <c r="F308" i="12"/>
  <c r="D309" i="12"/>
  <c r="E309" i="12"/>
  <c r="F309" i="12"/>
  <c r="D310" i="12"/>
  <c r="E310" i="12"/>
  <c r="F310" i="12"/>
  <c r="D311" i="12"/>
  <c r="E311" i="12"/>
  <c r="F311" i="12"/>
  <c r="D290" i="12"/>
  <c r="F290" i="12"/>
  <c r="E290" i="12"/>
  <c r="G311" i="12" l="1"/>
  <c r="X62" i="13"/>
  <c r="Z62" i="13" s="1"/>
  <c r="Y62" i="13"/>
  <c r="AE62" i="13"/>
  <c r="AF62" i="13"/>
  <c r="AG62" i="13"/>
  <c r="AH62" i="13"/>
  <c r="AI62" i="13"/>
  <c r="AK62" i="13" s="1"/>
  <c r="Q129" i="13" s="1"/>
  <c r="AJ62" i="13"/>
  <c r="P129" i="13" s="1"/>
  <c r="AL62" i="13"/>
  <c r="AP62" i="13" s="1"/>
  <c r="AM62" i="13"/>
  <c r="AN62" i="13"/>
  <c r="AO62" i="13"/>
  <c r="C115" i="13"/>
  <c r="E115" i="13" s="1"/>
  <c r="D115" i="13"/>
  <c r="F115" i="13"/>
  <c r="G115" i="13"/>
  <c r="H115" i="13"/>
  <c r="I115" i="13"/>
  <c r="K115" i="13"/>
  <c r="M115" i="13" s="1"/>
  <c r="L115" i="13"/>
  <c r="N115" i="13"/>
  <c r="O115" i="13"/>
  <c r="P115" i="13"/>
  <c r="Q115" i="13"/>
  <c r="I128" i="13"/>
  <c r="B115" i="13"/>
  <c r="B116" i="13"/>
  <c r="C116" i="13"/>
  <c r="D116" i="13"/>
  <c r="E116" i="13"/>
  <c r="F116" i="13"/>
  <c r="G116" i="13"/>
  <c r="H116" i="13"/>
  <c r="I116" i="13"/>
  <c r="K116" i="13"/>
  <c r="M116" i="13" s="1"/>
  <c r="L116" i="13"/>
  <c r="N116" i="13"/>
  <c r="O116" i="13"/>
  <c r="P116" i="13"/>
  <c r="Q116" i="13"/>
  <c r="B117" i="13"/>
  <c r="C117" i="13"/>
  <c r="E117" i="13" s="1"/>
  <c r="D117" i="13"/>
  <c r="F117" i="13"/>
  <c r="G117" i="13"/>
  <c r="H117" i="13"/>
  <c r="I117" i="13"/>
  <c r="K117" i="13"/>
  <c r="L117" i="13"/>
  <c r="M117" i="13"/>
  <c r="N117" i="13"/>
  <c r="O117" i="13"/>
  <c r="P117" i="13"/>
  <c r="Q117" i="13"/>
  <c r="B118" i="13"/>
  <c r="C118" i="13"/>
  <c r="E118" i="13" s="1"/>
  <c r="D118" i="13"/>
  <c r="F118" i="13"/>
  <c r="G118" i="13"/>
  <c r="H118" i="13"/>
  <c r="I118" i="13"/>
  <c r="K118" i="13"/>
  <c r="L118" i="13"/>
  <c r="M118" i="13"/>
  <c r="N118" i="13"/>
  <c r="O118" i="13"/>
  <c r="P118" i="13"/>
  <c r="Q118" i="13"/>
  <c r="B119" i="13"/>
  <c r="C119" i="13"/>
  <c r="D119" i="13"/>
  <c r="E119" i="13"/>
  <c r="F119" i="13"/>
  <c r="G119" i="13"/>
  <c r="H119" i="13"/>
  <c r="I119" i="13"/>
  <c r="K119" i="13"/>
  <c r="L119" i="13"/>
  <c r="M119" i="13"/>
  <c r="N119" i="13"/>
  <c r="O119" i="13"/>
  <c r="P119" i="13"/>
  <c r="Q119" i="13"/>
  <c r="B120" i="13"/>
  <c r="C120" i="13"/>
  <c r="D120" i="13"/>
  <c r="E120" i="13"/>
  <c r="F120" i="13"/>
  <c r="G120" i="13"/>
  <c r="H120" i="13"/>
  <c r="I120" i="13"/>
  <c r="K120" i="13"/>
  <c r="M120" i="13" s="1"/>
  <c r="L120" i="13"/>
  <c r="N120" i="13"/>
  <c r="O120" i="13"/>
  <c r="P120" i="13"/>
  <c r="Q120" i="13"/>
  <c r="B121" i="13"/>
  <c r="C121" i="13"/>
  <c r="E121" i="13" s="1"/>
  <c r="D121" i="13"/>
  <c r="F121" i="13"/>
  <c r="G121" i="13"/>
  <c r="H121" i="13"/>
  <c r="I121" i="13"/>
  <c r="K121" i="13"/>
  <c r="L121" i="13"/>
  <c r="M121" i="13"/>
  <c r="N121" i="13"/>
  <c r="O121" i="13"/>
  <c r="P121" i="13"/>
  <c r="Q121" i="13"/>
  <c r="B122" i="13"/>
  <c r="C122" i="13"/>
  <c r="E122" i="13" s="1"/>
  <c r="D122" i="13"/>
  <c r="F122" i="13"/>
  <c r="G122" i="13"/>
  <c r="H122" i="13"/>
  <c r="I122" i="13"/>
  <c r="K122" i="13"/>
  <c r="L122" i="13"/>
  <c r="M122" i="13"/>
  <c r="N122" i="13"/>
  <c r="O122" i="13"/>
  <c r="P122" i="13"/>
  <c r="Q122" i="13"/>
  <c r="B123" i="13"/>
  <c r="C123" i="13"/>
  <c r="D123" i="13"/>
  <c r="E123" i="13"/>
  <c r="F123" i="13"/>
  <c r="G123" i="13"/>
  <c r="H123" i="13"/>
  <c r="I123" i="13"/>
  <c r="K123" i="13"/>
  <c r="L123" i="13"/>
  <c r="M123" i="13"/>
  <c r="N123" i="13"/>
  <c r="O123" i="13"/>
  <c r="P123" i="13"/>
  <c r="Q123" i="13"/>
  <c r="B124" i="13"/>
  <c r="C124" i="13"/>
  <c r="D124" i="13"/>
  <c r="E124" i="13"/>
  <c r="F124" i="13"/>
  <c r="G124" i="13"/>
  <c r="H124" i="13"/>
  <c r="I124" i="13"/>
  <c r="K124" i="13"/>
  <c r="M124" i="13" s="1"/>
  <c r="L124" i="13"/>
  <c r="N124" i="13"/>
  <c r="O124" i="13"/>
  <c r="P124" i="13"/>
  <c r="Q124" i="13"/>
  <c r="B125" i="13"/>
  <c r="C125" i="13"/>
  <c r="E125" i="13" s="1"/>
  <c r="D125" i="13"/>
  <c r="F125" i="13"/>
  <c r="G125" i="13"/>
  <c r="H125" i="13"/>
  <c r="I125" i="13"/>
  <c r="K125" i="13"/>
  <c r="L125" i="13"/>
  <c r="M125" i="13"/>
  <c r="N125" i="13"/>
  <c r="O125" i="13"/>
  <c r="P125" i="13"/>
  <c r="Q125" i="13"/>
  <c r="B126" i="13"/>
  <c r="C126" i="13"/>
  <c r="E126" i="13" s="1"/>
  <c r="D126" i="13"/>
  <c r="F126" i="13"/>
  <c r="G126" i="13"/>
  <c r="H126" i="13"/>
  <c r="I126" i="13"/>
  <c r="K126" i="13"/>
  <c r="L126" i="13"/>
  <c r="M126" i="13"/>
  <c r="N126" i="13"/>
  <c r="O126" i="13"/>
  <c r="P126" i="13"/>
  <c r="Q126" i="13"/>
  <c r="B127" i="13"/>
  <c r="C127" i="13"/>
  <c r="D127" i="13"/>
  <c r="E127" i="13"/>
  <c r="F127" i="13"/>
  <c r="G127" i="13"/>
  <c r="H127" i="13"/>
  <c r="I127" i="13"/>
  <c r="K127" i="13"/>
  <c r="L127" i="13"/>
  <c r="M127" i="13"/>
  <c r="N127" i="13"/>
  <c r="O127" i="13"/>
  <c r="P127" i="13"/>
  <c r="Q127" i="13"/>
  <c r="B128" i="13"/>
  <c r="C128" i="13"/>
  <c r="D128" i="13"/>
  <c r="E128" i="13"/>
  <c r="F128" i="13"/>
  <c r="G128" i="13"/>
  <c r="H128" i="13"/>
  <c r="K128" i="13"/>
  <c r="M128" i="13" s="1"/>
  <c r="L128" i="13"/>
  <c r="N128" i="13"/>
  <c r="O128" i="13"/>
  <c r="P128" i="13"/>
  <c r="Q128" i="13"/>
  <c r="B129" i="13"/>
  <c r="C129" i="13"/>
  <c r="E129" i="13" s="1"/>
  <c r="D129" i="13"/>
  <c r="F129" i="13"/>
  <c r="G129" i="13"/>
  <c r="K129" i="13"/>
  <c r="L129" i="13"/>
  <c r="M129" i="13"/>
  <c r="N129" i="13"/>
  <c r="O129" i="13"/>
  <c r="R30" i="13"/>
  <c r="P30" i="13"/>
  <c r="W30" i="13" s="1"/>
  <c r="X30" i="13"/>
  <c r="Y30" i="13"/>
  <c r="AE30" i="13"/>
  <c r="AH30" i="13" s="1"/>
  <c r="AJ30" i="13" s="1"/>
  <c r="AF30" i="13"/>
  <c r="AI30" i="13" s="1"/>
  <c r="AK30" i="13" s="1"/>
  <c r="AL30" i="13"/>
  <c r="AN30" i="13" s="1"/>
  <c r="AM30" i="13"/>
  <c r="N31" i="13"/>
  <c r="U31" i="13" s="1"/>
  <c r="T31" i="13"/>
  <c r="X31" i="13"/>
  <c r="Y31" i="13"/>
  <c r="AA31" i="13" s="1"/>
  <c r="AC31" i="13" s="1"/>
  <c r="AE31" i="13"/>
  <c r="AF31" i="13"/>
  <c r="AL31" i="13"/>
  <c r="AM31" i="13"/>
  <c r="G57" i="12"/>
  <c r="G58" i="12"/>
  <c r="F58" i="12" s="1"/>
  <c r="G59" i="12"/>
  <c r="F59" i="12" s="1"/>
  <c r="G60" i="12"/>
  <c r="F60" i="12" s="1"/>
  <c r="F57" i="12"/>
  <c r="E57" i="12"/>
  <c r="D91" i="12" s="1"/>
  <c r="E58" i="12"/>
  <c r="D92" i="12" s="1"/>
  <c r="E59" i="12"/>
  <c r="D93" i="12" s="1"/>
  <c r="E60" i="12"/>
  <c r="D94" i="12" s="1"/>
  <c r="D95" i="12"/>
  <c r="F95" i="12"/>
  <c r="G95" i="12"/>
  <c r="H95" i="12"/>
  <c r="I95" i="12"/>
  <c r="AE27" i="12"/>
  <c r="AF27" i="12"/>
  <c r="AG27" i="12" s="1"/>
  <c r="AL27" i="12"/>
  <c r="AM27" i="12"/>
  <c r="AE28" i="12"/>
  <c r="AF28" i="12"/>
  <c r="AG28" i="12"/>
  <c r="AH28" i="12"/>
  <c r="AJ28" i="12" s="1"/>
  <c r="N92" i="12" s="1"/>
  <c r="AI28" i="12"/>
  <c r="AL28" i="12"/>
  <c r="AO28" i="12" s="1"/>
  <c r="AM28" i="12"/>
  <c r="AN28" i="12" s="1"/>
  <c r="AE29" i="12"/>
  <c r="AF29" i="12"/>
  <c r="AG29" i="12"/>
  <c r="AH29" i="12"/>
  <c r="AL29" i="12"/>
  <c r="AQ29" i="12" s="1"/>
  <c r="AM29" i="12"/>
  <c r="AN29" i="12"/>
  <c r="AO29" i="12"/>
  <c r="AP29" i="12"/>
  <c r="AR29" i="12" s="1"/>
  <c r="AE30" i="12"/>
  <c r="AF30" i="12"/>
  <c r="AL30" i="12"/>
  <c r="AM30" i="12"/>
  <c r="AN30" i="12"/>
  <c r="AO30" i="12"/>
  <c r="AQ30" i="12" s="1"/>
  <c r="AP30" i="12"/>
  <c r="AR30" i="12" s="1"/>
  <c r="N95" i="12"/>
  <c r="O95" i="12"/>
  <c r="N30" i="13" l="1"/>
  <c r="U30" i="13" s="1"/>
  <c r="AB31" i="13"/>
  <c r="AD31" i="13" s="1"/>
  <c r="AI29" i="12"/>
  <c r="AK29" i="12" s="1"/>
  <c r="O93" i="12" s="1"/>
  <c r="AK28" i="12"/>
  <c r="O92" i="12" s="1"/>
  <c r="AQ28" i="12"/>
  <c r="AP28" i="12"/>
  <c r="AR28" i="12" s="1"/>
  <c r="AR62" i="13"/>
  <c r="AQ62" i="13"/>
  <c r="AB62" i="13"/>
  <c r="AD62" i="13" s="1"/>
  <c r="I129" i="13" s="1"/>
  <c r="AA62" i="13"/>
  <c r="AC62" i="13" s="1"/>
  <c r="H129" i="13" s="1"/>
  <c r="AB30" i="13"/>
  <c r="AD30" i="13" s="1"/>
  <c r="AP31" i="13"/>
  <c r="AR31" i="13" s="1"/>
  <c r="Z31" i="13"/>
  <c r="AG31" i="13"/>
  <c r="AO31" i="13"/>
  <c r="AQ31" i="13" s="1"/>
  <c r="AN31" i="13"/>
  <c r="AO30" i="13"/>
  <c r="AQ30" i="13" s="1"/>
  <c r="R31" i="13"/>
  <c r="AG30" i="13"/>
  <c r="P31" i="13"/>
  <c r="W31" i="13" s="1"/>
  <c r="AA30" i="13"/>
  <c r="AC30" i="13" s="1"/>
  <c r="Z30" i="13"/>
  <c r="AI31" i="13"/>
  <c r="AK31" i="13" s="1"/>
  <c r="T30" i="13"/>
  <c r="AH31" i="13"/>
  <c r="AJ31" i="13" s="1"/>
  <c r="AP30" i="13"/>
  <c r="AR30" i="13" s="1"/>
  <c r="AJ30" i="12"/>
  <c r="N94" i="12" s="1"/>
  <c r="AP27" i="12"/>
  <c r="AR27" i="12" s="1"/>
  <c r="AI30" i="12"/>
  <c r="AK30" i="12" s="1"/>
  <c r="O94" i="12" s="1"/>
  <c r="AO27" i="12"/>
  <c r="AQ27" i="12" s="1"/>
  <c r="AH30" i="12"/>
  <c r="AJ29" i="12"/>
  <c r="N93" i="12" s="1"/>
  <c r="AN27" i="12"/>
  <c r="AG30" i="12"/>
  <c r="AI27" i="12"/>
  <c r="AK27" i="12" s="1"/>
  <c r="O91" i="12" s="1"/>
  <c r="AH27" i="12"/>
  <c r="AJ27" i="12" s="1"/>
  <c r="N91" i="12" s="1"/>
  <c r="X61" i="13"/>
  <c r="AA61" i="13" s="1"/>
  <c r="Y61" i="13"/>
  <c r="Z61" i="13"/>
  <c r="AE61" i="13"/>
  <c r="AH61" i="13" s="1"/>
  <c r="AJ61" i="13" s="1"/>
  <c r="AF61" i="13"/>
  <c r="AG61" i="13"/>
  <c r="AL61" i="13"/>
  <c r="AM61" i="13"/>
  <c r="X28" i="13"/>
  <c r="Y28" i="13"/>
  <c r="AE28" i="13"/>
  <c r="AG28" i="13" s="1"/>
  <c r="AF28" i="13"/>
  <c r="AL28" i="13"/>
  <c r="AM28" i="13"/>
  <c r="X29" i="13"/>
  <c r="AA29" i="13" s="1"/>
  <c r="AC29" i="13" s="1"/>
  <c r="Y29" i="13"/>
  <c r="Z29" i="13" s="1"/>
  <c r="AE29" i="13"/>
  <c r="AG29" i="13" s="1"/>
  <c r="AF29" i="13"/>
  <c r="AL29" i="13"/>
  <c r="AM29" i="13"/>
  <c r="AN29" i="13"/>
  <c r="AO29" i="13"/>
  <c r="R29" i="13"/>
  <c r="N28" i="13"/>
  <c r="U28" i="13" s="1"/>
  <c r="R28" i="13"/>
  <c r="P28" i="13"/>
  <c r="W28" i="13" s="1"/>
  <c r="K61" i="13"/>
  <c r="N61" i="13" s="1"/>
  <c r="U61" i="13" s="1"/>
  <c r="AB29" i="13" l="1"/>
  <c r="AD29" i="13" s="1"/>
  <c r="AI61" i="13"/>
  <c r="AK61" i="13" s="1"/>
  <c r="AN61" i="13"/>
  <c r="AP29" i="13"/>
  <c r="AR29" i="13" s="1"/>
  <c r="AI29" i="13"/>
  <c r="AK29" i="13" s="1"/>
  <c r="AN28" i="13"/>
  <c r="AH29" i="13"/>
  <c r="AJ29" i="13" s="1"/>
  <c r="AA28" i="13"/>
  <c r="AC28" i="13" s="1"/>
  <c r="Z28" i="13"/>
  <c r="O31" i="13"/>
  <c r="V31" i="13" s="1"/>
  <c r="S31" i="13"/>
  <c r="O30" i="13"/>
  <c r="V30" i="13" s="1"/>
  <c r="S30" i="13"/>
  <c r="AP61" i="13"/>
  <c r="AR61" i="13" s="1"/>
  <c r="AO61" i="13"/>
  <c r="AQ61" i="13" s="1"/>
  <c r="AC61" i="13"/>
  <c r="AB61" i="13"/>
  <c r="AD61" i="13" s="1"/>
  <c r="AI28" i="13"/>
  <c r="AK28" i="13" s="1"/>
  <c r="AH28" i="13"/>
  <c r="AJ28" i="13" s="1"/>
  <c r="AP28" i="13"/>
  <c r="AR28" i="13" s="1"/>
  <c r="AO28" i="13"/>
  <c r="AQ28" i="13" s="1"/>
  <c r="AQ29" i="13"/>
  <c r="AB28" i="13"/>
  <c r="AD28" i="13" s="1"/>
  <c r="O29" i="13"/>
  <c r="V29" i="13" s="1"/>
  <c r="S29" i="13"/>
  <c r="T29" i="13"/>
  <c r="N29" i="13"/>
  <c r="U29" i="13" s="1"/>
  <c r="P29" i="13"/>
  <c r="W29" i="13" s="1"/>
  <c r="T28" i="13"/>
  <c r="R61" i="13"/>
  <c r="X28" i="14"/>
  <c r="Y28" i="14"/>
  <c r="Z28" i="14"/>
  <c r="AA28" i="14"/>
  <c r="AC28" i="14" s="1"/>
  <c r="AB28" i="14"/>
  <c r="AD28" i="14"/>
  <c r="AE28" i="14"/>
  <c r="AF28" i="14"/>
  <c r="AG28" i="14"/>
  <c r="AH28" i="14"/>
  <c r="AI28" i="14"/>
  <c r="AJ28" i="14"/>
  <c r="AK28" i="14"/>
  <c r="AP28" i="14" s="1"/>
  <c r="AL28" i="14"/>
  <c r="AM28" i="14"/>
  <c r="AN28" i="14"/>
  <c r="AO28" i="14"/>
  <c r="X29" i="14"/>
  <c r="Y29" i="14"/>
  <c r="Z29" i="14"/>
  <c r="AA29" i="14"/>
  <c r="AB29" i="14"/>
  <c r="AC29" i="14"/>
  <c r="AD29" i="14"/>
  <c r="AH29" i="14" s="1"/>
  <c r="AE29" i="14"/>
  <c r="AG29" i="14" s="1"/>
  <c r="AF29" i="14"/>
  <c r="AK29" i="14"/>
  <c r="AL29" i="14"/>
  <c r="AM29" i="14"/>
  <c r="AN29" i="14"/>
  <c r="AO29" i="14"/>
  <c r="AP29" i="14"/>
  <c r="AQ29" i="14"/>
  <c r="X30" i="14"/>
  <c r="Y30" i="14" s="1"/>
  <c r="AD30" i="14"/>
  <c r="AG30" i="14" s="1"/>
  <c r="AE30" i="14"/>
  <c r="AK30" i="14"/>
  <c r="AM30" i="14" s="1"/>
  <c r="AL30" i="14"/>
  <c r="J28" i="14"/>
  <c r="M28" i="14"/>
  <c r="Q28" i="14"/>
  <c r="T28" i="14"/>
  <c r="W28" i="14"/>
  <c r="J29" i="14"/>
  <c r="M29" i="14" s="1"/>
  <c r="T29" i="14" s="1"/>
  <c r="W29" i="14"/>
  <c r="J30" i="14"/>
  <c r="M30" i="14"/>
  <c r="Q30" i="14"/>
  <c r="T30" i="14"/>
  <c r="W30" i="14"/>
  <c r="K27" i="12"/>
  <c r="N27" i="12" s="1"/>
  <c r="U27" i="12" s="1"/>
  <c r="M27" i="12"/>
  <c r="L27" i="12" s="1"/>
  <c r="O27" i="12" s="1"/>
  <c r="V27" i="12" s="1"/>
  <c r="P27" i="12"/>
  <c r="T27" i="12"/>
  <c r="W27" i="12"/>
  <c r="X27" i="12"/>
  <c r="Z27" i="12" s="1"/>
  <c r="Y27" i="12"/>
  <c r="K28" i="12"/>
  <c r="N28" i="12" s="1"/>
  <c r="U28" i="12" s="1"/>
  <c r="M28" i="12"/>
  <c r="P28" i="12" s="1"/>
  <c r="W28" i="12" s="1"/>
  <c r="T28" i="12"/>
  <c r="X28" i="12"/>
  <c r="Y28" i="12"/>
  <c r="AA28" i="12"/>
  <c r="AB28" i="12"/>
  <c r="K29" i="12"/>
  <c r="R29" i="12" s="1"/>
  <c r="M29" i="12"/>
  <c r="P29" i="12" s="1"/>
  <c r="W29" i="12" s="1"/>
  <c r="N29" i="12"/>
  <c r="U29" i="12" s="1"/>
  <c r="X29" i="12"/>
  <c r="Z29" i="12" s="1"/>
  <c r="Y29" i="12"/>
  <c r="K30" i="12"/>
  <c r="N30" i="12" s="1"/>
  <c r="U30" i="12" s="1"/>
  <c r="M30" i="12"/>
  <c r="L30" i="12" s="1"/>
  <c r="X30" i="12"/>
  <c r="Y30" i="12"/>
  <c r="Z30" i="12"/>
  <c r="AB30" i="12"/>
  <c r="AF30" i="14" l="1"/>
  <c r="AI30" i="14"/>
  <c r="AH30" i="14"/>
  <c r="AJ30" i="14" s="1"/>
  <c r="AA29" i="12"/>
  <c r="AA30" i="12"/>
  <c r="AC30" i="12" s="1"/>
  <c r="F94" i="12" s="1"/>
  <c r="AD30" i="12"/>
  <c r="G94" i="12" s="1"/>
  <c r="Z28" i="12"/>
  <c r="AB29" i="12"/>
  <c r="AD29" i="12" s="1"/>
  <c r="G93" i="12" s="1"/>
  <c r="AC29" i="12"/>
  <c r="F93" i="12" s="1"/>
  <c r="S28" i="13"/>
  <c r="O28" i="13"/>
  <c r="V28" i="13" s="1"/>
  <c r="T30" i="12"/>
  <c r="R30" i="12"/>
  <c r="P30" i="12"/>
  <c r="W30" i="12" s="1"/>
  <c r="R28" i="12"/>
  <c r="L28" i="12"/>
  <c r="S28" i="12" s="1"/>
  <c r="AO30" i="14"/>
  <c r="AQ30" i="14" s="1"/>
  <c r="AN30" i="14"/>
  <c r="AP30" i="14" s="1"/>
  <c r="AJ29" i="14"/>
  <c r="AA30" i="14"/>
  <c r="AC30" i="14" s="1"/>
  <c r="AI29" i="14"/>
  <c r="AQ28" i="14"/>
  <c r="Z30" i="14"/>
  <c r="AB30" i="14" s="1"/>
  <c r="Q29" i="14"/>
  <c r="O30" i="12"/>
  <c r="V30" i="12" s="1"/>
  <c r="S30" i="12"/>
  <c r="L29" i="12"/>
  <c r="S27" i="12"/>
  <c r="T29" i="12"/>
  <c r="R27" i="12"/>
  <c r="AA27" i="12"/>
  <c r="AB27" i="12"/>
  <c r="O28" i="12" l="1"/>
  <c r="V28" i="12" s="1"/>
  <c r="O29" i="12"/>
  <c r="V29" i="12" s="1"/>
  <c r="S29" i="12"/>
  <c r="E28" i="13"/>
  <c r="G28" i="13"/>
  <c r="F28" i="13" s="1"/>
  <c r="E29" i="13"/>
  <c r="G29" i="13"/>
  <c r="E30" i="13"/>
  <c r="G30" i="13"/>
  <c r="F30" i="13" s="1"/>
  <c r="E61" i="13"/>
  <c r="G61" i="13"/>
  <c r="E62" i="13"/>
  <c r="G62" i="13"/>
  <c r="F62" i="13" l="1"/>
  <c r="F61" i="13"/>
  <c r="F29" i="13"/>
  <c r="D30" i="18" l="1"/>
  <c r="C30" i="18"/>
  <c r="B30" i="18"/>
  <c r="G15" i="15" l="1"/>
  <c r="H15" i="15"/>
  <c r="M88" i="27"/>
  <c r="M89" i="27"/>
  <c r="J90" i="27"/>
  <c r="M90" i="27"/>
  <c r="J91" i="27"/>
  <c r="M91" i="27"/>
  <c r="J92" i="27"/>
  <c r="M92" i="27"/>
  <c r="J93" i="27"/>
  <c r="M93" i="27"/>
  <c r="J94" i="27"/>
  <c r="M94" i="27"/>
  <c r="J95" i="27"/>
  <c r="K95" i="27"/>
  <c r="L95" i="27"/>
  <c r="M95" i="27"/>
  <c r="J96" i="27"/>
  <c r="K96" i="27"/>
  <c r="L96" i="27"/>
  <c r="M96" i="27"/>
  <c r="J97" i="27"/>
  <c r="K97" i="27"/>
  <c r="L97" i="27"/>
  <c r="M97" i="27"/>
  <c r="J98" i="27"/>
  <c r="K98" i="27"/>
  <c r="L98" i="27"/>
  <c r="M98" i="27"/>
  <c r="J99" i="27"/>
  <c r="K99" i="27"/>
  <c r="L99" i="27"/>
  <c r="M99" i="27"/>
  <c r="M87" i="27"/>
  <c r="S116" i="18"/>
  <c r="Z127" i="18"/>
  <c r="Y127" i="18"/>
  <c r="X127" i="18"/>
  <c r="W127" i="18"/>
  <c r="V127" i="18"/>
  <c r="U127" i="18"/>
  <c r="T127" i="18"/>
  <c r="S127" i="18"/>
  <c r="R127" i="18"/>
  <c r="Q127" i="18"/>
  <c r="P127" i="18"/>
  <c r="S126" i="18"/>
  <c r="R126" i="18"/>
  <c r="Q126" i="18"/>
  <c r="P126" i="18"/>
  <c r="Z125" i="18"/>
  <c r="Y125" i="18"/>
  <c r="X125" i="18"/>
  <c r="W125" i="18"/>
  <c r="V125" i="18"/>
  <c r="U125" i="18"/>
  <c r="T125" i="18"/>
  <c r="S125" i="18"/>
  <c r="R125" i="18"/>
  <c r="Q125" i="18"/>
  <c r="P125" i="18"/>
  <c r="S124" i="18"/>
  <c r="R124" i="18"/>
  <c r="Q124" i="18"/>
  <c r="P124" i="18"/>
  <c r="Z123" i="18"/>
  <c r="Y123" i="18"/>
  <c r="X123" i="18"/>
  <c r="W123" i="18"/>
  <c r="V123" i="18"/>
  <c r="U123" i="18"/>
  <c r="T123" i="18"/>
  <c r="S123" i="18"/>
  <c r="R123" i="18"/>
  <c r="Q123" i="18"/>
  <c r="P123" i="18"/>
  <c r="Z122" i="18"/>
  <c r="Y122" i="18"/>
  <c r="X122" i="18"/>
  <c r="W122" i="18"/>
  <c r="V122" i="18"/>
  <c r="U122" i="18"/>
  <c r="T122" i="18"/>
  <c r="S122" i="18"/>
  <c r="R122" i="18"/>
  <c r="Q122" i="18"/>
  <c r="P122" i="18"/>
  <c r="Z121" i="18"/>
  <c r="Y121" i="18"/>
  <c r="X121" i="18"/>
  <c r="W121" i="18"/>
  <c r="V121" i="18"/>
  <c r="U121" i="18"/>
  <c r="T121" i="18"/>
  <c r="S121" i="18"/>
  <c r="R121" i="18"/>
  <c r="Q121" i="18"/>
  <c r="P121" i="18"/>
  <c r="Z120" i="18"/>
  <c r="Y120" i="18"/>
  <c r="X120" i="18"/>
  <c r="W120" i="18"/>
  <c r="V120" i="18"/>
  <c r="U120" i="18"/>
  <c r="T120" i="18"/>
  <c r="S120" i="18"/>
  <c r="R120" i="18"/>
  <c r="Q120" i="18"/>
  <c r="P120" i="18"/>
  <c r="Z119" i="18"/>
  <c r="Y119" i="18"/>
  <c r="X119" i="18"/>
  <c r="U119" i="18"/>
  <c r="T119" i="18"/>
  <c r="S119" i="18"/>
  <c r="R119" i="18"/>
  <c r="Q119" i="18"/>
  <c r="P119" i="18"/>
  <c r="Z118" i="18"/>
  <c r="X118" i="18"/>
  <c r="U118" i="18"/>
  <c r="T118" i="18"/>
  <c r="S118" i="18"/>
  <c r="Z117" i="18"/>
  <c r="X117" i="18"/>
  <c r="U117" i="18"/>
  <c r="T117" i="18"/>
  <c r="S117" i="18"/>
  <c r="Z116" i="18"/>
  <c r="X116" i="18"/>
  <c r="U116" i="18"/>
  <c r="T116" i="18"/>
  <c r="Z98" i="18"/>
  <c r="Z99" i="18"/>
  <c r="Z100" i="18"/>
  <c r="Z101" i="18"/>
  <c r="Z102" i="18"/>
  <c r="Z103" i="18"/>
  <c r="Z104" i="18"/>
  <c r="Z105" i="18"/>
  <c r="Z106" i="18"/>
  <c r="Z107" i="18"/>
  <c r="Z108" i="18"/>
  <c r="Z109" i="18"/>
  <c r="Z97" i="18"/>
  <c r="S98" i="18"/>
  <c r="T98" i="18"/>
  <c r="U98" i="18"/>
  <c r="X98" i="18"/>
  <c r="S99" i="18"/>
  <c r="T99" i="18"/>
  <c r="U99" i="18"/>
  <c r="X99" i="18"/>
  <c r="P100" i="18"/>
  <c r="Q100" i="18"/>
  <c r="R100" i="18"/>
  <c r="S100" i="18"/>
  <c r="T100" i="18"/>
  <c r="U100" i="18"/>
  <c r="X100" i="18"/>
  <c r="Y100" i="18"/>
  <c r="P101" i="18"/>
  <c r="Q101" i="18"/>
  <c r="R101" i="18"/>
  <c r="S101" i="18"/>
  <c r="T101" i="18"/>
  <c r="U101" i="18"/>
  <c r="V101" i="18"/>
  <c r="W101" i="18"/>
  <c r="X101" i="18"/>
  <c r="Y101" i="18"/>
  <c r="P102" i="18"/>
  <c r="Q102" i="18"/>
  <c r="R102" i="18"/>
  <c r="S102" i="18"/>
  <c r="T102" i="18"/>
  <c r="U102" i="18"/>
  <c r="V102" i="18"/>
  <c r="W102" i="18"/>
  <c r="X102" i="18"/>
  <c r="Y102" i="18"/>
  <c r="P103" i="18"/>
  <c r="Q103" i="18"/>
  <c r="R103" i="18"/>
  <c r="S103" i="18"/>
  <c r="T103" i="18"/>
  <c r="U103" i="18"/>
  <c r="V103" i="18"/>
  <c r="W103" i="18"/>
  <c r="X103" i="18"/>
  <c r="Y103" i="18"/>
  <c r="P104" i="18"/>
  <c r="Q104" i="18"/>
  <c r="R104" i="18"/>
  <c r="S104" i="18"/>
  <c r="T104" i="18"/>
  <c r="U104" i="18"/>
  <c r="V104" i="18"/>
  <c r="W104" i="18"/>
  <c r="X104" i="18"/>
  <c r="Y104" i="18"/>
  <c r="P105" i="18"/>
  <c r="Q105" i="18"/>
  <c r="R105" i="18"/>
  <c r="S105" i="18"/>
  <c r="T105" i="18"/>
  <c r="U105" i="18"/>
  <c r="V105" i="18"/>
  <c r="W105" i="18"/>
  <c r="X105" i="18"/>
  <c r="Y105" i="18"/>
  <c r="P106" i="18"/>
  <c r="Q106" i="18"/>
  <c r="R106" i="18"/>
  <c r="S106" i="18"/>
  <c r="T106" i="18"/>
  <c r="U106" i="18"/>
  <c r="V106" i="18"/>
  <c r="W106" i="18"/>
  <c r="X106" i="18"/>
  <c r="Y106" i="18"/>
  <c r="P107" i="18"/>
  <c r="Q107" i="18"/>
  <c r="R107" i="18"/>
  <c r="S107" i="18"/>
  <c r="T107" i="18"/>
  <c r="U107" i="18"/>
  <c r="V107" i="18"/>
  <c r="W107" i="18"/>
  <c r="X107" i="18"/>
  <c r="Y107" i="18"/>
  <c r="P108" i="18"/>
  <c r="Q108" i="18"/>
  <c r="R108" i="18"/>
  <c r="S108" i="18"/>
  <c r="T108" i="18"/>
  <c r="U108" i="18"/>
  <c r="V108" i="18"/>
  <c r="W108" i="18"/>
  <c r="X108" i="18"/>
  <c r="Y108" i="18"/>
  <c r="P109" i="18"/>
  <c r="Q109" i="18"/>
  <c r="R109" i="18"/>
  <c r="S109" i="18"/>
  <c r="T109" i="18"/>
  <c r="U109" i="18"/>
  <c r="V109" i="18"/>
  <c r="W109" i="18"/>
  <c r="X109" i="18"/>
  <c r="Y109" i="18"/>
  <c r="U97" i="18"/>
  <c r="X97" i="18"/>
  <c r="T97" i="18"/>
  <c r="S97" i="18"/>
  <c r="J86" i="15"/>
  <c r="K86" i="15"/>
  <c r="L86" i="15"/>
  <c r="M86" i="15"/>
  <c r="N86" i="15"/>
  <c r="O86" i="15"/>
  <c r="P86" i="15"/>
  <c r="P85" i="15"/>
  <c r="O85" i="15"/>
  <c r="N85" i="15"/>
  <c r="M85" i="15"/>
  <c r="L85" i="15"/>
  <c r="K85" i="15"/>
  <c r="J85" i="15"/>
  <c r="P84" i="15"/>
  <c r="O84" i="15"/>
  <c r="N84" i="15"/>
  <c r="M84" i="15"/>
  <c r="L84" i="15"/>
  <c r="K84" i="15"/>
  <c r="J84" i="15"/>
  <c r="P83" i="15"/>
  <c r="O83" i="15"/>
  <c r="N83" i="15"/>
  <c r="M83" i="15"/>
  <c r="L83" i="15"/>
  <c r="K83" i="15"/>
  <c r="J83" i="15"/>
  <c r="P82" i="15"/>
  <c r="O82" i="15"/>
  <c r="N82" i="15"/>
  <c r="M82" i="15"/>
  <c r="L82" i="15"/>
  <c r="K82" i="15"/>
  <c r="J82" i="15"/>
  <c r="P81" i="15"/>
  <c r="O81" i="15"/>
  <c r="N81" i="15"/>
  <c r="M81" i="15"/>
  <c r="J81" i="15"/>
  <c r="P80" i="15"/>
  <c r="O80" i="15"/>
  <c r="N80" i="15"/>
  <c r="M80" i="15"/>
  <c r="J80" i="15"/>
  <c r="P79" i="15"/>
  <c r="O79" i="15"/>
  <c r="N79" i="15"/>
  <c r="M79" i="15"/>
  <c r="J79" i="15"/>
  <c r="P78" i="15"/>
  <c r="O78" i="15"/>
  <c r="N78" i="15"/>
  <c r="M78" i="15"/>
  <c r="J78" i="15"/>
  <c r="P77" i="15"/>
  <c r="O77" i="15"/>
  <c r="N77" i="15"/>
  <c r="M77" i="15"/>
  <c r="J77" i="15"/>
  <c r="P76" i="15"/>
  <c r="O76" i="15"/>
  <c r="N76" i="15"/>
  <c r="M76" i="15"/>
  <c r="J76" i="15"/>
  <c r="P75" i="15"/>
  <c r="O75" i="15"/>
  <c r="N75" i="15"/>
  <c r="M75" i="15"/>
  <c r="P74" i="15"/>
  <c r="O74" i="15"/>
  <c r="N74" i="15"/>
  <c r="M74" i="15"/>
  <c r="P73" i="15"/>
  <c r="O73" i="15"/>
  <c r="N73" i="15"/>
  <c r="M73" i="15"/>
  <c r="P72" i="15"/>
  <c r="O72" i="15"/>
  <c r="N72" i="15"/>
  <c r="M72" i="15"/>
  <c r="P71" i="15"/>
  <c r="O71" i="15"/>
  <c r="N71" i="15"/>
  <c r="M71" i="15"/>
  <c r="R92" i="14"/>
  <c r="Q92" i="14"/>
  <c r="P92" i="14"/>
  <c r="O92" i="14"/>
  <c r="N92" i="14"/>
  <c r="M92" i="14"/>
  <c r="L92" i="14"/>
  <c r="K92" i="14"/>
  <c r="R91" i="14"/>
  <c r="Q91" i="14"/>
  <c r="P91" i="14"/>
  <c r="O91" i="14"/>
  <c r="N91" i="14"/>
  <c r="M91" i="14"/>
  <c r="L91" i="14"/>
  <c r="K91" i="14"/>
  <c r="R90" i="14"/>
  <c r="Q90" i="14"/>
  <c r="P90" i="14"/>
  <c r="O90" i="14"/>
  <c r="N90" i="14"/>
  <c r="M90" i="14"/>
  <c r="L90" i="14"/>
  <c r="K90" i="14"/>
  <c r="R89" i="14"/>
  <c r="Q89" i="14"/>
  <c r="P89" i="14"/>
  <c r="O89" i="14"/>
  <c r="N89" i="14"/>
  <c r="M89" i="14"/>
  <c r="L89" i="14"/>
  <c r="K89" i="14"/>
  <c r="R88" i="14"/>
  <c r="Q88" i="14"/>
  <c r="P88" i="14"/>
  <c r="O88" i="14"/>
  <c r="N88" i="14"/>
  <c r="M88" i="14"/>
  <c r="L88" i="14"/>
  <c r="K88" i="14"/>
  <c r="R87" i="14"/>
  <c r="Q87" i="14"/>
  <c r="P87" i="14"/>
  <c r="O87" i="14"/>
  <c r="N87" i="14"/>
  <c r="K87" i="14"/>
  <c r="R86" i="14"/>
  <c r="Q86" i="14"/>
  <c r="P86" i="14"/>
  <c r="O86" i="14"/>
  <c r="N86" i="14"/>
  <c r="K86" i="14"/>
  <c r="R85" i="14"/>
  <c r="Q85" i="14"/>
  <c r="P85" i="14"/>
  <c r="O85" i="14"/>
  <c r="N85" i="14"/>
  <c r="K85" i="14"/>
  <c r="R84" i="14"/>
  <c r="Q84" i="14"/>
  <c r="P84" i="14"/>
  <c r="O84" i="14"/>
  <c r="N84" i="14"/>
  <c r="K84" i="14"/>
  <c r="R83" i="14"/>
  <c r="Q83" i="14"/>
  <c r="P83" i="14"/>
  <c r="O83" i="14"/>
  <c r="N83" i="14"/>
  <c r="K83" i="14"/>
  <c r="R82" i="14"/>
  <c r="Q82" i="14"/>
  <c r="P82" i="14"/>
  <c r="O82" i="14"/>
  <c r="N82" i="14"/>
  <c r="R81" i="14"/>
  <c r="Q81" i="14"/>
  <c r="P81" i="14"/>
  <c r="O81" i="14"/>
  <c r="N81" i="14"/>
  <c r="R80" i="14"/>
  <c r="Q80" i="14"/>
  <c r="P80" i="14"/>
  <c r="O80" i="14"/>
  <c r="N80" i="14"/>
  <c r="R79" i="14"/>
  <c r="Q79" i="14"/>
  <c r="P79" i="14"/>
  <c r="O79" i="14"/>
  <c r="N79" i="14"/>
  <c r="R78" i="14"/>
  <c r="Q78" i="14"/>
  <c r="P78" i="14"/>
  <c r="O78" i="14"/>
  <c r="N78" i="14"/>
  <c r="G30" i="18"/>
  <c r="F30" i="18"/>
  <c r="E30" i="18"/>
  <c r="C32" i="27"/>
  <c r="D32" i="27"/>
  <c r="G32" i="27"/>
  <c r="B32" i="27"/>
  <c r="E28" i="27"/>
  <c r="E29" i="27"/>
  <c r="E30" i="27"/>
  <c r="F22" i="15"/>
  <c r="F23" i="15"/>
  <c r="F24" i="15"/>
  <c r="F25" i="15"/>
  <c r="F26" i="15"/>
  <c r="F27" i="15"/>
  <c r="F28" i="15"/>
  <c r="F29" i="15"/>
  <c r="F30" i="15"/>
  <c r="X29" i="15"/>
  <c r="Y29" i="15"/>
  <c r="AE29" i="15"/>
  <c r="AF29" i="15"/>
  <c r="AL29" i="15"/>
  <c r="AM29" i="15"/>
  <c r="AP29" i="15" s="1"/>
  <c r="AR29" i="15" s="1"/>
  <c r="AO29" i="15"/>
  <c r="AQ29" i="15" s="1"/>
  <c r="X30" i="15"/>
  <c r="Y30" i="15"/>
  <c r="Z30" i="15"/>
  <c r="AA30" i="15"/>
  <c r="AE30" i="15"/>
  <c r="AF30" i="15"/>
  <c r="AL30" i="15"/>
  <c r="AM30" i="15"/>
  <c r="I32" i="15"/>
  <c r="J32" i="15"/>
  <c r="C32" i="15"/>
  <c r="D32" i="15"/>
  <c r="B32" i="15"/>
  <c r="K29" i="15"/>
  <c r="N29" i="15" s="1"/>
  <c r="U29" i="15" s="1"/>
  <c r="K30" i="15"/>
  <c r="N30" i="15" s="1"/>
  <c r="U30" i="15" s="1"/>
  <c r="E27" i="15"/>
  <c r="E28" i="15"/>
  <c r="E29" i="15"/>
  <c r="E30" i="15"/>
  <c r="F32" i="15" l="1"/>
  <c r="R30" i="15"/>
  <c r="R29" i="15"/>
  <c r="AG30" i="15"/>
  <c r="AN30" i="15"/>
  <c r="AI30" i="15"/>
  <c r="AK30" i="15" s="1"/>
  <c r="AB30" i="15"/>
  <c r="AD30" i="15" s="1"/>
  <c r="H30" i="15" s="1"/>
  <c r="AN29" i="15"/>
  <c r="AH30" i="15"/>
  <c r="AJ30" i="15" s="1"/>
  <c r="Z29" i="15"/>
  <c r="AI29" i="15"/>
  <c r="AK29" i="15" s="1"/>
  <c r="AH29" i="15"/>
  <c r="AJ29" i="15" s="1"/>
  <c r="AG29" i="15"/>
  <c r="AB29" i="15"/>
  <c r="AD29" i="15" s="1"/>
  <c r="H29" i="15" s="1"/>
  <c r="AP30" i="15"/>
  <c r="AR30" i="15" s="1"/>
  <c r="AA29" i="15"/>
  <c r="AC29" i="15" s="1"/>
  <c r="G29" i="15" s="1"/>
  <c r="AO30" i="15"/>
  <c r="AQ30" i="15" s="1"/>
  <c r="AC30" i="15"/>
  <c r="G30" i="15" s="1"/>
  <c r="N56" i="14"/>
  <c r="O56" i="14"/>
  <c r="P56" i="14"/>
  <c r="Q56" i="14"/>
  <c r="R56" i="14"/>
  <c r="N57" i="14"/>
  <c r="O57" i="14"/>
  <c r="P57" i="14"/>
  <c r="Q57" i="14"/>
  <c r="R57" i="14"/>
  <c r="N58" i="14"/>
  <c r="O58" i="14"/>
  <c r="P58" i="14"/>
  <c r="Q58" i="14"/>
  <c r="R58" i="14"/>
  <c r="N59" i="14"/>
  <c r="O59" i="14"/>
  <c r="P59" i="14"/>
  <c r="Q59" i="14"/>
  <c r="R59" i="14"/>
  <c r="K60" i="14"/>
  <c r="N60" i="14"/>
  <c r="O60" i="14"/>
  <c r="P60" i="14"/>
  <c r="Q60" i="14"/>
  <c r="R60" i="14"/>
  <c r="K61" i="14"/>
  <c r="N61" i="14"/>
  <c r="O61" i="14"/>
  <c r="P61" i="14"/>
  <c r="Q61" i="14"/>
  <c r="R61" i="14"/>
  <c r="K62" i="14"/>
  <c r="N62" i="14"/>
  <c r="O62" i="14"/>
  <c r="P62" i="14"/>
  <c r="Q62" i="14"/>
  <c r="R62" i="14"/>
  <c r="K63" i="14"/>
  <c r="N63" i="14"/>
  <c r="O63" i="14"/>
  <c r="P63" i="14"/>
  <c r="Q63" i="14"/>
  <c r="R63" i="14"/>
  <c r="K64" i="14"/>
  <c r="N64" i="14"/>
  <c r="O64" i="14"/>
  <c r="P64" i="14"/>
  <c r="Q64" i="14"/>
  <c r="R64" i="14"/>
  <c r="K65" i="14"/>
  <c r="L65" i="14"/>
  <c r="M65" i="14"/>
  <c r="N65" i="14"/>
  <c r="O65" i="14"/>
  <c r="P65" i="14"/>
  <c r="Q65" i="14"/>
  <c r="R65" i="14"/>
  <c r="K66" i="14"/>
  <c r="L66" i="14"/>
  <c r="M66" i="14"/>
  <c r="N66" i="14"/>
  <c r="O66" i="14"/>
  <c r="P66" i="14"/>
  <c r="Q66" i="14"/>
  <c r="R66" i="14"/>
  <c r="K67" i="14"/>
  <c r="L67" i="14"/>
  <c r="M67" i="14"/>
  <c r="N67" i="14"/>
  <c r="O67" i="14"/>
  <c r="P67" i="14"/>
  <c r="Q67" i="14"/>
  <c r="R67" i="14"/>
  <c r="K68" i="14"/>
  <c r="L68" i="14"/>
  <c r="M68" i="14"/>
  <c r="N68" i="14"/>
  <c r="O68" i="14"/>
  <c r="P68" i="14"/>
  <c r="Q68" i="14"/>
  <c r="R68" i="14"/>
  <c r="K69" i="14"/>
  <c r="L69" i="14"/>
  <c r="M69" i="14"/>
  <c r="N69" i="14"/>
  <c r="O69" i="14"/>
  <c r="P69" i="14"/>
  <c r="Q69" i="14"/>
  <c r="R69" i="14"/>
  <c r="Q55" i="14"/>
  <c r="P55" i="14"/>
  <c r="O55" i="14"/>
  <c r="N55" i="14"/>
  <c r="R55" i="14"/>
  <c r="W199" i="12"/>
  <c r="V199" i="12"/>
  <c r="U199" i="12"/>
  <c r="T199" i="12"/>
  <c r="S199" i="12"/>
  <c r="R199" i="12"/>
  <c r="Q199" i="12"/>
  <c r="P199" i="12"/>
  <c r="O199" i="12"/>
  <c r="N199" i="12"/>
  <c r="W198" i="12"/>
  <c r="V198" i="12"/>
  <c r="U198" i="12"/>
  <c r="T198" i="12"/>
  <c r="S198" i="12"/>
  <c r="R198" i="12"/>
  <c r="Q198" i="12"/>
  <c r="P198" i="12"/>
  <c r="O198" i="12"/>
  <c r="N198" i="12"/>
  <c r="W197" i="12"/>
  <c r="V197" i="12"/>
  <c r="U197" i="12"/>
  <c r="T197" i="12"/>
  <c r="S197" i="12"/>
  <c r="R197" i="12"/>
  <c r="Q197" i="12"/>
  <c r="P197" i="12"/>
  <c r="O197" i="12"/>
  <c r="N197" i="12"/>
  <c r="W196" i="12"/>
  <c r="V196" i="12"/>
  <c r="U196" i="12"/>
  <c r="T196" i="12"/>
  <c r="S196" i="12"/>
  <c r="R196" i="12"/>
  <c r="Q196" i="12"/>
  <c r="P196" i="12"/>
  <c r="O196" i="12"/>
  <c r="N196" i="12"/>
  <c r="W195" i="12"/>
  <c r="V195" i="12"/>
  <c r="U195" i="12"/>
  <c r="T195" i="12"/>
  <c r="S195" i="12"/>
  <c r="R195" i="12"/>
  <c r="Q195" i="12"/>
  <c r="P195" i="12"/>
  <c r="O195" i="12"/>
  <c r="N195" i="12"/>
  <c r="W194" i="12"/>
  <c r="V194" i="12"/>
  <c r="U194" i="12"/>
  <c r="T194" i="12"/>
  <c r="S194" i="12"/>
  <c r="R194" i="12"/>
  <c r="Q194" i="12"/>
  <c r="N194" i="12"/>
  <c r="W193" i="12"/>
  <c r="V193" i="12"/>
  <c r="U193" i="12"/>
  <c r="T193" i="12"/>
  <c r="S193" i="12"/>
  <c r="R193" i="12"/>
  <c r="Q193" i="12"/>
  <c r="N193" i="12"/>
  <c r="W192" i="12"/>
  <c r="V192" i="12"/>
  <c r="U192" i="12"/>
  <c r="T192" i="12"/>
  <c r="S192" i="12"/>
  <c r="R192" i="12"/>
  <c r="Q192" i="12"/>
  <c r="N192" i="12"/>
  <c r="W191" i="12"/>
  <c r="V191" i="12"/>
  <c r="U191" i="12"/>
  <c r="T191" i="12"/>
  <c r="S191" i="12"/>
  <c r="R191" i="12"/>
  <c r="Q191" i="12"/>
  <c r="N191" i="12"/>
  <c r="W190" i="12"/>
  <c r="V190" i="12"/>
  <c r="U190" i="12"/>
  <c r="T190" i="12"/>
  <c r="S190" i="12"/>
  <c r="R190" i="12"/>
  <c r="Q190" i="12"/>
  <c r="N190" i="12"/>
  <c r="W189" i="12"/>
  <c r="V189" i="12"/>
  <c r="R189" i="12"/>
  <c r="Q189" i="12"/>
  <c r="N189" i="12"/>
  <c r="W188" i="12"/>
  <c r="V188" i="12"/>
  <c r="R188" i="12"/>
  <c r="Q188" i="12"/>
  <c r="N188" i="12"/>
  <c r="W187" i="12"/>
  <c r="V187" i="12"/>
  <c r="R187" i="12"/>
  <c r="Q187" i="12"/>
  <c r="W186" i="12"/>
  <c r="V186" i="12"/>
  <c r="R186" i="12"/>
  <c r="Q186" i="12"/>
  <c r="W185" i="12"/>
  <c r="V185" i="12"/>
  <c r="R185" i="12"/>
  <c r="Q185" i="12"/>
  <c r="Q165" i="12"/>
  <c r="R165" i="12"/>
  <c r="V165" i="12"/>
  <c r="W165" i="12"/>
  <c r="Q166" i="12"/>
  <c r="R166" i="12"/>
  <c r="V166" i="12"/>
  <c r="W166" i="12"/>
  <c r="W179" i="12"/>
  <c r="V179" i="12"/>
  <c r="U179" i="12"/>
  <c r="T179" i="12"/>
  <c r="S179" i="12"/>
  <c r="R179" i="12"/>
  <c r="Q179" i="12"/>
  <c r="P179" i="12"/>
  <c r="O179" i="12"/>
  <c r="N179" i="12"/>
  <c r="W178" i="12"/>
  <c r="V178" i="12"/>
  <c r="U178" i="12"/>
  <c r="T178" i="12"/>
  <c r="S178" i="12"/>
  <c r="R178" i="12"/>
  <c r="Q178" i="12"/>
  <c r="P178" i="12"/>
  <c r="O178" i="12"/>
  <c r="N178" i="12"/>
  <c r="W177" i="12"/>
  <c r="V177" i="12"/>
  <c r="U177" i="12"/>
  <c r="T177" i="12"/>
  <c r="S177" i="12"/>
  <c r="R177" i="12"/>
  <c r="Q177" i="12"/>
  <c r="P177" i="12"/>
  <c r="O177" i="12"/>
  <c r="N177" i="12"/>
  <c r="W176" i="12"/>
  <c r="V176" i="12"/>
  <c r="U176" i="12"/>
  <c r="T176" i="12"/>
  <c r="S176" i="12"/>
  <c r="R176" i="12"/>
  <c r="Q176" i="12"/>
  <c r="P176" i="12"/>
  <c r="O176" i="12"/>
  <c r="N176" i="12"/>
  <c r="W175" i="12"/>
  <c r="V175" i="12"/>
  <c r="U175" i="12"/>
  <c r="T175" i="12"/>
  <c r="S175" i="12"/>
  <c r="R175" i="12"/>
  <c r="Q175" i="12"/>
  <c r="P175" i="12"/>
  <c r="O175" i="12"/>
  <c r="N175" i="12"/>
  <c r="W174" i="12"/>
  <c r="V174" i="12"/>
  <c r="U174" i="12"/>
  <c r="T174" i="12"/>
  <c r="S174" i="12"/>
  <c r="R174" i="12"/>
  <c r="Q174" i="12"/>
  <c r="N174" i="12"/>
  <c r="W173" i="12"/>
  <c r="V173" i="12"/>
  <c r="U173" i="12"/>
  <c r="T173" i="12"/>
  <c r="S173" i="12"/>
  <c r="R173" i="12"/>
  <c r="Q173" i="12"/>
  <c r="N173" i="12"/>
  <c r="W172" i="12"/>
  <c r="V172" i="12"/>
  <c r="U172" i="12"/>
  <c r="T172" i="12"/>
  <c r="S172" i="12"/>
  <c r="R172" i="12"/>
  <c r="Q172" i="12"/>
  <c r="N172" i="12"/>
  <c r="W171" i="12"/>
  <c r="V171" i="12"/>
  <c r="U171" i="12"/>
  <c r="T171" i="12"/>
  <c r="S171" i="12"/>
  <c r="R171" i="12"/>
  <c r="Q171" i="12"/>
  <c r="N171" i="12"/>
  <c r="W170" i="12"/>
  <c r="V170" i="12"/>
  <c r="U170" i="12"/>
  <c r="T170" i="12"/>
  <c r="S170" i="12"/>
  <c r="R170" i="12"/>
  <c r="Q170" i="12"/>
  <c r="N170" i="12"/>
  <c r="W169" i="12"/>
  <c r="V169" i="12"/>
  <c r="R169" i="12"/>
  <c r="Q169" i="12"/>
  <c r="N169" i="12"/>
  <c r="W168" i="12"/>
  <c r="V168" i="12"/>
  <c r="R168" i="12"/>
  <c r="Q168" i="12"/>
  <c r="N168" i="12"/>
  <c r="W167" i="12"/>
  <c r="V167" i="12"/>
  <c r="R167" i="12"/>
  <c r="Q167" i="12"/>
  <c r="W160" i="16"/>
  <c r="V160" i="16"/>
  <c r="U160" i="16"/>
  <c r="T160" i="16"/>
  <c r="S160" i="16"/>
  <c r="R160" i="16"/>
  <c r="Q160" i="16"/>
  <c r="P160" i="16"/>
  <c r="O160" i="16"/>
  <c r="N160" i="16"/>
  <c r="W159" i="16"/>
  <c r="V159" i="16"/>
  <c r="U159" i="16"/>
  <c r="T159" i="16"/>
  <c r="S159" i="16"/>
  <c r="R159" i="16"/>
  <c r="Q159" i="16"/>
  <c r="P159" i="16"/>
  <c r="O159" i="16"/>
  <c r="N159" i="16"/>
  <c r="W158" i="16"/>
  <c r="V158" i="16"/>
  <c r="U158" i="16"/>
  <c r="T158" i="16"/>
  <c r="S158" i="16"/>
  <c r="R158" i="16"/>
  <c r="Q158" i="16"/>
  <c r="P158" i="16"/>
  <c r="O158" i="16"/>
  <c r="N158" i="16"/>
  <c r="W157" i="16"/>
  <c r="V157" i="16"/>
  <c r="U157" i="16"/>
  <c r="T157" i="16"/>
  <c r="S157" i="16"/>
  <c r="R157" i="16"/>
  <c r="Q157" i="16"/>
  <c r="P157" i="16"/>
  <c r="O157" i="16"/>
  <c r="N157" i="16"/>
  <c r="W156" i="16"/>
  <c r="V156" i="16"/>
  <c r="U156" i="16"/>
  <c r="T156" i="16"/>
  <c r="S156" i="16"/>
  <c r="R156" i="16"/>
  <c r="Q156" i="16"/>
  <c r="P156" i="16"/>
  <c r="O156" i="16"/>
  <c r="N156" i="16"/>
  <c r="W155" i="16"/>
  <c r="V155" i="16"/>
  <c r="U155" i="16"/>
  <c r="T155" i="16"/>
  <c r="S155" i="16"/>
  <c r="R155" i="16"/>
  <c r="Q155" i="16"/>
  <c r="N155" i="16"/>
  <c r="W154" i="16"/>
  <c r="V154" i="16"/>
  <c r="U154" i="16"/>
  <c r="T154" i="16"/>
  <c r="S154" i="16"/>
  <c r="R154" i="16"/>
  <c r="Q154" i="16"/>
  <c r="N154" i="16"/>
  <c r="W153" i="16"/>
  <c r="V153" i="16"/>
  <c r="U153" i="16"/>
  <c r="T153" i="16"/>
  <c r="S153" i="16"/>
  <c r="R153" i="16"/>
  <c r="Q153" i="16"/>
  <c r="N153" i="16"/>
  <c r="W152" i="16"/>
  <c r="V152" i="16"/>
  <c r="U152" i="16"/>
  <c r="T152" i="16"/>
  <c r="S152" i="16"/>
  <c r="R152" i="16"/>
  <c r="Q152" i="16"/>
  <c r="N152" i="16"/>
  <c r="W151" i="16"/>
  <c r="V151" i="16"/>
  <c r="U151" i="16"/>
  <c r="T151" i="16"/>
  <c r="S151" i="16"/>
  <c r="R151" i="16"/>
  <c r="Q151" i="16"/>
  <c r="N151" i="16"/>
  <c r="W150" i="16"/>
  <c r="V150" i="16"/>
  <c r="R150" i="16"/>
  <c r="Q150" i="16"/>
  <c r="N150" i="16"/>
  <c r="W149" i="16"/>
  <c r="V149" i="16"/>
  <c r="R149" i="16"/>
  <c r="Q149" i="16"/>
  <c r="N149" i="16"/>
  <c r="W148" i="16"/>
  <c r="V148" i="16"/>
  <c r="R148" i="16"/>
  <c r="Q148" i="16"/>
  <c r="N132" i="16"/>
  <c r="Q132" i="16"/>
  <c r="R132" i="16"/>
  <c r="V132" i="16"/>
  <c r="W132" i="16"/>
  <c r="N133" i="16"/>
  <c r="Q133" i="16"/>
  <c r="R133" i="16"/>
  <c r="V133" i="16"/>
  <c r="W133" i="16"/>
  <c r="N134" i="16"/>
  <c r="Q134" i="16"/>
  <c r="R134" i="16"/>
  <c r="S134" i="16"/>
  <c r="T134" i="16"/>
  <c r="U134" i="16"/>
  <c r="V134" i="16"/>
  <c r="W134" i="16"/>
  <c r="N135" i="16"/>
  <c r="Q135" i="16"/>
  <c r="R135" i="16"/>
  <c r="S135" i="16"/>
  <c r="T135" i="16"/>
  <c r="U135" i="16"/>
  <c r="V135" i="16"/>
  <c r="W135" i="16"/>
  <c r="N136" i="16"/>
  <c r="Q136" i="16"/>
  <c r="R136" i="16"/>
  <c r="S136" i="16"/>
  <c r="T136" i="16"/>
  <c r="U136" i="16"/>
  <c r="V136" i="16"/>
  <c r="W136" i="16"/>
  <c r="N137" i="16"/>
  <c r="Q137" i="16"/>
  <c r="R137" i="16"/>
  <c r="S137" i="16"/>
  <c r="T137" i="16"/>
  <c r="U137" i="16"/>
  <c r="V137" i="16"/>
  <c r="W137" i="16"/>
  <c r="N138" i="16"/>
  <c r="Q138" i="16"/>
  <c r="R138" i="16"/>
  <c r="S138" i="16"/>
  <c r="T138" i="16"/>
  <c r="U138" i="16"/>
  <c r="V138" i="16"/>
  <c r="W138" i="16"/>
  <c r="N139" i="16"/>
  <c r="O139" i="16"/>
  <c r="P139" i="16"/>
  <c r="Q139" i="16"/>
  <c r="R139" i="16"/>
  <c r="S139" i="16"/>
  <c r="T139" i="16"/>
  <c r="U139" i="16"/>
  <c r="V139" i="16"/>
  <c r="W139" i="16"/>
  <c r="N140" i="16"/>
  <c r="O140" i="16"/>
  <c r="P140" i="16"/>
  <c r="Q140" i="16"/>
  <c r="R140" i="16"/>
  <c r="S140" i="16"/>
  <c r="T140" i="16"/>
  <c r="U140" i="16"/>
  <c r="V140" i="16"/>
  <c r="W140" i="16"/>
  <c r="N141" i="16"/>
  <c r="O141" i="16"/>
  <c r="P141" i="16"/>
  <c r="Q141" i="16"/>
  <c r="R141" i="16"/>
  <c r="S141" i="16"/>
  <c r="T141" i="16"/>
  <c r="U141" i="16"/>
  <c r="V141" i="16"/>
  <c r="W141" i="16"/>
  <c r="N142" i="16"/>
  <c r="O142" i="16"/>
  <c r="P142" i="16"/>
  <c r="Q142" i="16"/>
  <c r="R142" i="16"/>
  <c r="S142" i="16"/>
  <c r="T142" i="16"/>
  <c r="U142" i="16"/>
  <c r="V142" i="16"/>
  <c r="W142" i="16"/>
  <c r="N143" i="16"/>
  <c r="O143" i="16"/>
  <c r="P143" i="16"/>
  <c r="Q143" i="16"/>
  <c r="R143" i="16"/>
  <c r="S143" i="16"/>
  <c r="T143" i="16"/>
  <c r="U143" i="16"/>
  <c r="V143" i="16"/>
  <c r="W143" i="16"/>
  <c r="V131" i="16"/>
  <c r="W131" i="16"/>
  <c r="R131" i="16"/>
  <c r="Q131" i="16"/>
  <c r="E60" i="16"/>
  <c r="G60" i="16"/>
  <c r="F60" i="16" s="1"/>
  <c r="E61" i="16"/>
  <c r="G61" i="16"/>
  <c r="F61" i="16" s="1"/>
  <c r="E62" i="16"/>
  <c r="G62" i="16"/>
  <c r="F62" i="16" s="1"/>
  <c r="E63" i="16"/>
  <c r="G63" i="16"/>
  <c r="F63" i="16" s="1"/>
  <c r="B67" i="16"/>
  <c r="K27" i="16"/>
  <c r="M27" i="16"/>
  <c r="L27" i="16" s="1"/>
  <c r="O27" i="16" s="1"/>
  <c r="N27" i="16"/>
  <c r="K28" i="16"/>
  <c r="N28" i="16" s="1"/>
  <c r="M28" i="16"/>
  <c r="L28" i="16" s="1"/>
  <c r="O28" i="16" s="1"/>
  <c r="K29" i="16"/>
  <c r="N29" i="16" s="1"/>
  <c r="M29" i="16"/>
  <c r="P29" i="16"/>
  <c r="K30" i="16"/>
  <c r="N30" i="16" s="1"/>
  <c r="M30" i="16"/>
  <c r="P30" i="16" s="1"/>
  <c r="E27" i="16"/>
  <c r="G27" i="16"/>
  <c r="E28" i="16"/>
  <c r="G28" i="16"/>
  <c r="E29" i="16"/>
  <c r="G29" i="16"/>
  <c r="E30" i="16"/>
  <c r="G30" i="16"/>
  <c r="F30" i="16" l="1"/>
  <c r="F28" i="16"/>
  <c r="F29" i="16"/>
  <c r="P28" i="16"/>
  <c r="L29" i="16"/>
  <c r="O29" i="16" s="1"/>
  <c r="F27" i="16"/>
  <c r="P27" i="16"/>
  <c r="L30" i="16"/>
  <c r="O30" i="16" s="1"/>
  <c r="L265" i="12"/>
  <c r="L266" i="12"/>
  <c r="L267" i="12"/>
  <c r="L268" i="12"/>
  <c r="L269" i="12"/>
  <c r="L270" i="12"/>
  <c r="L271" i="12"/>
  <c r="L272" i="12"/>
  <c r="L273" i="12"/>
  <c r="L274" i="12"/>
  <c r="L275" i="12"/>
  <c r="L276" i="12"/>
  <c r="L277" i="12"/>
  <c r="L278" i="12"/>
  <c r="L279" i="12"/>
  <c r="L280" i="12"/>
  <c r="L281" i="12"/>
  <c r="L282" i="12"/>
  <c r="L283" i="12"/>
  <c r="L264" i="12"/>
  <c r="I232" i="12" l="1"/>
  <c r="I233" i="12"/>
  <c r="I234" i="12"/>
  <c r="I235" i="12"/>
  <c r="I236" i="12"/>
  <c r="I237" i="12"/>
  <c r="I238" i="12"/>
  <c r="I239" i="12"/>
  <c r="I240" i="12"/>
  <c r="I241" i="12"/>
  <c r="I242" i="12"/>
  <c r="I243" i="12"/>
  <c r="I244" i="12"/>
  <c r="I245" i="12"/>
  <c r="I231" i="12"/>
  <c r="G213" i="12"/>
  <c r="H213" i="12"/>
  <c r="J213" i="12" s="1"/>
  <c r="G214" i="12"/>
  <c r="H214" i="12"/>
  <c r="G215" i="12"/>
  <c r="H215" i="12"/>
  <c r="G216" i="12"/>
  <c r="H216" i="12"/>
  <c r="J216" i="12" s="1"/>
  <c r="G217" i="12"/>
  <c r="H217" i="12"/>
  <c r="G218" i="12"/>
  <c r="H218" i="12"/>
  <c r="J218" i="12" s="1"/>
  <c r="G219" i="12"/>
  <c r="H219" i="12"/>
  <c r="J219" i="12" s="1"/>
  <c r="G220" i="12"/>
  <c r="H220" i="12"/>
  <c r="G221" i="12"/>
  <c r="H221" i="12"/>
  <c r="G222" i="12"/>
  <c r="H222" i="12"/>
  <c r="J222" i="12" s="1"/>
  <c r="G223" i="12"/>
  <c r="H223" i="12"/>
  <c r="G224" i="12"/>
  <c r="H224" i="12"/>
  <c r="J224" i="12" s="1"/>
  <c r="G225" i="12"/>
  <c r="H225" i="12"/>
  <c r="J225" i="12" s="1"/>
  <c r="G226" i="12"/>
  <c r="H226" i="12"/>
  <c r="H212" i="12"/>
  <c r="G212" i="12"/>
  <c r="F213" i="12"/>
  <c r="F214" i="12"/>
  <c r="F215" i="12"/>
  <c r="F216" i="12"/>
  <c r="F217" i="12"/>
  <c r="F218" i="12"/>
  <c r="F219" i="12"/>
  <c r="F220" i="12"/>
  <c r="F221" i="12"/>
  <c r="F222" i="12"/>
  <c r="F223" i="12"/>
  <c r="F224" i="12"/>
  <c r="F225" i="12"/>
  <c r="F226" i="12"/>
  <c r="F212" i="12"/>
  <c r="D226" i="12"/>
  <c r="E226" i="12"/>
  <c r="D213" i="12"/>
  <c r="E213" i="12"/>
  <c r="G232" i="12" s="1"/>
  <c r="D214" i="12"/>
  <c r="E214" i="12"/>
  <c r="D215" i="12"/>
  <c r="E215" i="12"/>
  <c r="G234" i="12" s="1"/>
  <c r="D216" i="12"/>
  <c r="E216" i="12"/>
  <c r="G235" i="12" s="1"/>
  <c r="D217" i="12"/>
  <c r="E217" i="12"/>
  <c r="G236" i="12" s="1"/>
  <c r="D218" i="12"/>
  <c r="E218" i="12"/>
  <c r="G237" i="12" s="1"/>
  <c r="D219" i="12"/>
  <c r="E219" i="12"/>
  <c r="G238" i="12" s="1"/>
  <c r="D220" i="12"/>
  <c r="E220" i="12"/>
  <c r="G239" i="12" s="1"/>
  <c r="D221" i="12"/>
  <c r="E221" i="12"/>
  <c r="G240" i="12" s="1"/>
  <c r="D222" i="12"/>
  <c r="E222" i="12"/>
  <c r="G241" i="12" s="1"/>
  <c r="D223" i="12"/>
  <c r="E223" i="12"/>
  <c r="G242" i="12" s="1"/>
  <c r="D224" i="12"/>
  <c r="E224" i="12"/>
  <c r="G243" i="12" s="1"/>
  <c r="D225" i="12"/>
  <c r="E225" i="12"/>
  <c r="G244" i="12" s="1"/>
  <c r="D212" i="12"/>
  <c r="E212" i="12"/>
  <c r="F18" i="14"/>
  <c r="F19" i="14"/>
  <c r="F20" i="14"/>
  <c r="F21" i="14"/>
  <c r="F22" i="14"/>
  <c r="F23" i="14"/>
  <c r="F24" i="14"/>
  <c r="F25" i="14"/>
  <c r="F26" i="14"/>
  <c r="D28" i="14"/>
  <c r="D29" i="14"/>
  <c r="D30" i="14"/>
  <c r="D27" i="14"/>
  <c r="F27" i="14" s="1"/>
  <c r="C29" i="14"/>
  <c r="F29" i="14" s="1"/>
  <c r="C30" i="14"/>
  <c r="F30" i="14" s="1"/>
  <c r="C28" i="14"/>
  <c r="B28" i="14"/>
  <c r="B29" i="14"/>
  <c r="B30" i="14"/>
  <c r="B32" i="14"/>
  <c r="B33" i="14"/>
  <c r="B27" i="14"/>
  <c r="F9" i="12"/>
  <c r="K40" i="12"/>
  <c r="K41" i="12"/>
  <c r="K42" i="12"/>
  <c r="K43" i="12"/>
  <c r="K44" i="12"/>
  <c r="K39" i="12"/>
  <c r="E27" i="12"/>
  <c r="C91" i="12" s="1"/>
  <c r="G27" i="12"/>
  <c r="E28" i="12"/>
  <c r="C92" i="12" s="1"/>
  <c r="G28" i="12"/>
  <c r="E29" i="12"/>
  <c r="C93" i="12" s="1"/>
  <c r="G29" i="12"/>
  <c r="E30" i="12"/>
  <c r="C94" i="12" s="1"/>
  <c r="G30" i="12"/>
  <c r="M60" i="12"/>
  <c r="P60" i="12" s="1"/>
  <c r="W60" i="12" s="1"/>
  <c r="AE60" i="12"/>
  <c r="AL60" i="12"/>
  <c r="K60" i="12"/>
  <c r="N60" i="12" s="1"/>
  <c r="U60" i="12" s="1"/>
  <c r="X60" i="12"/>
  <c r="AF60" i="12"/>
  <c r="Y60" i="12"/>
  <c r="AM60" i="12"/>
  <c r="M59" i="12"/>
  <c r="AE59" i="12"/>
  <c r="AL59" i="12"/>
  <c r="K59" i="12"/>
  <c r="N59" i="12" s="1"/>
  <c r="U59" i="12" s="1"/>
  <c r="X59" i="12"/>
  <c r="AF59" i="12"/>
  <c r="Y59" i="12"/>
  <c r="AM59" i="12"/>
  <c r="S91" i="12"/>
  <c r="S92" i="12"/>
  <c r="S93" i="12"/>
  <c r="C95" i="12"/>
  <c r="K95" i="12"/>
  <c r="L95" i="12"/>
  <c r="P95" i="12"/>
  <c r="Q95" i="12"/>
  <c r="S94" i="12"/>
  <c r="B93" i="12"/>
  <c r="B94" i="12"/>
  <c r="B95" i="12"/>
  <c r="B92" i="12"/>
  <c r="I216" i="12" l="1"/>
  <c r="J223" i="12"/>
  <c r="J217" i="12"/>
  <c r="F28" i="14"/>
  <c r="I226" i="12"/>
  <c r="J221" i="12"/>
  <c r="J215" i="12"/>
  <c r="Z60" i="12"/>
  <c r="I222" i="12"/>
  <c r="I215" i="12"/>
  <c r="I223" i="12"/>
  <c r="J212" i="12"/>
  <c r="E95" i="12"/>
  <c r="I221" i="12"/>
  <c r="I218" i="12"/>
  <c r="G231" i="12"/>
  <c r="I217" i="12"/>
  <c r="J226" i="12"/>
  <c r="J220" i="12"/>
  <c r="J214" i="12"/>
  <c r="I220" i="12"/>
  <c r="G233" i="12"/>
  <c r="I219" i="12"/>
  <c r="G245" i="12"/>
  <c r="I214" i="12"/>
  <c r="I225" i="12"/>
  <c r="I213" i="12"/>
  <c r="I224" i="12"/>
  <c r="I212" i="12"/>
  <c r="AO60" i="12"/>
  <c r="AQ60" i="12" s="1"/>
  <c r="F29" i="12"/>
  <c r="K93" i="12" s="1"/>
  <c r="F27" i="12"/>
  <c r="AA59" i="12"/>
  <c r="AC59" i="12" s="1"/>
  <c r="H93" i="12" s="1"/>
  <c r="F28" i="12"/>
  <c r="AN59" i="12"/>
  <c r="AH60" i="12"/>
  <c r="AJ60" i="12" s="1"/>
  <c r="P94" i="12" s="1"/>
  <c r="R94" i="12"/>
  <c r="AN60" i="12"/>
  <c r="AG59" i="12"/>
  <c r="E28" i="14"/>
  <c r="E29" i="14"/>
  <c r="E30" i="14"/>
  <c r="AP59" i="12"/>
  <c r="AR59" i="12" s="1"/>
  <c r="AI60" i="12"/>
  <c r="AK60" i="12" s="1"/>
  <c r="Q94" i="12" s="1"/>
  <c r="F30" i="12"/>
  <c r="K94" i="12" s="1"/>
  <c r="AB59" i="12"/>
  <c r="AD59" i="12" s="1"/>
  <c r="I93" i="12" s="1"/>
  <c r="AO59" i="12"/>
  <c r="AQ59" i="12" s="1"/>
  <c r="E93" i="12"/>
  <c r="R59" i="12"/>
  <c r="L59" i="12"/>
  <c r="S59" i="12" s="1"/>
  <c r="AG60" i="12"/>
  <c r="AH59" i="12"/>
  <c r="AJ59" i="12" s="1"/>
  <c r="P93" i="12" s="1"/>
  <c r="L94" i="12"/>
  <c r="L93" i="12"/>
  <c r="R93" i="12"/>
  <c r="AB60" i="12"/>
  <c r="AD60" i="12" s="1"/>
  <c r="I94" i="12" s="1"/>
  <c r="AI59" i="12"/>
  <c r="AK59" i="12" s="1"/>
  <c r="Q93" i="12" s="1"/>
  <c r="AA60" i="12"/>
  <c r="AC60" i="12" s="1"/>
  <c r="H94" i="12" s="1"/>
  <c r="L60" i="12"/>
  <c r="O60" i="12" s="1"/>
  <c r="V60" i="12" s="1"/>
  <c r="E94" i="12"/>
  <c r="M95" i="12"/>
  <c r="Z59" i="12"/>
  <c r="T60" i="12"/>
  <c r="AP60" i="12"/>
  <c r="AR60" i="12" s="1"/>
  <c r="R60" i="12"/>
  <c r="T59" i="12"/>
  <c r="P59" i="12"/>
  <c r="W59" i="12" s="1"/>
  <c r="B90" i="12"/>
  <c r="B91" i="12"/>
  <c r="O59" i="12" l="1"/>
  <c r="V59" i="12" s="1"/>
  <c r="M93" i="12"/>
  <c r="M94" i="12"/>
  <c r="S60" i="12"/>
  <c r="L26" i="18"/>
  <c r="L27" i="18"/>
  <c r="L28" i="18"/>
  <c r="L29" i="18"/>
  <c r="K28" i="18"/>
  <c r="K29" i="18"/>
  <c r="K30" i="18"/>
  <c r="G29" i="18"/>
  <c r="F29" i="18"/>
  <c r="E29" i="18"/>
  <c r="X29" i="18"/>
  <c r="AA29" i="18" s="1"/>
  <c r="AC29" i="18" s="1"/>
  <c r="AF29" i="18"/>
  <c r="Y29" i="18"/>
  <c r="AM29" i="18"/>
  <c r="E28" i="18"/>
  <c r="X28" i="18"/>
  <c r="AF28" i="18"/>
  <c r="Y28" i="18"/>
  <c r="AM28" i="18"/>
  <c r="AA28" i="18" l="1"/>
  <c r="AC28" i="18" s="1"/>
  <c r="AB29" i="18"/>
  <c r="AD29" i="18" s="1"/>
  <c r="Z29" i="18"/>
  <c r="Z28" i="18"/>
  <c r="AB28" i="18"/>
  <c r="AD28" i="18" s="1"/>
  <c r="N68" i="27" l="1"/>
  <c r="M68" i="27" s="1"/>
  <c r="N69" i="27"/>
  <c r="M69" i="27" s="1"/>
  <c r="N70" i="27"/>
  <c r="M70" i="27" s="1"/>
  <c r="N71" i="27"/>
  <c r="M71" i="27" s="1"/>
  <c r="N72" i="27"/>
  <c r="N73" i="27"/>
  <c r="M73" i="27" s="1"/>
  <c r="N74" i="27"/>
  <c r="M74" i="27" s="1"/>
  <c r="N75" i="27"/>
  <c r="M75" i="27" s="1"/>
  <c r="N76" i="27"/>
  <c r="M76" i="27" s="1"/>
  <c r="N67" i="27"/>
  <c r="M67" i="27" s="1"/>
  <c r="L78" i="27"/>
  <c r="L77" i="27"/>
  <c r="N77" i="27" l="1"/>
  <c r="M72" i="27"/>
  <c r="M77" i="27" s="1"/>
  <c r="N78" i="27"/>
  <c r="H32" i="27"/>
  <c r="I32" i="27"/>
  <c r="M78" i="27" l="1"/>
  <c r="B33" i="13" l="1"/>
  <c r="C33" i="13"/>
  <c r="D33" i="13"/>
  <c r="H33" i="13"/>
  <c r="I33" i="13"/>
  <c r="J33" i="13"/>
  <c r="K27" i="15" l="1"/>
  <c r="H132" i="24" s="1"/>
  <c r="K28" i="15"/>
  <c r="B130" i="24"/>
  <c r="C130" i="24"/>
  <c r="E130" i="24"/>
  <c r="B131" i="24"/>
  <c r="C131" i="24"/>
  <c r="E131" i="24"/>
  <c r="B132" i="24"/>
  <c r="C132" i="24"/>
  <c r="E132" i="24"/>
  <c r="B108" i="24"/>
  <c r="C108" i="24"/>
  <c r="B109" i="24"/>
  <c r="C109" i="24"/>
  <c r="B110" i="24"/>
  <c r="C110" i="24"/>
  <c r="B111" i="24"/>
  <c r="C111" i="24"/>
  <c r="B87" i="24"/>
  <c r="C87" i="24"/>
  <c r="D87" i="24"/>
  <c r="B88" i="24"/>
  <c r="C88" i="24"/>
  <c r="D88" i="24"/>
  <c r="B89" i="24"/>
  <c r="C89" i="24"/>
  <c r="D89" i="24"/>
  <c r="E89" i="24"/>
  <c r="F89" i="24"/>
  <c r="G89" i="24"/>
  <c r="B65" i="24"/>
  <c r="C65" i="24"/>
  <c r="D65" i="24"/>
  <c r="B66" i="24"/>
  <c r="C66" i="24"/>
  <c r="D66" i="24"/>
  <c r="F66" i="24"/>
  <c r="G66" i="24"/>
  <c r="I66" i="24"/>
  <c r="J66" i="24"/>
  <c r="D146" i="24" s="1"/>
  <c r="B67" i="24"/>
  <c r="C67" i="24"/>
  <c r="D67" i="24"/>
  <c r="F67" i="24"/>
  <c r="G67" i="24"/>
  <c r="I67" i="24"/>
  <c r="J67" i="24"/>
  <c r="L67" i="24" s="1"/>
  <c r="B44" i="24"/>
  <c r="C44" i="24"/>
  <c r="D44" i="24"/>
  <c r="B45" i="24"/>
  <c r="C45" i="24"/>
  <c r="D45" i="24"/>
  <c r="B46" i="24"/>
  <c r="C46" i="24"/>
  <c r="D46" i="24"/>
  <c r="B23" i="24"/>
  <c r="C23" i="24"/>
  <c r="D23" i="24"/>
  <c r="B24" i="24"/>
  <c r="C24" i="24"/>
  <c r="D24" i="24"/>
  <c r="B25" i="24"/>
  <c r="C25" i="24"/>
  <c r="D25" i="24"/>
  <c r="G73" i="18"/>
  <c r="I73" i="18" s="1"/>
  <c r="E27" i="18"/>
  <c r="E67" i="24" s="1"/>
  <c r="E110" i="24" l="1"/>
  <c r="E111" i="24"/>
  <c r="E108" i="24"/>
  <c r="L66" i="24"/>
  <c r="D147" i="24"/>
  <c r="E109" i="24"/>
  <c r="S89" i="12"/>
  <c r="S90" i="12"/>
  <c r="S81" i="12"/>
  <c r="S82" i="12"/>
  <c r="S83" i="12"/>
  <c r="S84" i="12"/>
  <c r="S85" i="12"/>
  <c r="S86" i="12"/>
  <c r="S87" i="12"/>
  <c r="S88" i="12"/>
  <c r="S80" i="12"/>
  <c r="H58" i="13" l="1"/>
  <c r="E26" i="15" l="1"/>
  <c r="E32" i="15" s="1"/>
  <c r="H56" i="12"/>
  <c r="I54" i="12" l="1"/>
  <c r="I55" i="12"/>
  <c r="I56" i="12"/>
  <c r="I53" i="12"/>
  <c r="E26" i="18"/>
  <c r="E66" i="24" s="1"/>
  <c r="G59" i="16"/>
  <c r="E59" i="16"/>
  <c r="G26" i="16"/>
  <c r="E26" i="16"/>
  <c r="E88" i="24" s="1"/>
  <c r="F59" i="16" l="1"/>
  <c r="F26" i="16"/>
  <c r="F88" i="24" s="1"/>
  <c r="G88" i="24"/>
  <c r="H56" i="13"/>
  <c r="E27" i="14" l="1"/>
  <c r="E26" i="14"/>
  <c r="E58" i="16" l="1"/>
  <c r="G58" i="16"/>
  <c r="F58" i="16" l="1"/>
  <c r="E25" i="15"/>
  <c r="G25" i="16"/>
  <c r="E25" i="16"/>
  <c r="E87" i="24" s="1"/>
  <c r="F25" i="16" l="1"/>
  <c r="F87" i="24" s="1"/>
  <c r="G87" i="24"/>
  <c r="F25" i="18"/>
  <c r="F65" i="24" s="1"/>
  <c r="G25" i="18"/>
  <c r="G65" i="24" s="1"/>
  <c r="E25" i="18"/>
  <c r="E65" i="24" s="1"/>
  <c r="E24" i="15"/>
  <c r="G57" i="16"/>
  <c r="E57" i="16"/>
  <c r="E25" i="14"/>
  <c r="E45" i="16"/>
  <c r="D111" i="16" s="1"/>
  <c r="E23" i="16"/>
  <c r="C122" i="16" s="1"/>
  <c r="G16" i="16"/>
  <c r="E16" i="16"/>
  <c r="C115" i="16" s="1"/>
  <c r="G17" i="16"/>
  <c r="E17" i="16"/>
  <c r="C116" i="16" s="1"/>
  <c r="G18" i="16"/>
  <c r="E18" i="16"/>
  <c r="C117" i="16" s="1"/>
  <c r="G19" i="16"/>
  <c r="E19" i="16"/>
  <c r="E81" i="24" s="1"/>
  <c r="G20" i="16"/>
  <c r="E20" i="16"/>
  <c r="E82" i="24" s="1"/>
  <c r="G21" i="16"/>
  <c r="E21" i="16"/>
  <c r="C120" i="16" s="1"/>
  <c r="G22" i="16"/>
  <c r="G84" i="24" s="1"/>
  <c r="E22" i="16"/>
  <c r="C121" i="16" s="1"/>
  <c r="G23" i="16"/>
  <c r="F23" i="16" s="1"/>
  <c r="G49" i="16"/>
  <c r="E49" i="16"/>
  <c r="D115" i="16" s="1"/>
  <c r="G50" i="16"/>
  <c r="E50" i="16"/>
  <c r="D116" i="16" s="1"/>
  <c r="G51" i="16"/>
  <c r="E51" i="16"/>
  <c r="D117" i="16" s="1"/>
  <c r="G52" i="16"/>
  <c r="E52" i="16"/>
  <c r="D118" i="16" s="1"/>
  <c r="G53" i="16"/>
  <c r="E53" i="16"/>
  <c r="D119" i="16" s="1"/>
  <c r="G54" i="16"/>
  <c r="E54" i="16"/>
  <c r="D120" i="16" s="1"/>
  <c r="G55" i="16"/>
  <c r="E55" i="16"/>
  <c r="D121" i="16" s="1"/>
  <c r="G56" i="16"/>
  <c r="E56" i="16"/>
  <c r="D122" i="16" s="1"/>
  <c r="C118" i="16"/>
  <c r="B123" i="16"/>
  <c r="AE56" i="16"/>
  <c r="AG56" i="16" s="1"/>
  <c r="AF56" i="16"/>
  <c r="AE23" i="16"/>
  <c r="AF23" i="16"/>
  <c r="AG23" i="16" s="1"/>
  <c r="X56" i="16"/>
  <c r="Y56" i="16"/>
  <c r="X23" i="16"/>
  <c r="AA23" i="16" s="1"/>
  <c r="Y23" i="16"/>
  <c r="B122" i="16"/>
  <c r="AE55" i="16"/>
  <c r="AG55" i="16" s="1"/>
  <c r="AF55" i="16"/>
  <c r="AE22" i="16"/>
  <c r="AF22" i="16"/>
  <c r="X55" i="16"/>
  <c r="Y55" i="16"/>
  <c r="X22" i="16"/>
  <c r="Y22" i="16"/>
  <c r="B121" i="16"/>
  <c r="AE54" i="16"/>
  <c r="AF54" i="16"/>
  <c r="AE21" i="16"/>
  <c r="AF21" i="16"/>
  <c r="AH21" i="16" s="1"/>
  <c r="AJ21" i="16" s="1"/>
  <c r="N120" i="16" s="1"/>
  <c r="X54" i="16"/>
  <c r="Y54" i="16"/>
  <c r="X21" i="16"/>
  <c r="Y21" i="16"/>
  <c r="AA21" i="16" s="1"/>
  <c r="B120" i="16"/>
  <c r="AE53" i="16"/>
  <c r="AF53" i="16"/>
  <c r="AE20" i="16"/>
  <c r="AF20" i="16"/>
  <c r="X53" i="16"/>
  <c r="Y53" i="16"/>
  <c r="X20" i="16"/>
  <c r="Z20" i="16" s="1"/>
  <c r="Y20" i="16"/>
  <c r="B119" i="16"/>
  <c r="AE52" i="16"/>
  <c r="AF52" i="16"/>
  <c r="AE19" i="16"/>
  <c r="AF19" i="16"/>
  <c r="X52" i="16"/>
  <c r="Y52" i="16"/>
  <c r="X19" i="16"/>
  <c r="Y19" i="16"/>
  <c r="B118" i="16"/>
  <c r="AE51" i="16"/>
  <c r="AG51" i="16" s="1"/>
  <c r="AF51" i="16"/>
  <c r="AE18" i="16"/>
  <c r="AF18" i="16"/>
  <c r="X51" i="16"/>
  <c r="Y51" i="16"/>
  <c r="AB51" i="16" s="1"/>
  <c r="X18" i="16"/>
  <c r="Y18" i="16"/>
  <c r="B117" i="16"/>
  <c r="AE50" i="16"/>
  <c r="AF50" i="16"/>
  <c r="AE17" i="16"/>
  <c r="AF17" i="16"/>
  <c r="X50" i="16"/>
  <c r="Y50" i="16"/>
  <c r="X17" i="16"/>
  <c r="Y17" i="16"/>
  <c r="B116" i="16"/>
  <c r="AE49" i="16"/>
  <c r="AF49" i="16"/>
  <c r="AE16" i="16"/>
  <c r="AF16" i="16"/>
  <c r="X49" i="16"/>
  <c r="Y49" i="16"/>
  <c r="X16" i="16"/>
  <c r="Y16" i="16"/>
  <c r="B115" i="16"/>
  <c r="G9" i="16"/>
  <c r="E9" i="16"/>
  <c r="G10" i="16"/>
  <c r="E10" i="16"/>
  <c r="C109" i="16" s="1"/>
  <c r="G11" i="16"/>
  <c r="E11" i="16"/>
  <c r="C110" i="16" s="1"/>
  <c r="G12" i="16"/>
  <c r="E12" i="16"/>
  <c r="G13" i="16"/>
  <c r="E13" i="16"/>
  <c r="C112" i="16" s="1"/>
  <c r="G14" i="16"/>
  <c r="E14" i="16"/>
  <c r="C113" i="16" s="1"/>
  <c r="G42" i="16"/>
  <c r="E42" i="16"/>
  <c r="D108" i="16" s="1"/>
  <c r="G43" i="16"/>
  <c r="E43" i="16"/>
  <c r="D109" i="16" s="1"/>
  <c r="G44" i="16"/>
  <c r="E44" i="16"/>
  <c r="D110" i="16" s="1"/>
  <c r="G45" i="16"/>
  <c r="G46" i="16"/>
  <c r="E46" i="16"/>
  <c r="D112" i="16" s="1"/>
  <c r="G47" i="16"/>
  <c r="E47" i="16"/>
  <c r="D113" i="16" s="1"/>
  <c r="B114" i="16"/>
  <c r="AE47" i="16"/>
  <c r="AF47" i="16"/>
  <c r="AE14" i="16"/>
  <c r="AF14" i="16"/>
  <c r="X47" i="16"/>
  <c r="Y47" i="16"/>
  <c r="X14" i="16"/>
  <c r="Y14" i="16"/>
  <c r="B113" i="16"/>
  <c r="AE46" i="16"/>
  <c r="AF46" i="16"/>
  <c r="AE13" i="16"/>
  <c r="AF13" i="16"/>
  <c r="X46" i="16"/>
  <c r="Y46" i="16"/>
  <c r="X13" i="16"/>
  <c r="Y13" i="16"/>
  <c r="B112" i="16"/>
  <c r="AE45" i="16"/>
  <c r="AF45" i="16"/>
  <c r="AE12" i="16"/>
  <c r="AF12" i="16"/>
  <c r="X45" i="16"/>
  <c r="Y45" i="16"/>
  <c r="X12" i="16"/>
  <c r="Y12" i="16"/>
  <c r="AA12" i="16" s="1"/>
  <c r="C111" i="16"/>
  <c r="B111" i="16"/>
  <c r="AE44" i="16"/>
  <c r="AF44" i="16"/>
  <c r="AE11" i="16"/>
  <c r="AF11" i="16"/>
  <c r="AG11" i="16" s="1"/>
  <c r="X44" i="16"/>
  <c r="Y44" i="16"/>
  <c r="X11" i="16"/>
  <c r="Y11" i="16"/>
  <c r="B110" i="16"/>
  <c r="AE43" i="16"/>
  <c r="AF43" i="16"/>
  <c r="AH43" i="16" s="1"/>
  <c r="AJ43" i="16" s="1"/>
  <c r="P109" i="16" s="1"/>
  <c r="AE10" i="16"/>
  <c r="AF10" i="16"/>
  <c r="X43" i="16"/>
  <c r="Y43" i="16"/>
  <c r="X10" i="16"/>
  <c r="Y10" i="16"/>
  <c r="B109" i="16"/>
  <c r="AE42" i="16"/>
  <c r="AF42" i="16"/>
  <c r="AE9" i="16"/>
  <c r="AF9" i="16"/>
  <c r="X42" i="16"/>
  <c r="Y42" i="16"/>
  <c r="Z42" i="16" s="1"/>
  <c r="X9" i="16"/>
  <c r="Y9" i="16"/>
  <c r="B108" i="16"/>
  <c r="E55" i="13"/>
  <c r="G16" i="13"/>
  <c r="E16" i="13"/>
  <c r="G17" i="13"/>
  <c r="E17" i="13"/>
  <c r="G18" i="13"/>
  <c r="E18" i="13"/>
  <c r="G19" i="13"/>
  <c r="G17" i="24" s="1"/>
  <c r="E19" i="13"/>
  <c r="G20" i="13"/>
  <c r="E20" i="13"/>
  <c r="G21" i="13"/>
  <c r="G19" i="24" s="1"/>
  <c r="E21" i="13"/>
  <c r="G22" i="13"/>
  <c r="E22" i="13"/>
  <c r="G23" i="13"/>
  <c r="E23" i="13"/>
  <c r="G24" i="13"/>
  <c r="G22" i="24" s="1"/>
  <c r="E24" i="13"/>
  <c r="G48" i="13"/>
  <c r="AD93" i="13" s="1"/>
  <c r="E48" i="13"/>
  <c r="G49" i="13"/>
  <c r="E49" i="13"/>
  <c r="G50" i="13"/>
  <c r="E50" i="13"/>
  <c r="G51" i="13"/>
  <c r="E51" i="13"/>
  <c r="G52" i="13"/>
  <c r="E52" i="13"/>
  <c r="G53" i="13"/>
  <c r="E53" i="13"/>
  <c r="G54" i="13"/>
  <c r="E54" i="13"/>
  <c r="G55" i="13"/>
  <c r="G56" i="13"/>
  <c r="E56" i="13"/>
  <c r="AE56" i="13"/>
  <c r="AF56" i="13"/>
  <c r="AE24" i="13"/>
  <c r="AF24" i="13"/>
  <c r="X56" i="13"/>
  <c r="Y56" i="13"/>
  <c r="X24" i="13"/>
  <c r="Y24" i="13"/>
  <c r="AE55" i="13"/>
  <c r="AF55" i="13"/>
  <c r="AE23" i="13"/>
  <c r="AF23" i="13"/>
  <c r="X55" i="13"/>
  <c r="Y55" i="13"/>
  <c r="X23" i="13"/>
  <c r="Y23" i="13"/>
  <c r="AE54" i="13"/>
  <c r="AF54" i="13"/>
  <c r="AE22" i="13"/>
  <c r="AF22" i="13"/>
  <c r="X54" i="13"/>
  <c r="Z54" i="13" s="1"/>
  <c r="Y54" i="13"/>
  <c r="X22" i="13"/>
  <c r="Y22" i="13"/>
  <c r="Z22" i="13" s="1"/>
  <c r="AE53" i="13"/>
  <c r="AF53" i="13"/>
  <c r="AE21" i="13"/>
  <c r="AF21" i="13"/>
  <c r="X53" i="13"/>
  <c r="Y53" i="13"/>
  <c r="X21" i="13"/>
  <c r="Y21" i="13"/>
  <c r="AE52" i="13"/>
  <c r="AG52" i="13" s="1"/>
  <c r="AF52" i="13"/>
  <c r="AE20" i="13"/>
  <c r="AF20" i="13"/>
  <c r="X52" i="13"/>
  <c r="Y52" i="13"/>
  <c r="X20" i="13"/>
  <c r="Y20" i="13"/>
  <c r="AE51" i="13"/>
  <c r="AG51" i="13" s="1"/>
  <c r="AF51" i="13"/>
  <c r="AE19" i="13"/>
  <c r="AF19" i="13"/>
  <c r="X51" i="13"/>
  <c r="Y51" i="13"/>
  <c r="X19" i="13"/>
  <c r="Y19" i="13"/>
  <c r="AE50" i="13"/>
  <c r="AF50" i="13"/>
  <c r="AE18" i="13"/>
  <c r="AF18" i="13"/>
  <c r="X50" i="13"/>
  <c r="AB50" i="13" s="1"/>
  <c r="AD50" i="13" s="1"/>
  <c r="Y50" i="13"/>
  <c r="X18" i="13"/>
  <c r="Y18" i="13"/>
  <c r="AA18" i="13" s="1"/>
  <c r="AC18" i="13" s="1"/>
  <c r="AE49" i="13"/>
  <c r="AF49" i="13"/>
  <c r="AE17" i="13"/>
  <c r="AF17" i="13"/>
  <c r="X49" i="13"/>
  <c r="Y49" i="13"/>
  <c r="Z49" i="13" s="1"/>
  <c r="X17" i="13"/>
  <c r="Y17" i="13"/>
  <c r="AE48" i="13"/>
  <c r="AF48" i="13"/>
  <c r="AE16" i="13"/>
  <c r="AF16" i="13"/>
  <c r="X48" i="13"/>
  <c r="Y48" i="13"/>
  <c r="X16" i="13"/>
  <c r="Y16" i="13"/>
  <c r="Z16" i="13" s="1"/>
  <c r="G9" i="13"/>
  <c r="E9" i="13"/>
  <c r="C108" i="13" s="1"/>
  <c r="G10" i="13"/>
  <c r="E10" i="13"/>
  <c r="C109" i="13" s="1"/>
  <c r="G11" i="13"/>
  <c r="AD88" i="13" s="1"/>
  <c r="E11" i="13"/>
  <c r="G12" i="13"/>
  <c r="E12" i="13"/>
  <c r="C111" i="13" s="1"/>
  <c r="G13" i="13"/>
  <c r="E13" i="13"/>
  <c r="G14" i="13"/>
  <c r="E14" i="13"/>
  <c r="C113" i="13" s="1"/>
  <c r="G42" i="13"/>
  <c r="E42" i="13"/>
  <c r="G43" i="13"/>
  <c r="E43" i="13"/>
  <c r="D110" i="13" s="1"/>
  <c r="F43" i="13"/>
  <c r="L110" i="13" s="1"/>
  <c r="G44" i="13"/>
  <c r="E44" i="13"/>
  <c r="D111" i="13" s="1"/>
  <c r="G45" i="13"/>
  <c r="E45" i="13"/>
  <c r="D112" i="13" s="1"/>
  <c r="G46" i="13"/>
  <c r="E46" i="13"/>
  <c r="D113" i="13" s="1"/>
  <c r="B114" i="13"/>
  <c r="AE46" i="13"/>
  <c r="AF46" i="13"/>
  <c r="AE14" i="13"/>
  <c r="AF14" i="13"/>
  <c r="X46" i="13"/>
  <c r="Y46" i="13"/>
  <c r="X14" i="13"/>
  <c r="Y14" i="13"/>
  <c r="B113" i="13"/>
  <c r="AE45" i="13"/>
  <c r="AF45" i="13"/>
  <c r="AG45" i="13" s="1"/>
  <c r="AE13" i="13"/>
  <c r="AF13" i="13"/>
  <c r="X45" i="13"/>
  <c r="Y45" i="13"/>
  <c r="X13" i="13"/>
  <c r="Y13" i="13"/>
  <c r="B112" i="13"/>
  <c r="AE44" i="13"/>
  <c r="AF44" i="13"/>
  <c r="AE12" i="13"/>
  <c r="AG12" i="13" s="1"/>
  <c r="AF12" i="13"/>
  <c r="X44" i="13"/>
  <c r="Y44" i="13"/>
  <c r="X12" i="13"/>
  <c r="Y12" i="13"/>
  <c r="B111" i="13"/>
  <c r="AE43" i="13"/>
  <c r="AF43" i="13"/>
  <c r="AG43" i="13" s="1"/>
  <c r="AE11" i="13"/>
  <c r="AF11" i="13"/>
  <c r="X43" i="13"/>
  <c r="Y43" i="13"/>
  <c r="X11" i="13"/>
  <c r="Y11" i="13"/>
  <c r="Z11" i="13" s="1"/>
  <c r="B110" i="13"/>
  <c r="AE42" i="13"/>
  <c r="AF42" i="13"/>
  <c r="AE10" i="13"/>
  <c r="AF10" i="13"/>
  <c r="AH10" i="13" s="1"/>
  <c r="AJ10" i="13" s="1"/>
  <c r="N109" i="13" s="1"/>
  <c r="X42" i="13"/>
  <c r="Y42" i="13"/>
  <c r="X10" i="13"/>
  <c r="Y10" i="13"/>
  <c r="B109" i="13"/>
  <c r="AE41" i="13"/>
  <c r="AF41" i="13"/>
  <c r="AE9" i="13"/>
  <c r="AF9" i="13"/>
  <c r="L108" i="13"/>
  <c r="X41" i="13"/>
  <c r="Y41" i="13"/>
  <c r="X9" i="13"/>
  <c r="Y9" i="13"/>
  <c r="D108" i="13"/>
  <c r="B108" i="13"/>
  <c r="B75" i="12"/>
  <c r="B76" i="12"/>
  <c r="B77" i="12"/>
  <c r="B78" i="12"/>
  <c r="B79" i="12"/>
  <c r="B80" i="12"/>
  <c r="B81" i="12"/>
  <c r="B82" i="12"/>
  <c r="B83" i="12"/>
  <c r="B84" i="12"/>
  <c r="B85" i="12"/>
  <c r="B86" i="12"/>
  <c r="B87" i="12"/>
  <c r="B88" i="12"/>
  <c r="B74" i="12"/>
  <c r="K24" i="15"/>
  <c r="X24" i="15"/>
  <c r="AA24" i="15" s="1"/>
  <c r="Y24" i="15"/>
  <c r="AE24" i="15"/>
  <c r="AF24" i="15"/>
  <c r="AL24" i="15"/>
  <c r="AP24" i="15" s="1"/>
  <c r="AR24" i="15" s="1"/>
  <c r="AM24" i="15"/>
  <c r="K25" i="15"/>
  <c r="X25" i="15"/>
  <c r="Y25" i="15"/>
  <c r="AE25" i="15"/>
  <c r="AF25" i="15"/>
  <c r="AL25" i="15"/>
  <c r="AM25" i="15"/>
  <c r="K26" i="15"/>
  <c r="X26" i="15"/>
  <c r="Y26" i="15"/>
  <c r="AB26" i="15" s="1"/>
  <c r="AD26" i="15" s="1"/>
  <c r="H26" i="15" s="1"/>
  <c r="AE26" i="15"/>
  <c r="AF26" i="15"/>
  <c r="AL26" i="15"/>
  <c r="AM26" i="15"/>
  <c r="N27" i="15"/>
  <c r="U27" i="15" s="1"/>
  <c r="R27" i="15"/>
  <c r="X27" i="15"/>
  <c r="Y27" i="15"/>
  <c r="AE27" i="15"/>
  <c r="AF27" i="15"/>
  <c r="AL27" i="15"/>
  <c r="AM27" i="15"/>
  <c r="N28" i="15"/>
  <c r="U28" i="15" s="1"/>
  <c r="R28" i="15"/>
  <c r="X28" i="15"/>
  <c r="Y28" i="15"/>
  <c r="AE28" i="15"/>
  <c r="AF28" i="15"/>
  <c r="AL28" i="15"/>
  <c r="AM28" i="15"/>
  <c r="AO28" i="15" s="1"/>
  <c r="AQ28" i="15" s="1"/>
  <c r="J25" i="14"/>
  <c r="W25" i="14"/>
  <c r="X25" i="14"/>
  <c r="AA25" i="14" s="1"/>
  <c r="AC25" i="14" s="1"/>
  <c r="AD25" i="14"/>
  <c r="AE25" i="14"/>
  <c r="AK25" i="14"/>
  <c r="AP25" i="14" s="1"/>
  <c r="AL25" i="14"/>
  <c r="J26" i="14"/>
  <c r="W26" i="14"/>
  <c r="X26" i="14"/>
  <c r="AD26" i="14"/>
  <c r="AE26" i="14"/>
  <c r="AK26" i="14"/>
  <c r="AL26" i="14"/>
  <c r="J27" i="14"/>
  <c r="W27" i="14"/>
  <c r="X27" i="14"/>
  <c r="AD27" i="14"/>
  <c r="AE27" i="14"/>
  <c r="AK27" i="14"/>
  <c r="AL27" i="14"/>
  <c r="J34" i="14"/>
  <c r="W34" i="14"/>
  <c r="AB34" i="14" s="1"/>
  <c r="X34" i="14"/>
  <c r="AD34" i="14"/>
  <c r="AE34" i="14"/>
  <c r="AK34" i="14"/>
  <c r="AP34" i="14" s="1"/>
  <c r="AL34" i="14"/>
  <c r="K57" i="16"/>
  <c r="R57" i="16" s="1"/>
  <c r="M57" i="16"/>
  <c r="T57" i="16" s="1"/>
  <c r="X57" i="16"/>
  <c r="Y57" i="16"/>
  <c r="AE57" i="16"/>
  <c r="AF57" i="16"/>
  <c r="AL57" i="16"/>
  <c r="AM57" i="16"/>
  <c r="K58" i="16"/>
  <c r="N58" i="16" s="1"/>
  <c r="U58" i="16" s="1"/>
  <c r="M58" i="16"/>
  <c r="T58" i="16" s="1"/>
  <c r="X58" i="16"/>
  <c r="Y58" i="16"/>
  <c r="AE58" i="16"/>
  <c r="AF58" i="16"/>
  <c r="AL58" i="16"/>
  <c r="AM58" i="16"/>
  <c r="K59" i="16"/>
  <c r="R59" i="16" s="1"/>
  <c r="M59" i="16"/>
  <c r="T59" i="16" s="1"/>
  <c r="X59" i="16"/>
  <c r="Y59" i="16"/>
  <c r="AE59" i="16"/>
  <c r="AF59" i="16"/>
  <c r="AL59" i="16"/>
  <c r="AM59" i="16"/>
  <c r="R64" i="16"/>
  <c r="P64" i="16"/>
  <c r="W64" i="16" s="1"/>
  <c r="X64" i="16"/>
  <c r="Y64" i="16"/>
  <c r="AE64" i="16"/>
  <c r="AF64" i="16"/>
  <c r="AL64" i="16"/>
  <c r="AM64" i="16"/>
  <c r="K65" i="16"/>
  <c r="N65" i="16" s="1"/>
  <c r="U65" i="16" s="1"/>
  <c r="M65" i="16"/>
  <c r="P65" i="16" s="1"/>
  <c r="W65" i="16" s="1"/>
  <c r="X65" i="16"/>
  <c r="Y65" i="16"/>
  <c r="AE65" i="16"/>
  <c r="AF65" i="16"/>
  <c r="AL65" i="16"/>
  <c r="AM65" i="16"/>
  <c r="AQ65" i="16"/>
  <c r="K25" i="16"/>
  <c r="M25" i="16"/>
  <c r="X25" i="16"/>
  <c r="Y25" i="16"/>
  <c r="AE25" i="16"/>
  <c r="AF25" i="16"/>
  <c r="AL25" i="16"/>
  <c r="AM25" i="16"/>
  <c r="K26" i="16"/>
  <c r="M26" i="16"/>
  <c r="X26" i="16"/>
  <c r="Y26" i="16"/>
  <c r="AE26" i="16"/>
  <c r="AF26" i="16"/>
  <c r="AL26" i="16"/>
  <c r="AM26" i="16"/>
  <c r="K32" i="16"/>
  <c r="H89" i="24" s="1"/>
  <c r="M32" i="16"/>
  <c r="X32" i="16"/>
  <c r="Y32" i="16"/>
  <c r="AE32" i="16"/>
  <c r="AF32" i="16"/>
  <c r="AL32" i="16"/>
  <c r="AM32" i="16"/>
  <c r="K33" i="16"/>
  <c r="M33" i="16"/>
  <c r="X33" i="16"/>
  <c r="AC33" i="16" s="1"/>
  <c r="Y33" i="16"/>
  <c r="AE33" i="16"/>
  <c r="AJ33" i="16" s="1"/>
  <c r="AF33" i="16"/>
  <c r="AL33" i="16"/>
  <c r="AQ33" i="16" s="1"/>
  <c r="AM33" i="16"/>
  <c r="K25" i="18"/>
  <c r="H65" i="24" s="1"/>
  <c r="L25" i="18"/>
  <c r="O25" i="18" s="1"/>
  <c r="V25" i="18" s="1"/>
  <c r="M25" i="18"/>
  <c r="J65" i="24" s="1"/>
  <c r="X25" i="18"/>
  <c r="Y25" i="18"/>
  <c r="AE25" i="18"/>
  <c r="AF25" i="18"/>
  <c r="AL25" i="18"/>
  <c r="AM25" i="18"/>
  <c r="K26" i="18"/>
  <c r="H66" i="24" s="1"/>
  <c r="S26" i="18"/>
  <c r="T26" i="18"/>
  <c r="X26" i="18"/>
  <c r="Y26" i="18"/>
  <c r="AE26" i="18"/>
  <c r="AF26" i="18"/>
  <c r="AL26" i="18"/>
  <c r="AM26" i="18"/>
  <c r="K27" i="18"/>
  <c r="O27" i="18"/>
  <c r="V27" i="18" s="1"/>
  <c r="T27" i="18"/>
  <c r="X27" i="18"/>
  <c r="Y27" i="18"/>
  <c r="AE27" i="18"/>
  <c r="AJ27" i="18" s="1"/>
  <c r="AF27" i="18"/>
  <c r="AL27" i="18"/>
  <c r="AM27" i="18"/>
  <c r="N30" i="18"/>
  <c r="U30" i="18" s="1"/>
  <c r="L30" i="18"/>
  <c r="M30" i="18"/>
  <c r="P30" i="18" s="1"/>
  <c r="W30" i="18" s="1"/>
  <c r="X30" i="18"/>
  <c r="Y30" i="18"/>
  <c r="AE30" i="18"/>
  <c r="AF30" i="18"/>
  <c r="AL30" i="18"/>
  <c r="AM30" i="18"/>
  <c r="E55" i="12"/>
  <c r="D89" i="12" s="1"/>
  <c r="G55" i="12"/>
  <c r="K55" i="12"/>
  <c r="N55" i="12" s="1"/>
  <c r="U55" i="12" s="1"/>
  <c r="M55" i="12"/>
  <c r="P55" i="12" s="1"/>
  <c r="W55" i="12" s="1"/>
  <c r="X55" i="12"/>
  <c r="Y55" i="12"/>
  <c r="AE55" i="12"/>
  <c r="AF55" i="12"/>
  <c r="AL55" i="12"/>
  <c r="AM55" i="12"/>
  <c r="E56" i="12"/>
  <c r="D90" i="12" s="1"/>
  <c r="G56" i="12"/>
  <c r="K56" i="12"/>
  <c r="N56" i="12" s="1"/>
  <c r="U56" i="12" s="1"/>
  <c r="M56" i="12"/>
  <c r="P56" i="12" s="1"/>
  <c r="W56" i="12" s="1"/>
  <c r="X56" i="12"/>
  <c r="Y56" i="12"/>
  <c r="AE56" i="12"/>
  <c r="AF56" i="12"/>
  <c r="AL56" i="12"/>
  <c r="AM56" i="12"/>
  <c r="K57" i="12"/>
  <c r="N57" i="12" s="1"/>
  <c r="U57" i="12" s="1"/>
  <c r="M57" i="12"/>
  <c r="P57" i="12" s="1"/>
  <c r="W57" i="12" s="1"/>
  <c r="X57" i="12"/>
  <c r="Y57" i="12"/>
  <c r="AE57" i="12"/>
  <c r="AF57" i="12"/>
  <c r="AL57" i="12"/>
  <c r="AM57" i="12"/>
  <c r="K58" i="12"/>
  <c r="N58" i="12" s="1"/>
  <c r="U58" i="12" s="1"/>
  <c r="M58" i="12"/>
  <c r="X58" i="12"/>
  <c r="Y58" i="12"/>
  <c r="AE58" i="12"/>
  <c r="AF58" i="12"/>
  <c r="AL58" i="12"/>
  <c r="AM58" i="12"/>
  <c r="E25" i="12"/>
  <c r="C89" i="12" s="1"/>
  <c r="G25" i="12"/>
  <c r="K25" i="12"/>
  <c r="N25" i="12" s="1"/>
  <c r="U25" i="12" s="1"/>
  <c r="M25" i="12"/>
  <c r="X25" i="12"/>
  <c r="Y25" i="12"/>
  <c r="AE25" i="12"/>
  <c r="AF25" i="12"/>
  <c r="AL25" i="12"/>
  <c r="AM25" i="12"/>
  <c r="E26" i="12"/>
  <c r="C90" i="12" s="1"/>
  <c r="G26" i="12"/>
  <c r="K26" i="12"/>
  <c r="M26" i="12"/>
  <c r="X26" i="12"/>
  <c r="Y26" i="12"/>
  <c r="AE26" i="12"/>
  <c r="AF26" i="12"/>
  <c r="AL26" i="12"/>
  <c r="AM26" i="12"/>
  <c r="G46" i="24"/>
  <c r="J46" i="24"/>
  <c r="K57" i="13"/>
  <c r="N57" i="13" s="1"/>
  <c r="U57" i="13" s="1"/>
  <c r="M57" i="13"/>
  <c r="T57" i="13" s="1"/>
  <c r="X57" i="13"/>
  <c r="Y57" i="13"/>
  <c r="AE57" i="13"/>
  <c r="AF57" i="13"/>
  <c r="AL57" i="13"/>
  <c r="AM57" i="13"/>
  <c r="K58" i="13"/>
  <c r="R58" i="13" s="1"/>
  <c r="M58" i="13"/>
  <c r="X58" i="13"/>
  <c r="Y58" i="13"/>
  <c r="AE58" i="13"/>
  <c r="AF58" i="13"/>
  <c r="AL58" i="13"/>
  <c r="AM58" i="13"/>
  <c r="K59" i="13"/>
  <c r="R59" i="13" s="1"/>
  <c r="M59" i="13"/>
  <c r="X59" i="13"/>
  <c r="Y59" i="13"/>
  <c r="AE59" i="13"/>
  <c r="AF59" i="13"/>
  <c r="AL59" i="13"/>
  <c r="AM59" i="13"/>
  <c r="K60" i="13"/>
  <c r="X60" i="13"/>
  <c r="Y60" i="13"/>
  <c r="AE60" i="13"/>
  <c r="AF60" i="13"/>
  <c r="AL60" i="13"/>
  <c r="AM60" i="13"/>
  <c r="E57" i="13"/>
  <c r="G57" i="13"/>
  <c r="E58" i="13"/>
  <c r="G58" i="13"/>
  <c r="E59" i="13"/>
  <c r="G59" i="13"/>
  <c r="E60" i="13"/>
  <c r="G60" i="13"/>
  <c r="X25" i="13"/>
  <c r="Y25" i="13"/>
  <c r="Z25" i="13" s="1"/>
  <c r="AE25" i="13"/>
  <c r="AF25" i="13"/>
  <c r="AL25" i="13"/>
  <c r="AM25" i="13"/>
  <c r="X26" i="13"/>
  <c r="Y26" i="13"/>
  <c r="AE26" i="13"/>
  <c r="AF26" i="13"/>
  <c r="AL26" i="13"/>
  <c r="AM26" i="13"/>
  <c r="X27" i="13"/>
  <c r="Y27" i="13"/>
  <c r="AE27" i="13"/>
  <c r="AF27" i="13"/>
  <c r="AL27" i="13"/>
  <c r="AM27" i="13"/>
  <c r="X32" i="13"/>
  <c r="Y32" i="13"/>
  <c r="AE32" i="13"/>
  <c r="AJ32" i="13" s="1"/>
  <c r="AF32" i="13"/>
  <c r="AL32" i="13"/>
  <c r="AM32" i="13"/>
  <c r="M25" i="13"/>
  <c r="P25" i="13" s="1"/>
  <c r="W25" i="13" s="1"/>
  <c r="K26" i="13"/>
  <c r="K32" i="13"/>
  <c r="K25" i="13"/>
  <c r="M26" i="13"/>
  <c r="K27" i="13"/>
  <c r="M27" i="13"/>
  <c r="P27" i="13" s="1"/>
  <c r="W27" i="13" s="1"/>
  <c r="E25" i="13"/>
  <c r="G25" i="13"/>
  <c r="E26" i="13"/>
  <c r="G26" i="13"/>
  <c r="G24" i="24" s="1"/>
  <c r="E27" i="13"/>
  <c r="G27" i="13"/>
  <c r="G25" i="24" s="1"/>
  <c r="W24" i="27"/>
  <c r="X24" i="27"/>
  <c r="Z24" i="27" s="1"/>
  <c r="AD24" i="27"/>
  <c r="AE24" i="27"/>
  <c r="AH24" i="27" s="1"/>
  <c r="AJ24" i="27" s="1"/>
  <c r="AK24" i="27"/>
  <c r="AL24" i="27"/>
  <c r="AO24" i="27" s="1"/>
  <c r="AQ24" i="27" s="1"/>
  <c r="W25" i="27"/>
  <c r="X25" i="27"/>
  <c r="AD25" i="27"/>
  <c r="AI25" i="27" s="1"/>
  <c r="AE25" i="27"/>
  <c r="AG25" i="27" s="1"/>
  <c r="AK25" i="27"/>
  <c r="AL25" i="27"/>
  <c r="AM25" i="27" s="1"/>
  <c r="W26" i="27"/>
  <c r="X26" i="27"/>
  <c r="Z26" i="27" s="1"/>
  <c r="AD26" i="27"/>
  <c r="AE26" i="27"/>
  <c r="AK26" i="27"/>
  <c r="AL26" i="27"/>
  <c r="W27" i="27"/>
  <c r="X27" i="27"/>
  <c r="AD27" i="27"/>
  <c r="AI27" i="27" s="1"/>
  <c r="AE27" i="27"/>
  <c r="AK27" i="27"/>
  <c r="AL27" i="27"/>
  <c r="J24" i="27"/>
  <c r="M24" i="27" s="1"/>
  <c r="J25" i="27"/>
  <c r="M25" i="27" s="1"/>
  <c r="J26" i="27"/>
  <c r="M26" i="27" s="1"/>
  <c r="J27" i="27"/>
  <c r="M27" i="27" s="1"/>
  <c r="T27" i="27" s="1"/>
  <c r="E24" i="27"/>
  <c r="E25" i="27"/>
  <c r="E26" i="27"/>
  <c r="E32" i="27" s="1"/>
  <c r="E27" i="27"/>
  <c r="AI34" i="14"/>
  <c r="AG34" i="14"/>
  <c r="AC32" i="13"/>
  <c r="AI24" i="27"/>
  <c r="Z27" i="27"/>
  <c r="AG24" i="27"/>
  <c r="B128" i="24"/>
  <c r="C128" i="24"/>
  <c r="B106" i="24"/>
  <c r="C106" i="24"/>
  <c r="B107" i="24"/>
  <c r="C107" i="24"/>
  <c r="B85" i="24"/>
  <c r="C85" i="24"/>
  <c r="D85" i="24"/>
  <c r="K23" i="16"/>
  <c r="R23" i="16" s="1"/>
  <c r="M23" i="16"/>
  <c r="B86" i="24"/>
  <c r="C86" i="24"/>
  <c r="D86" i="24"/>
  <c r="E24" i="16"/>
  <c r="E86" i="24" s="1"/>
  <c r="G24" i="16"/>
  <c r="G86" i="24" s="1"/>
  <c r="K24" i="16"/>
  <c r="M24" i="16"/>
  <c r="J86" i="24" s="1"/>
  <c r="E144" i="24" s="1"/>
  <c r="B63" i="24"/>
  <c r="C63" i="24"/>
  <c r="D63" i="24"/>
  <c r="B64" i="24"/>
  <c r="C64" i="24"/>
  <c r="D64" i="24"/>
  <c r="B42" i="24"/>
  <c r="C42" i="24"/>
  <c r="D42" i="24"/>
  <c r="B43" i="24"/>
  <c r="C43" i="24"/>
  <c r="D43" i="24"/>
  <c r="B21" i="24"/>
  <c r="C21" i="24"/>
  <c r="D21" i="24"/>
  <c r="K23" i="13"/>
  <c r="N23" i="13" s="1"/>
  <c r="U23" i="13" s="1"/>
  <c r="M23" i="13"/>
  <c r="P23" i="13" s="1"/>
  <c r="W23" i="13" s="1"/>
  <c r="B22" i="24"/>
  <c r="C22" i="24"/>
  <c r="D22" i="24"/>
  <c r="K24" i="13"/>
  <c r="M24" i="13"/>
  <c r="K66" i="16"/>
  <c r="R66" i="16" s="1"/>
  <c r="K56" i="13"/>
  <c r="N56" i="13" s="1"/>
  <c r="U56" i="13" s="1"/>
  <c r="M56" i="13"/>
  <c r="E66" i="16"/>
  <c r="G66" i="16"/>
  <c r="J67" i="16"/>
  <c r="I67" i="16"/>
  <c r="H67" i="16"/>
  <c r="D67" i="16"/>
  <c r="AE67" i="16" s="1"/>
  <c r="C67" i="16"/>
  <c r="AM67" i="16"/>
  <c r="J34" i="16"/>
  <c r="I34" i="16"/>
  <c r="H34" i="16"/>
  <c r="D34" i="16"/>
  <c r="AE34" i="16" s="1"/>
  <c r="C34" i="16"/>
  <c r="X34" i="16" s="1"/>
  <c r="AF34" i="16"/>
  <c r="B34" i="16"/>
  <c r="AM34" i="16" s="1"/>
  <c r="I32" i="12"/>
  <c r="C66" i="13"/>
  <c r="X66" i="13" s="1"/>
  <c r="D66" i="13"/>
  <c r="AE66" i="13" s="1"/>
  <c r="H66" i="13"/>
  <c r="I66" i="13"/>
  <c r="J66" i="13"/>
  <c r="B66" i="13"/>
  <c r="AM66" i="13" s="1"/>
  <c r="AG56" i="13"/>
  <c r="AL56" i="13"/>
  <c r="AM56" i="13"/>
  <c r="AL24" i="13"/>
  <c r="AM24" i="13"/>
  <c r="AF32" i="18"/>
  <c r="AM32" i="18"/>
  <c r="X24" i="18"/>
  <c r="M24" i="18"/>
  <c r="J64" i="24" s="1"/>
  <c r="K24" i="18"/>
  <c r="N24" i="18" s="1"/>
  <c r="U24" i="18" s="1"/>
  <c r="F24" i="18"/>
  <c r="F64" i="24" s="1"/>
  <c r="G24" i="18"/>
  <c r="G64" i="24" s="1"/>
  <c r="L24" i="18"/>
  <c r="S24" i="18" s="1"/>
  <c r="AE24" i="18"/>
  <c r="AL24" i="18"/>
  <c r="E24" i="18"/>
  <c r="E64" i="24" s="1"/>
  <c r="AF24" i="18"/>
  <c r="Y24" i="18"/>
  <c r="AM24" i="18"/>
  <c r="J62" i="12"/>
  <c r="I62" i="12"/>
  <c r="H62" i="12"/>
  <c r="D62" i="12"/>
  <c r="AL62" i="12" s="1"/>
  <c r="C62" i="12"/>
  <c r="AF62" i="12" s="1"/>
  <c r="B62" i="12"/>
  <c r="Y62" i="12" s="1"/>
  <c r="B32" i="12"/>
  <c r="J32" i="12"/>
  <c r="H32" i="12"/>
  <c r="D32" i="12"/>
  <c r="C32" i="12"/>
  <c r="X32" i="12" s="1"/>
  <c r="C35" i="14"/>
  <c r="AE35" i="14" s="1"/>
  <c r="D35" i="14"/>
  <c r="AK35" i="14" s="1"/>
  <c r="H35" i="14"/>
  <c r="I35" i="14"/>
  <c r="B35" i="14"/>
  <c r="E24" i="14"/>
  <c r="J24" i="14"/>
  <c r="W24" i="14"/>
  <c r="X24" i="14"/>
  <c r="AD24" i="14"/>
  <c r="AI24" i="14" s="1"/>
  <c r="AE24" i="14"/>
  <c r="AK24" i="14"/>
  <c r="AL24" i="14"/>
  <c r="E24" i="12"/>
  <c r="G24" i="12"/>
  <c r="F24" i="12" s="1"/>
  <c r="K24" i="12"/>
  <c r="N24" i="12" s="1"/>
  <c r="U24" i="12" s="1"/>
  <c r="M24" i="12"/>
  <c r="T24" i="12" s="1"/>
  <c r="X24" i="12"/>
  <c r="Y24" i="12"/>
  <c r="AE24" i="12"/>
  <c r="AF24" i="12"/>
  <c r="AL24" i="12"/>
  <c r="AM24" i="12"/>
  <c r="X54" i="12"/>
  <c r="Y54" i="12"/>
  <c r="AE54" i="12"/>
  <c r="AF54" i="12"/>
  <c r="AL54" i="12"/>
  <c r="AM54" i="12"/>
  <c r="E54" i="12"/>
  <c r="D88" i="12" s="1"/>
  <c r="G54" i="12"/>
  <c r="K54" i="12"/>
  <c r="R54" i="12" s="1"/>
  <c r="M54" i="12"/>
  <c r="T41" i="27"/>
  <c r="L40" i="27"/>
  <c r="AD32" i="27"/>
  <c r="AI32" i="27" s="1"/>
  <c r="AE32" i="27"/>
  <c r="AL32" i="27"/>
  <c r="AL23" i="27"/>
  <c r="AK23" i="27"/>
  <c r="AE23" i="27"/>
  <c r="AD23" i="27"/>
  <c r="AI23" i="27" s="1"/>
  <c r="X23" i="27"/>
  <c r="W23" i="27"/>
  <c r="J23" i="27"/>
  <c r="M23" i="27" s="1"/>
  <c r="E23" i="27"/>
  <c r="AL22" i="27"/>
  <c r="AK22" i="27"/>
  <c r="AN22" i="27" s="1"/>
  <c r="AP22" i="27" s="1"/>
  <c r="AE22" i="27"/>
  <c r="AD22" i="27"/>
  <c r="X22" i="27"/>
  <c r="W22" i="27"/>
  <c r="Z22" i="27" s="1"/>
  <c r="J22" i="27"/>
  <c r="E22" i="27"/>
  <c r="AL21" i="27"/>
  <c r="AK21" i="27"/>
  <c r="AE21" i="27"/>
  <c r="AD21" i="27"/>
  <c r="AH21" i="27" s="1"/>
  <c r="X21" i="27"/>
  <c r="W21" i="27"/>
  <c r="AA21" i="27" s="1"/>
  <c r="J21" i="27"/>
  <c r="Q21" i="27" s="1"/>
  <c r="E21" i="27"/>
  <c r="AL20" i="27"/>
  <c r="AK20" i="27"/>
  <c r="AE20" i="27"/>
  <c r="AD20" i="27"/>
  <c r="AI20" i="27" s="1"/>
  <c r="X20" i="27"/>
  <c r="W20" i="27"/>
  <c r="J20" i="27"/>
  <c r="M20" i="27" s="1"/>
  <c r="E20" i="27"/>
  <c r="AL19" i="27"/>
  <c r="AK19" i="27"/>
  <c r="AM19" i="27" s="1"/>
  <c r="AE19" i="27"/>
  <c r="AD19" i="27"/>
  <c r="AI19" i="27" s="1"/>
  <c r="X19" i="27"/>
  <c r="W19" i="27"/>
  <c r="J19" i="27"/>
  <c r="Q19" i="27" s="1"/>
  <c r="E19" i="27"/>
  <c r="AL18" i="27"/>
  <c r="AN18" i="27" s="1"/>
  <c r="AK18" i="27"/>
  <c r="AE18" i="27"/>
  <c r="AD18" i="27"/>
  <c r="X18" i="27"/>
  <c r="W18" i="27"/>
  <c r="J18" i="27"/>
  <c r="Q18" i="27" s="1"/>
  <c r="E18" i="27"/>
  <c r="AL17" i="27"/>
  <c r="AK17" i="27"/>
  <c r="AE17" i="27"/>
  <c r="AD17" i="27"/>
  <c r="AH17" i="27" s="1"/>
  <c r="X17" i="27"/>
  <c r="W17" i="27"/>
  <c r="J17" i="27"/>
  <c r="E17" i="27"/>
  <c r="AL16" i="27"/>
  <c r="AK16" i="27"/>
  <c r="AM16" i="27" s="1"/>
  <c r="AE16" i="27"/>
  <c r="AF16" i="27"/>
  <c r="AD16" i="27"/>
  <c r="X16" i="27"/>
  <c r="W16" i="27"/>
  <c r="J16" i="27"/>
  <c r="Q16" i="27" s="1"/>
  <c r="E16" i="27"/>
  <c r="I15" i="27"/>
  <c r="H15" i="27"/>
  <c r="AL14" i="27"/>
  <c r="AK14" i="27"/>
  <c r="AE14" i="27"/>
  <c r="AD14" i="27"/>
  <c r="X14" i="27"/>
  <c r="Z14" i="27" s="1"/>
  <c r="AB14" i="27" s="1"/>
  <c r="W14" i="27"/>
  <c r="J14" i="27"/>
  <c r="Q14" i="27" s="1"/>
  <c r="E14" i="27"/>
  <c r="AL13" i="27"/>
  <c r="AM13" i="27" s="1"/>
  <c r="AK13" i="27"/>
  <c r="AE13" i="27"/>
  <c r="AD13" i="27"/>
  <c r="AI13" i="27" s="1"/>
  <c r="X13" i="27"/>
  <c r="W13" i="27"/>
  <c r="J13" i="27"/>
  <c r="Q13" i="27" s="1"/>
  <c r="E13" i="27"/>
  <c r="AL12" i="27"/>
  <c r="AK12" i="27"/>
  <c r="AE12" i="27"/>
  <c r="AD12" i="27"/>
  <c r="X12" i="27"/>
  <c r="W12" i="27"/>
  <c r="J12" i="27"/>
  <c r="M12" i="27" s="1"/>
  <c r="T12" i="27" s="1"/>
  <c r="E12" i="27"/>
  <c r="AL11" i="27"/>
  <c r="AK11" i="27"/>
  <c r="AE11" i="27"/>
  <c r="AD11" i="27"/>
  <c r="AI11" i="27" s="1"/>
  <c r="X11" i="27"/>
  <c r="W11" i="27"/>
  <c r="J11" i="27"/>
  <c r="Q11" i="27" s="1"/>
  <c r="E11" i="27"/>
  <c r="AL10" i="27"/>
  <c r="AK10" i="27"/>
  <c r="AE10" i="27"/>
  <c r="AD10" i="27"/>
  <c r="X10" i="27"/>
  <c r="W10" i="27"/>
  <c r="J10" i="27"/>
  <c r="Q10" i="27"/>
  <c r="E10" i="27"/>
  <c r="AL9" i="27"/>
  <c r="AK9" i="27"/>
  <c r="AE9" i="27"/>
  <c r="AD9" i="27"/>
  <c r="X9" i="27"/>
  <c r="Y9" i="27" s="1"/>
  <c r="W9" i="27"/>
  <c r="J9" i="27"/>
  <c r="E9" i="27"/>
  <c r="V1" i="27"/>
  <c r="X32" i="27"/>
  <c r="AG9" i="27"/>
  <c r="AO13" i="27"/>
  <c r="AN20" i="27"/>
  <c r="AP20" i="27" s="1"/>
  <c r="AI16" i="27"/>
  <c r="AG16" i="27"/>
  <c r="AH23" i="27"/>
  <c r="AJ23" i="27" s="1"/>
  <c r="M10" i="27"/>
  <c r="C129" i="24"/>
  <c r="E23" i="15"/>
  <c r="E128" i="24" s="1"/>
  <c r="K23" i="15"/>
  <c r="H128" i="24" s="1"/>
  <c r="X23" i="15"/>
  <c r="Y23" i="15"/>
  <c r="AE23" i="15"/>
  <c r="AF23" i="15"/>
  <c r="AL23" i="15"/>
  <c r="AM23" i="15"/>
  <c r="AL66" i="16"/>
  <c r="AF66" i="16"/>
  <c r="X24" i="16"/>
  <c r="Y24" i="16"/>
  <c r="AF24" i="16"/>
  <c r="AE24" i="16"/>
  <c r="AM24" i="16"/>
  <c r="E23" i="14"/>
  <c r="J23" i="14"/>
  <c r="M23" i="14" s="1"/>
  <c r="T23" i="14" s="1"/>
  <c r="W23" i="14"/>
  <c r="X23" i="14"/>
  <c r="AD23" i="14"/>
  <c r="AE23" i="14"/>
  <c r="AK23" i="14"/>
  <c r="AL23" i="14"/>
  <c r="M22" i="16"/>
  <c r="P22" i="16" s="1"/>
  <c r="W22" i="16" s="1"/>
  <c r="AL23" i="16"/>
  <c r="AM23" i="16"/>
  <c r="K56" i="16"/>
  <c r="R56" i="16" s="1"/>
  <c r="M56" i="16"/>
  <c r="T56" i="16" s="1"/>
  <c r="AL56" i="16"/>
  <c r="AM56" i="16"/>
  <c r="AL24" i="16"/>
  <c r="AM66" i="16"/>
  <c r="Y66" i="16"/>
  <c r="X66" i="16"/>
  <c r="AE66" i="16"/>
  <c r="Z23" i="16"/>
  <c r="AE32" i="18"/>
  <c r="E23" i="18"/>
  <c r="F23" i="18"/>
  <c r="G23" i="18"/>
  <c r="K23" i="18"/>
  <c r="L23" i="18"/>
  <c r="O23" i="18" s="1"/>
  <c r="V23" i="18" s="1"/>
  <c r="M23" i="18"/>
  <c r="P23" i="18" s="1"/>
  <c r="W23" i="18" s="1"/>
  <c r="X23" i="18"/>
  <c r="Y23" i="18"/>
  <c r="AE23" i="18"/>
  <c r="AF23" i="18"/>
  <c r="AL23" i="18"/>
  <c r="AM23" i="18"/>
  <c r="AF66" i="13"/>
  <c r="X33" i="13"/>
  <c r="Y33" i="13"/>
  <c r="AE33" i="13"/>
  <c r="AF33" i="13"/>
  <c r="AL33" i="13"/>
  <c r="AM33" i="13"/>
  <c r="G53" i="12"/>
  <c r="M53" i="12"/>
  <c r="X53" i="12"/>
  <c r="Y53" i="12"/>
  <c r="AE53" i="12"/>
  <c r="AF53" i="12"/>
  <c r="AL53" i="12"/>
  <c r="AM53" i="12"/>
  <c r="E23" i="12"/>
  <c r="C87" i="12" s="1"/>
  <c r="G23" i="12"/>
  <c r="K23" i="12"/>
  <c r="M23" i="12"/>
  <c r="T23" i="12" s="1"/>
  <c r="X23" i="12"/>
  <c r="Y23" i="12"/>
  <c r="AE23" i="12"/>
  <c r="AF23" i="12"/>
  <c r="AL23" i="12"/>
  <c r="AM23" i="12"/>
  <c r="AM55" i="13"/>
  <c r="AG23" i="13"/>
  <c r="AL23" i="13"/>
  <c r="AM23" i="13"/>
  <c r="AL32" i="18"/>
  <c r="K53" i="12"/>
  <c r="R53" i="12" s="1"/>
  <c r="E53" i="12"/>
  <c r="D87" i="12" s="1"/>
  <c r="M55" i="13"/>
  <c r="T55" i="13" s="1"/>
  <c r="K55" i="13"/>
  <c r="AL55" i="13"/>
  <c r="K22" i="16"/>
  <c r="B18" i="24"/>
  <c r="C18" i="24"/>
  <c r="D18" i="24"/>
  <c r="B19" i="24"/>
  <c r="C19" i="24"/>
  <c r="D19" i="24"/>
  <c r="B20" i="24"/>
  <c r="C20" i="24"/>
  <c r="D20" i="24"/>
  <c r="C17" i="24"/>
  <c r="D17" i="24"/>
  <c r="B17" i="24"/>
  <c r="C124" i="24"/>
  <c r="C125" i="24"/>
  <c r="C126" i="24"/>
  <c r="C127" i="24"/>
  <c r="B125" i="24"/>
  <c r="B126" i="24"/>
  <c r="B127" i="24"/>
  <c r="B124" i="24"/>
  <c r="C38" i="24"/>
  <c r="D38" i="24"/>
  <c r="C39" i="24"/>
  <c r="D39" i="24"/>
  <c r="C40" i="24"/>
  <c r="D40" i="24"/>
  <c r="C41" i="24"/>
  <c r="D41" i="24"/>
  <c r="B39" i="24"/>
  <c r="B40" i="24"/>
  <c r="B41" i="24"/>
  <c r="B38" i="24"/>
  <c r="K21" i="16"/>
  <c r="M21" i="16"/>
  <c r="J83" i="24" s="1"/>
  <c r="E141" i="24" s="1"/>
  <c r="C81" i="24"/>
  <c r="D81" i="24"/>
  <c r="C82" i="24"/>
  <c r="D82" i="24"/>
  <c r="C83" i="24"/>
  <c r="D83" i="24"/>
  <c r="C84" i="24"/>
  <c r="D84" i="24"/>
  <c r="B82" i="24"/>
  <c r="B83" i="24"/>
  <c r="B84" i="24"/>
  <c r="B81" i="24"/>
  <c r="E99" i="24"/>
  <c r="E100" i="24"/>
  <c r="E101" i="24"/>
  <c r="E102" i="24"/>
  <c r="C103" i="24"/>
  <c r="C104" i="24"/>
  <c r="C105" i="24"/>
  <c r="B105" i="24"/>
  <c r="B103" i="24"/>
  <c r="B104" i="24"/>
  <c r="K114" i="24"/>
  <c r="B61" i="24"/>
  <c r="C61" i="24"/>
  <c r="D61" i="24"/>
  <c r="B62" i="24"/>
  <c r="C62" i="24"/>
  <c r="D62" i="24"/>
  <c r="C60" i="24"/>
  <c r="D60" i="24"/>
  <c r="B60" i="24"/>
  <c r="K22" i="13"/>
  <c r="R22" i="13" s="1"/>
  <c r="T41" i="15"/>
  <c r="Q71" i="16"/>
  <c r="M22" i="13"/>
  <c r="P22" i="13" s="1"/>
  <c r="W22" i="13" s="1"/>
  <c r="J84" i="13"/>
  <c r="J83" i="13"/>
  <c r="G20" i="24"/>
  <c r="AL22" i="13"/>
  <c r="AM22" i="13"/>
  <c r="AL22" i="16"/>
  <c r="AM22" i="16"/>
  <c r="AL54" i="13"/>
  <c r="AM54" i="13"/>
  <c r="K54" i="13"/>
  <c r="N54" i="13" s="1"/>
  <c r="M54" i="13"/>
  <c r="T54" i="13" s="1"/>
  <c r="X22" i="15"/>
  <c r="Y22" i="15"/>
  <c r="AE22" i="15"/>
  <c r="AF22" i="15"/>
  <c r="AL22" i="15"/>
  <c r="AM22" i="15"/>
  <c r="K22" i="15"/>
  <c r="E22" i="15"/>
  <c r="E127" i="24" s="1"/>
  <c r="AL55" i="16"/>
  <c r="AM55" i="16"/>
  <c r="K55" i="16"/>
  <c r="M55" i="16"/>
  <c r="T55" i="16" s="1"/>
  <c r="X21" i="18"/>
  <c r="Y21" i="18"/>
  <c r="AE21" i="18"/>
  <c r="AF21" i="18"/>
  <c r="AI21" i="18" s="1"/>
  <c r="AK21" i="18" s="1"/>
  <c r="AL21" i="18"/>
  <c r="AM21" i="18"/>
  <c r="K21" i="18"/>
  <c r="L21" i="18"/>
  <c r="O21" i="18" s="1"/>
  <c r="V21" i="18" s="1"/>
  <c r="M21" i="18"/>
  <c r="P21" i="18" s="1"/>
  <c r="W21" i="18" s="1"/>
  <c r="E21" i="18"/>
  <c r="E61" i="24" s="1"/>
  <c r="F21" i="18"/>
  <c r="F61" i="24" s="1"/>
  <c r="G21" i="18"/>
  <c r="G61" i="24" s="1"/>
  <c r="AB21" i="18"/>
  <c r="J22" i="14"/>
  <c r="M22" i="14" s="1"/>
  <c r="T22" i="14" s="1"/>
  <c r="AD22" i="14"/>
  <c r="AK22" i="14"/>
  <c r="E22" i="14"/>
  <c r="W22" i="14"/>
  <c r="AE22" i="14"/>
  <c r="X22" i="14"/>
  <c r="AL22" i="14"/>
  <c r="K22" i="12"/>
  <c r="R22" i="12" s="1"/>
  <c r="M22" i="12"/>
  <c r="J41" i="24" s="1"/>
  <c r="C142" i="24" s="1"/>
  <c r="X22" i="12"/>
  <c r="Y22" i="12"/>
  <c r="AE22" i="12"/>
  <c r="AF22" i="12"/>
  <c r="AL22" i="12"/>
  <c r="AM22" i="12"/>
  <c r="X21" i="12"/>
  <c r="Y21" i="12"/>
  <c r="AE21" i="12"/>
  <c r="AF21" i="12"/>
  <c r="AL21" i="12"/>
  <c r="AM21" i="12"/>
  <c r="X52" i="12"/>
  <c r="Y52" i="12"/>
  <c r="AE52" i="12"/>
  <c r="AF52" i="12"/>
  <c r="AL52" i="12"/>
  <c r="AM52" i="12"/>
  <c r="K52" i="12"/>
  <c r="R52" i="12" s="1"/>
  <c r="M52" i="12"/>
  <c r="T52" i="12" s="1"/>
  <c r="E52" i="12"/>
  <c r="D86" i="12" s="1"/>
  <c r="G52" i="12"/>
  <c r="E22" i="12"/>
  <c r="C86" i="12" s="1"/>
  <c r="G22" i="12"/>
  <c r="J80" i="16"/>
  <c r="L40" i="15"/>
  <c r="F18" i="15"/>
  <c r="F21" i="15"/>
  <c r="E21" i="15"/>
  <c r="E126" i="24" s="1"/>
  <c r="K21" i="15"/>
  <c r="AK10" i="14"/>
  <c r="AL10" i="14"/>
  <c r="AK11" i="14"/>
  <c r="AP11" i="14" s="1"/>
  <c r="AL11" i="14"/>
  <c r="AK12" i="14"/>
  <c r="AP12" i="14" s="1"/>
  <c r="AL12" i="14"/>
  <c r="AK13" i="14"/>
  <c r="AP13" i="14" s="1"/>
  <c r="AL13" i="14"/>
  <c r="AK14" i="14"/>
  <c r="AL14" i="14"/>
  <c r="AK16" i="14"/>
  <c r="AL16" i="14"/>
  <c r="AK17" i="14"/>
  <c r="AL17" i="14"/>
  <c r="AK18" i="14"/>
  <c r="AL18" i="14"/>
  <c r="AK19" i="14"/>
  <c r="AL19" i="14"/>
  <c r="AK20" i="14"/>
  <c r="AM20" i="14" s="1"/>
  <c r="AL20" i="14"/>
  <c r="AK21" i="14"/>
  <c r="AL21" i="14"/>
  <c r="AL9" i="14"/>
  <c r="AK9" i="14"/>
  <c r="AP9" i="14" s="1"/>
  <c r="W10" i="14"/>
  <c r="X10" i="14"/>
  <c r="W11" i="14"/>
  <c r="X11" i="14"/>
  <c r="W12" i="14"/>
  <c r="X12" i="14"/>
  <c r="W13" i="14"/>
  <c r="Y13" i="14" s="1"/>
  <c r="X13" i="14"/>
  <c r="W14" i="14"/>
  <c r="X14" i="14"/>
  <c r="W16" i="14"/>
  <c r="X16" i="14"/>
  <c r="W17" i="14"/>
  <c r="X17" i="14"/>
  <c r="W18" i="14"/>
  <c r="X18" i="14"/>
  <c r="Y18" i="14" s="1"/>
  <c r="W19" i="14"/>
  <c r="X19" i="14"/>
  <c r="W20" i="14"/>
  <c r="AA20" i="14" s="1"/>
  <c r="AC20" i="14" s="1"/>
  <c r="X20" i="14"/>
  <c r="W21" i="14"/>
  <c r="X21" i="14"/>
  <c r="AD10" i="14"/>
  <c r="AE10" i="14"/>
  <c r="AD11" i="14"/>
  <c r="AE11" i="14"/>
  <c r="AD12" i="14"/>
  <c r="AI12" i="14" s="1"/>
  <c r="AE12" i="14"/>
  <c r="AH12" i="14" s="1"/>
  <c r="AD13" i="14"/>
  <c r="AE13" i="14"/>
  <c r="AD14" i="14"/>
  <c r="AI14" i="14" s="1"/>
  <c r="AE14" i="14"/>
  <c r="AD16" i="14"/>
  <c r="AE16" i="14"/>
  <c r="AD17" i="14"/>
  <c r="AE17" i="14"/>
  <c r="AD18" i="14"/>
  <c r="AE18" i="14"/>
  <c r="AD19" i="14"/>
  <c r="AE19" i="14"/>
  <c r="AD20" i="14"/>
  <c r="AE20" i="14"/>
  <c r="AD21" i="14"/>
  <c r="AG21" i="14" s="1"/>
  <c r="AI21" i="14" s="1"/>
  <c r="AE21" i="14"/>
  <c r="AE9" i="14"/>
  <c r="AD9" i="14"/>
  <c r="W9" i="14"/>
  <c r="X9" i="14"/>
  <c r="AL10" i="15"/>
  <c r="AM10" i="15"/>
  <c r="AO10" i="15" s="1"/>
  <c r="AL11" i="15"/>
  <c r="AP11" i="15" s="1"/>
  <c r="AM11" i="15"/>
  <c r="AL12" i="15"/>
  <c r="AM12" i="15"/>
  <c r="AL13" i="15"/>
  <c r="AM13" i="15"/>
  <c r="AN13" i="15" s="1"/>
  <c r="AL14" i="15"/>
  <c r="AM14" i="15"/>
  <c r="AL16" i="15"/>
  <c r="AM16" i="15"/>
  <c r="AL17" i="15"/>
  <c r="AM17" i="15"/>
  <c r="AP17" i="15" s="1"/>
  <c r="AL18" i="15"/>
  <c r="AM18" i="15"/>
  <c r="AL19" i="15"/>
  <c r="AM19" i="15"/>
  <c r="AL20" i="15"/>
  <c r="AM20" i="15"/>
  <c r="AL21" i="15"/>
  <c r="AM21" i="15"/>
  <c r="AM9" i="15"/>
  <c r="X16" i="15"/>
  <c r="Y16" i="15"/>
  <c r="X17" i="15"/>
  <c r="AA17" i="15" s="1"/>
  <c r="AC17" i="15" s="1"/>
  <c r="G17" i="15" s="1"/>
  <c r="Y17" i="15"/>
  <c r="X18" i="15"/>
  <c r="Y18" i="15"/>
  <c r="X19" i="15"/>
  <c r="Y19" i="15"/>
  <c r="X20" i="15"/>
  <c r="Y20" i="15"/>
  <c r="X21" i="15"/>
  <c r="Y21" i="15"/>
  <c r="AE16" i="15"/>
  <c r="AF16" i="15"/>
  <c r="AE17" i="15"/>
  <c r="AF17" i="15"/>
  <c r="AE18" i="15"/>
  <c r="AF18" i="15"/>
  <c r="AE19" i="15"/>
  <c r="AF19" i="15"/>
  <c r="AE20" i="15"/>
  <c r="AJ20" i="15" s="1"/>
  <c r="AF20" i="15"/>
  <c r="AE21" i="15"/>
  <c r="AF21" i="15"/>
  <c r="AE10" i="15"/>
  <c r="AJ10" i="15" s="1"/>
  <c r="AF10" i="15"/>
  <c r="AE11" i="15"/>
  <c r="AJ11" i="15" s="1"/>
  <c r="AF11" i="15"/>
  <c r="AE12" i="15"/>
  <c r="AJ12" i="15" s="1"/>
  <c r="AF12" i="15"/>
  <c r="AE13" i="15"/>
  <c r="AJ13" i="15" s="1"/>
  <c r="AF13" i="15"/>
  <c r="AE14" i="15"/>
  <c r="AJ14" i="15" s="1"/>
  <c r="AF14" i="15"/>
  <c r="AF9" i="15"/>
  <c r="AE9" i="15"/>
  <c r="X10" i="15"/>
  <c r="Y10" i="15"/>
  <c r="X11" i="15"/>
  <c r="Y11" i="15"/>
  <c r="X12" i="15"/>
  <c r="Y12" i="15"/>
  <c r="X13" i="15"/>
  <c r="Y13" i="15"/>
  <c r="X14" i="15"/>
  <c r="Y14" i="15"/>
  <c r="Y9" i="15"/>
  <c r="X9" i="15"/>
  <c r="Z9" i="15" s="1"/>
  <c r="AL9" i="15"/>
  <c r="AM22" i="18"/>
  <c r="AL22" i="18"/>
  <c r="AF22" i="18"/>
  <c r="AE22" i="18"/>
  <c r="Y22" i="18"/>
  <c r="X22" i="18"/>
  <c r="AM20" i="18"/>
  <c r="AL20" i="18"/>
  <c r="AF20" i="18"/>
  <c r="AE20" i="18"/>
  <c r="Y20" i="18"/>
  <c r="AA20" i="18" s="1"/>
  <c r="AC20" i="18" s="1"/>
  <c r="X20" i="18"/>
  <c r="AM19" i="18"/>
  <c r="AL19" i="18"/>
  <c r="AF19" i="18"/>
  <c r="AG19" i="18" s="1"/>
  <c r="AE19" i="18"/>
  <c r="Y19" i="18"/>
  <c r="X19" i="18"/>
  <c r="AM18" i="18"/>
  <c r="AL18" i="18"/>
  <c r="AF18" i="18"/>
  <c r="AE18" i="18"/>
  <c r="Y18" i="18"/>
  <c r="Z18" i="18" s="1"/>
  <c r="X18" i="18"/>
  <c r="AM17" i="18"/>
  <c r="AL17" i="18"/>
  <c r="AQ17" i="18" s="1"/>
  <c r="AF17" i="18"/>
  <c r="AE17" i="18"/>
  <c r="AJ17" i="18" s="1"/>
  <c r="Y17" i="18"/>
  <c r="X17" i="18"/>
  <c r="AM16" i="18"/>
  <c r="AL16" i="18"/>
  <c r="AQ16" i="18" s="1"/>
  <c r="AF16" i="18"/>
  <c r="AE16" i="18"/>
  <c r="AJ16" i="18" s="1"/>
  <c r="Y16" i="18"/>
  <c r="X16" i="18"/>
  <c r="AM14" i="18"/>
  <c r="AL14" i="18"/>
  <c r="AF14" i="18"/>
  <c r="AI14" i="18" s="1"/>
  <c r="AE14" i="18"/>
  <c r="AJ14" i="18" s="1"/>
  <c r="Y14" i="18"/>
  <c r="X14" i="18"/>
  <c r="AM13" i="18"/>
  <c r="AL13" i="18"/>
  <c r="AF13" i="18"/>
  <c r="AE13" i="18"/>
  <c r="Y13" i="18"/>
  <c r="AA13" i="18" s="1"/>
  <c r="AC13" i="18" s="1"/>
  <c r="X13" i="18"/>
  <c r="AM12" i="18"/>
  <c r="AL12" i="18"/>
  <c r="AQ12" i="18" s="1"/>
  <c r="AF12" i="18"/>
  <c r="AE12" i="18"/>
  <c r="AJ12" i="18" s="1"/>
  <c r="Y12" i="18"/>
  <c r="X12" i="18"/>
  <c r="AM11" i="18"/>
  <c r="AL11" i="18"/>
  <c r="AF11" i="18"/>
  <c r="AE11" i="18"/>
  <c r="AJ11" i="18" s="1"/>
  <c r="Y11" i="18"/>
  <c r="Z11" i="18" s="1"/>
  <c r="X11" i="18"/>
  <c r="AM10" i="18"/>
  <c r="AL10" i="18"/>
  <c r="AF10" i="18"/>
  <c r="AI10" i="18" s="1"/>
  <c r="AE10" i="18"/>
  <c r="Y10" i="18"/>
  <c r="X10" i="18"/>
  <c r="AC10" i="18" s="1"/>
  <c r="AM9" i="18"/>
  <c r="AL9" i="18"/>
  <c r="AP9" i="18" s="1"/>
  <c r="AF9" i="18"/>
  <c r="AE9" i="18"/>
  <c r="AJ9" i="18" s="1"/>
  <c r="Y9" i="18"/>
  <c r="Z9" i="18" s="1"/>
  <c r="X9" i="18"/>
  <c r="AC9" i="18"/>
  <c r="AM54" i="16"/>
  <c r="AL54" i="16"/>
  <c r="AM53" i="16"/>
  <c r="AL53" i="16"/>
  <c r="AM52" i="16"/>
  <c r="AL52" i="16"/>
  <c r="AM51" i="16"/>
  <c r="AL51" i="16"/>
  <c r="AM50" i="16"/>
  <c r="AL50" i="16"/>
  <c r="AO50" i="16" s="1"/>
  <c r="AQ50" i="16" s="1"/>
  <c r="AM49" i="16"/>
  <c r="AL49" i="16"/>
  <c r="AM47" i="16"/>
  <c r="AP47" i="16" s="1"/>
  <c r="AR47" i="16" s="1"/>
  <c r="AL47" i="16"/>
  <c r="AM46" i="16"/>
  <c r="AL46" i="16"/>
  <c r="AM45" i="16"/>
  <c r="AL45" i="16"/>
  <c r="AM44" i="16"/>
  <c r="AL44" i="16"/>
  <c r="AM43" i="16"/>
  <c r="AL43" i="16"/>
  <c r="AN43" i="16" s="1"/>
  <c r="AM42" i="16"/>
  <c r="AL42" i="16"/>
  <c r="AO42" i="16" s="1"/>
  <c r="AQ42" i="16" s="1"/>
  <c r="AM21" i="16"/>
  <c r="AL21" i="16"/>
  <c r="AM20" i="16"/>
  <c r="AL20" i="16"/>
  <c r="AM19" i="16"/>
  <c r="AL19" i="16"/>
  <c r="AM18" i="16"/>
  <c r="AL18" i="16"/>
  <c r="AP18" i="16" s="1"/>
  <c r="AM17" i="16"/>
  <c r="AL17" i="16"/>
  <c r="AM16" i="16"/>
  <c r="AL16" i="16"/>
  <c r="AM14" i="16"/>
  <c r="AL14" i="16"/>
  <c r="AM13" i="16"/>
  <c r="AL13" i="16"/>
  <c r="AM12" i="16"/>
  <c r="AL12" i="16"/>
  <c r="AM11" i="16"/>
  <c r="AL11" i="16"/>
  <c r="AM10" i="16"/>
  <c r="AL10" i="16"/>
  <c r="AM9" i="16"/>
  <c r="AL9" i="16"/>
  <c r="AM53" i="13"/>
  <c r="AL53" i="13"/>
  <c r="AM52" i="13"/>
  <c r="AL52" i="13"/>
  <c r="AM51" i="13"/>
  <c r="AL51" i="13"/>
  <c r="AM50" i="13"/>
  <c r="AL50" i="13"/>
  <c r="AO50" i="13" s="1"/>
  <c r="AQ50" i="13" s="1"/>
  <c r="AM49" i="13"/>
  <c r="AL49" i="13"/>
  <c r="AM48" i="13"/>
  <c r="AL48" i="13"/>
  <c r="AM46" i="13"/>
  <c r="AL46" i="13"/>
  <c r="AM45" i="13"/>
  <c r="AL45" i="13"/>
  <c r="AM44" i="13"/>
  <c r="AL44" i="13"/>
  <c r="AM43" i="13"/>
  <c r="AL43" i="13"/>
  <c r="AN43" i="13" s="1"/>
  <c r="AM42" i="13"/>
  <c r="AL42" i="13"/>
  <c r="AM41" i="13"/>
  <c r="AL41" i="13"/>
  <c r="AQ41" i="13" s="1"/>
  <c r="AM21" i="13"/>
  <c r="AL21" i="13"/>
  <c r="AM20" i="13"/>
  <c r="AL20" i="13"/>
  <c r="AM19" i="13"/>
  <c r="AL19" i="13"/>
  <c r="AM18" i="13"/>
  <c r="AL18" i="13"/>
  <c r="AM17" i="13"/>
  <c r="AL17" i="13"/>
  <c r="AM16" i="13"/>
  <c r="AL16" i="13"/>
  <c r="AM14" i="13"/>
  <c r="AL14" i="13"/>
  <c r="AM13" i="13"/>
  <c r="AL13" i="13"/>
  <c r="AM12" i="13"/>
  <c r="AL12" i="13"/>
  <c r="AM11" i="13"/>
  <c r="AL11" i="13"/>
  <c r="AN11" i="13" s="1"/>
  <c r="AM10" i="13"/>
  <c r="AL10" i="13"/>
  <c r="AM9" i="13"/>
  <c r="AL9" i="13"/>
  <c r="AN9" i="13" s="1"/>
  <c r="X40" i="12"/>
  <c r="Y40" i="12"/>
  <c r="AE40" i="12"/>
  <c r="AF40" i="12"/>
  <c r="AL40" i="12"/>
  <c r="AM40" i="12"/>
  <c r="X41" i="12"/>
  <c r="Y41" i="12"/>
  <c r="AE41" i="12"/>
  <c r="AF41" i="12"/>
  <c r="AL41" i="12"/>
  <c r="AM41" i="12"/>
  <c r="X42" i="12"/>
  <c r="Y42" i="12"/>
  <c r="AE42" i="12"/>
  <c r="AF42" i="12"/>
  <c r="AL42" i="12"/>
  <c r="AM42" i="12"/>
  <c r="X43" i="12"/>
  <c r="Y43" i="12"/>
  <c r="AE43" i="12"/>
  <c r="AF43" i="12"/>
  <c r="AL43" i="12"/>
  <c r="AM43" i="12"/>
  <c r="X44" i="12"/>
  <c r="Y44" i="12"/>
  <c r="AE44" i="12"/>
  <c r="AF44" i="12"/>
  <c r="AL44" i="12"/>
  <c r="AM44" i="12"/>
  <c r="X46" i="12"/>
  <c r="Y46" i="12"/>
  <c r="AE46" i="12"/>
  <c r="AF46" i="12"/>
  <c r="AL46" i="12"/>
  <c r="AM46" i="12"/>
  <c r="X47" i="12"/>
  <c r="Y47" i="12"/>
  <c r="AE47" i="12"/>
  <c r="AF47" i="12"/>
  <c r="AL47" i="12"/>
  <c r="AM47" i="12"/>
  <c r="X48" i="12"/>
  <c r="Y48" i="12"/>
  <c r="AE48" i="12"/>
  <c r="AF48" i="12"/>
  <c r="AL48" i="12"/>
  <c r="AM48" i="12"/>
  <c r="X49" i="12"/>
  <c r="Y49" i="12"/>
  <c r="AE49" i="12"/>
  <c r="AF49" i="12"/>
  <c r="AL49" i="12"/>
  <c r="AM49" i="12"/>
  <c r="X50" i="12"/>
  <c r="Y50" i="12"/>
  <c r="AE50" i="12"/>
  <c r="AF50" i="12"/>
  <c r="AL50" i="12"/>
  <c r="AM50" i="12"/>
  <c r="X51" i="12"/>
  <c r="Y51" i="12"/>
  <c r="AE51" i="12"/>
  <c r="AF51" i="12"/>
  <c r="AL51" i="12"/>
  <c r="AM51" i="12"/>
  <c r="X10" i="12"/>
  <c r="Y10" i="12"/>
  <c r="AE10" i="12"/>
  <c r="AF10" i="12"/>
  <c r="AL10" i="12"/>
  <c r="AM10" i="12"/>
  <c r="X11" i="12"/>
  <c r="Y11" i="12"/>
  <c r="AE11" i="12"/>
  <c r="AF11" i="12"/>
  <c r="AL11" i="12"/>
  <c r="AM11" i="12"/>
  <c r="X12" i="12"/>
  <c r="Y12" i="12"/>
  <c r="AE12" i="12"/>
  <c r="AF12" i="12"/>
  <c r="AL12" i="12"/>
  <c r="AM12" i="12"/>
  <c r="X13" i="12"/>
  <c r="Y13" i="12"/>
  <c r="AE13" i="12"/>
  <c r="AF13" i="12"/>
  <c r="AL13" i="12"/>
  <c r="AM13" i="12"/>
  <c r="X14" i="12"/>
  <c r="Y14" i="12"/>
  <c r="AE14" i="12"/>
  <c r="AF14" i="12"/>
  <c r="AL14" i="12"/>
  <c r="AM14" i="12"/>
  <c r="X16" i="12"/>
  <c r="Y16" i="12"/>
  <c r="AE16" i="12"/>
  <c r="AF16" i="12"/>
  <c r="AL16" i="12"/>
  <c r="AM16" i="12"/>
  <c r="X17" i="12"/>
  <c r="Y17" i="12"/>
  <c r="AE17" i="12"/>
  <c r="AF17" i="12"/>
  <c r="AL17" i="12"/>
  <c r="AM17" i="12"/>
  <c r="X18" i="12"/>
  <c r="Y18" i="12"/>
  <c r="AE18" i="12"/>
  <c r="AF18" i="12"/>
  <c r="AL18" i="12"/>
  <c r="AM18" i="12"/>
  <c r="X19" i="12"/>
  <c r="Y19" i="12"/>
  <c r="AE19" i="12"/>
  <c r="AF19" i="12"/>
  <c r="AL19" i="12"/>
  <c r="AM19" i="12"/>
  <c r="X20" i="12"/>
  <c r="Y20" i="12"/>
  <c r="AE20" i="12"/>
  <c r="AF20" i="12"/>
  <c r="AL20" i="12"/>
  <c r="AM20" i="12"/>
  <c r="AM39" i="12"/>
  <c r="AL39" i="12"/>
  <c r="AF39" i="12"/>
  <c r="AE39" i="12"/>
  <c r="Y39" i="12"/>
  <c r="X39" i="12"/>
  <c r="AL9" i="12"/>
  <c r="AM9" i="12"/>
  <c r="AF9" i="12"/>
  <c r="AE9" i="12"/>
  <c r="Y9" i="12"/>
  <c r="X9" i="12"/>
  <c r="AQ11" i="18"/>
  <c r="AN14" i="15"/>
  <c r="AG17" i="14"/>
  <c r="AB10" i="18"/>
  <c r="Z19" i="16"/>
  <c r="Z9" i="16"/>
  <c r="Z49" i="16"/>
  <c r="AG50" i="16"/>
  <c r="Z53" i="16"/>
  <c r="AG54" i="16"/>
  <c r="Z45" i="16"/>
  <c r="AG46" i="16"/>
  <c r="AO46" i="16"/>
  <c r="AQ46" i="16" s="1"/>
  <c r="Z45" i="13"/>
  <c r="F17" i="14"/>
  <c r="E51" i="12"/>
  <c r="G51" i="12"/>
  <c r="K51" i="12"/>
  <c r="N51" i="12" s="1"/>
  <c r="U51" i="12" s="1"/>
  <c r="M51" i="12"/>
  <c r="P51" i="12" s="1"/>
  <c r="W51" i="12" s="1"/>
  <c r="M54" i="16"/>
  <c r="T54" i="16" s="1"/>
  <c r="K54" i="16"/>
  <c r="R54" i="16" s="1"/>
  <c r="E21" i="14"/>
  <c r="J21" i="14"/>
  <c r="M21" i="14" s="1"/>
  <c r="K22" i="18"/>
  <c r="H62" i="24" s="1"/>
  <c r="L22" i="18"/>
  <c r="S22" i="18" s="1"/>
  <c r="M22" i="18"/>
  <c r="T22" i="18" s="1"/>
  <c r="E22" i="18"/>
  <c r="E62" i="24" s="1"/>
  <c r="F22" i="18"/>
  <c r="F62" i="24" s="1"/>
  <c r="G22" i="18"/>
  <c r="G62" i="24" s="1"/>
  <c r="K21" i="12"/>
  <c r="H40" i="24" s="1"/>
  <c r="M21" i="12"/>
  <c r="J40" i="24" s="1"/>
  <c r="C141" i="24" s="1"/>
  <c r="E21" i="12"/>
  <c r="C85" i="12" s="1"/>
  <c r="G21" i="12"/>
  <c r="K53" i="13"/>
  <c r="N53" i="13" s="1"/>
  <c r="U53" i="13" s="1"/>
  <c r="M53" i="13"/>
  <c r="K21" i="13"/>
  <c r="N21" i="13" s="1"/>
  <c r="U21" i="13" s="1"/>
  <c r="M21" i="13"/>
  <c r="P21" i="13" s="1"/>
  <c r="W21" i="13" s="1"/>
  <c r="J17" i="14"/>
  <c r="J18" i="14"/>
  <c r="Q18" i="14" s="1"/>
  <c r="J19" i="14"/>
  <c r="Q19" i="14" s="1"/>
  <c r="J20" i="14"/>
  <c r="Q20" i="14" s="1"/>
  <c r="J16" i="14"/>
  <c r="M16" i="14" s="1"/>
  <c r="T16" i="14" s="1"/>
  <c r="K20" i="15"/>
  <c r="H125" i="24" s="1"/>
  <c r="G140" i="24" s="1"/>
  <c r="E20" i="15"/>
  <c r="E125" i="24" s="1"/>
  <c r="G135" i="24"/>
  <c r="E135" i="24"/>
  <c r="D135" i="24"/>
  <c r="C135" i="24"/>
  <c r="B135" i="24"/>
  <c r="K92" i="24"/>
  <c r="K71" i="24"/>
  <c r="K53" i="24"/>
  <c r="M52" i="13"/>
  <c r="K52" i="13"/>
  <c r="N52" i="13" s="1"/>
  <c r="U52" i="13" s="1"/>
  <c r="M53" i="16"/>
  <c r="P53" i="16" s="1"/>
  <c r="W53" i="16" s="1"/>
  <c r="K53" i="16"/>
  <c r="N53" i="16" s="1"/>
  <c r="U53" i="16" s="1"/>
  <c r="M20" i="16"/>
  <c r="K20" i="16"/>
  <c r="R20" i="16" s="1"/>
  <c r="M51" i="13"/>
  <c r="P51" i="13" s="1"/>
  <c r="W51" i="13" s="1"/>
  <c r="K51" i="13"/>
  <c r="N51" i="13" s="1"/>
  <c r="U51" i="13" s="1"/>
  <c r="M20" i="13"/>
  <c r="T20" i="13" s="1"/>
  <c r="K20" i="13"/>
  <c r="M50" i="12"/>
  <c r="P50" i="12" s="1"/>
  <c r="W50" i="12" s="1"/>
  <c r="K50" i="12"/>
  <c r="G50" i="12"/>
  <c r="E50" i="12"/>
  <c r="D84" i="12" s="1"/>
  <c r="K20" i="12"/>
  <c r="N20" i="12" s="1"/>
  <c r="U20" i="12" s="1"/>
  <c r="M20" i="12"/>
  <c r="J39" i="24" s="1"/>
  <c r="E20" i="12"/>
  <c r="G20" i="12"/>
  <c r="G82" i="24"/>
  <c r="T42" i="14"/>
  <c r="E20" i="14"/>
  <c r="M20" i="18"/>
  <c r="P20" i="18" s="1"/>
  <c r="W20" i="18" s="1"/>
  <c r="L20" i="18"/>
  <c r="K20" i="18"/>
  <c r="N20" i="18" s="1"/>
  <c r="U20" i="18" s="1"/>
  <c r="G20" i="18"/>
  <c r="G60" i="24" s="1"/>
  <c r="F20" i="18"/>
  <c r="F60" i="24" s="1"/>
  <c r="E20" i="18"/>
  <c r="E60" i="24" s="1"/>
  <c r="J67" i="13"/>
  <c r="I67" i="13"/>
  <c r="H67" i="13"/>
  <c r="F19" i="18"/>
  <c r="F18" i="18"/>
  <c r="M18" i="18"/>
  <c r="L18" i="18"/>
  <c r="S18" i="18" s="1"/>
  <c r="K18" i="18"/>
  <c r="N18" i="18" s="1"/>
  <c r="U18" i="18" s="1"/>
  <c r="G18" i="18"/>
  <c r="E18" i="18"/>
  <c r="K19" i="15"/>
  <c r="H124" i="24" s="1"/>
  <c r="G139" i="24" s="1"/>
  <c r="E19" i="15"/>
  <c r="E124" i="24" s="1"/>
  <c r="M52" i="16"/>
  <c r="K52" i="16"/>
  <c r="M19" i="16"/>
  <c r="K19" i="16"/>
  <c r="G81" i="24"/>
  <c r="E19" i="14"/>
  <c r="E49" i="12"/>
  <c r="D83" i="12" s="1"/>
  <c r="G49" i="12"/>
  <c r="K49" i="12"/>
  <c r="M49" i="12"/>
  <c r="K19" i="12"/>
  <c r="G19" i="12"/>
  <c r="E19" i="12"/>
  <c r="K19" i="13"/>
  <c r="N19" i="13" s="1"/>
  <c r="U19" i="13" s="1"/>
  <c r="M19" i="13"/>
  <c r="P19" i="13" s="1"/>
  <c r="W19" i="13" s="1"/>
  <c r="L19" i="18"/>
  <c r="O19" i="18" s="1"/>
  <c r="V19" i="18" s="1"/>
  <c r="M19" i="18"/>
  <c r="T19" i="18" s="1"/>
  <c r="K19" i="18"/>
  <c r="N19" i="18" s="1"/>
  <c r="U19" i="18" s="1"/>
  <c r="G19" i="18"/>
  <c r="K18" i="15"/>
  <c r="E18" i="15"/>
  <c r="E18" i="14"/>
  <c r="M51" i="16"/>
  <c r="K51" i="16"/>
  <c r="R51" i="16" s="1"/>
  <c r="M18" i="16"/>
  <c r="K18" i="16"/>
  <c r="E19" i="18"/>
  <c r="M48" i="12"/>
  <c r="T48" i="12" s="1"/>
  <c r="K48" i="12"/>
  <c r="R48" i="12" s="1"/>
  <c r="G48" i="12"/>
  <c r="E48" i="12"/>
  <c r="M18" i="12"/>
  <c r="K18" i="12"/>
  <c r="G18" i="12"/>
  <c r="E18" i="12"/>
  <c r="C82" i="12" s="1"/>
  <c r="K18" i="13"/>
  <c r="M18" i="13"/>
  <c r="J16" i="24" s="1"/>
  <c r="B138" i="24" s="1"/>
  <c r="K50" i="13"/>
  <c r="R50" i="13" s="1"/>
  <c r="M50" i="13"/>
  <c r="K47" i="12"/>
  <c r="R47" i="12" s="1"/>
  <c r="M47" i="12"/>
  <c r="K17" i="12"/>
  <c r="N17" i="12" s="1"/>
  <c r="M17" i="12"/>
  <c r="G17" i="12"/>
  <c r="E17" i="12"/>
  <c r="C81" i="12" s="1"/>
  <c r="G47" i="12"/>
  <c r="E47" i="12"/>
  <c r="D81" i="12" s="1"/>
  <c r="M49" i="13"/>
  <c r="T49" i="13" s="1"/>
  <c r="K49" i="13"/>
  <c r="R49" i="13" s="1"/>
  <c r="K17" i="13"/>
  <c r="R17" i="13" s="1"/>
  <c r="M17" i="13"/>
  <c r="K17" i="18"/>
  <c r="E17" i="18"/>
  <c r="K50" i="16"/>
  <c r="M50" i="16"/>
  <c r="P50" i="16" s="1"/>
  <c r="W50" i="16" s="1"/>
  <c r="K17" i="16"/>
  <c r="N17" i="16" s="1"/>
  <c r="U17" i="16" s="1"/>
  <c r="M17" i="16"/>
  <c r="J79" i="24" s="1"/>
  <c r="E137" i="24" s="1"/>
  <c r="K17" i="15"/>
  <c r="H122" i="24" s="1"/>
  <c r="G137" i="24" s="1"/>
  <c r="E17" i="15"/>
  <c r="E17" i="14"/>
  <c r="K9" i="12"/>
  <c r="N9" i="12" s="1"/>
  <c r="U9" i="12" s="1"/>
  <c r="I15" i="14"/>
  <c r="H15" i="14"/>
  <c r="J15" i="15"/>
  <c r="I15" i="15"/>
  <c r="H48" i="16"/>
  <c r="I48" i="16"/>
  <c r="J48" i="16"/>
  <c r="H15" i="16"/>
  <c r="I15" i="16"/>
  <c r="J15" i="16"/>
  <c r="I15" i="18"/>
  <c r="J15" i="18"/>
  <c r="H15" i="18"/>
  <c r="J45" i="12"/>
  <c r="I45" i="12"/>
  <c r="H45" i="12"/>
  <c r="H15" i="12"/>
  <c r="I15" i="12"/>
  <c r="J15" i="12"/>
  <c r="H47" i="13"/>
  <c r="I47" i="13"/>
  <c r="J47" i="13"/>
  <c r="H15" i="13"/>
  <c r="I15" i="13"/>
  <c r="J15" i="13"/>
  <c r="K49" i="16"/>
  <c r="M49" i="16"/>
  <c r="K16" i="16"/>
  <c r="M16" i="16"/>
  <c r="J78" i="24" s="1"/>
  <c r="E136" i="24" s="1"/>
  <c r="P49" i="16"/>
  <c r="W49" i="16" s="1"/>
  <c r="K16" i="18"/>
  <c r="N16" i="18" s="1"/>
  <c r="U16" i="18" s="1"/>
  <c r="E16" i="18"/>
  <c r="K16" i="15"/>
  <c r="E16" i="15"/>
  <c r="E16" i="14"/>
  <c r="M14" i="13"/>
  <c r="T14" i="13" s="1"/>
  <c r="K14" i="13"/>
  <c r="R14" i="13" s="1"/>
  <c r="M46" i="13"/>
  <c r="P46" i="13" s="1"/>
  <c r="W46" i="13" s="1"/>
  <c r="E46" i="12"/>
  <c r="D80" i="12" s="1"/>
  <c r="G46" i="12"/>
  <c r="K46" i="12"/>
  <c r="M46" i="12"/>
  <c r="M44" i="12"/>
  <c r="P44" i="12" s="1"/>
  <c r="W44" i="12" s="1"/>
  <c r="G44" i="12"/>
  <c r="E44" i="12"/>
  <c r="D79" i="12" s="1"/>
  <c r="E16" i="12"/>
  <c r="C80" i="12" s="1"/>
  <c r="G16" i="12"/>
  <c r="K16" i="12"/>
  <c r="N16" i="12" s="1"/>
  <c r="U16" i="12" s="1"/>
  <c r="M16" i="12"/>
  <c r="T16" i="12" s="1"/>
  <c r="M14" i="12"/>
  <c r="K14" i="12"/>
  <c r="R14" i="12" s="1"/>
  <c r="G14" i="12"/>
  <c r="E14" i="12"/>
  <c r="C79" i="12" s="1"/>
  <c r="O1" i="15"/>
  <c r="V1" i="15" s="1"/>
  <c r="M42" i="16"/>
  <c r="M43" i="16"/>
  <c r="P43" i="16" s="1"/>
  <c r="W43" i="16" s="1"/>
  <c r="M44" i="16"/>
  <c r="T44" i="16" s="1"/>
  <c r="M45" i="16"/>
  <c r="P45" i="16" s="1"/>
  <c r="M46" i="16"/>
  <c r="T46" i="16" s="1"/>
  <c r="M9" i="16"/>
  <c r="M10" i="16"/>
  <c r="P10" i="16" s="1"/>
  <c r="M11" i="16"/>
  <c r="T11" i="16" s="1"/>
  <c r="M12" i="16"/>
  <c r="T12" i="16" s="1"/>
  <c r="M13" i="16"/>
  <c r="T13" i="16" s="1"/>
  <c r="P1" i="18"/>
  <c r="W1" i="18" s="1"/>
  <c r="E13" i="18"/>
  <c r="K13" i="18"/>
  <c r="R13" i="18" s="1"/>
  <c r="E14" i="18"/>
  <c r="K14" i="18"/>
  <c r="R14" i="18" s="1"/>
  <c r="E9" i="15"/>
  <c r="K9" i="15"/>
  <c r="E10" i="15"/>
  <c r="K10" i="15"/>
  <c r="R10" i="15" s="1"/>
  <c r="E11" i="15"/>
  <c r="K11" i="15"/>
  <c r="N11" i="15" s="1"/>
  <c r="U11" i="15" s="1"/>
  <c r="E12" i="15"/>
  <c r="K12" i="15"/>
  <c r="E13" i="15"/>
  <c r="K13" i="15"/>
  <c r="E14" i="15"/>
  <c r="K14" i="15"/>
  <c r="N14" i="15" s="1"/>
  <c r="U14" i="15" s="1"/>
  <c r="P1" i="16"/>
  <c r="W1" i="16" s="1"/>
  <c r="K9" i="16"/>
  <c r="R9" i="16" s="1"/>
  <c r="K10" i="16"/>
  <c r="N10" i="16" s="1"/>
  <c r="U10" i="16" s="1"/>
  <c r="K11" i="16"/>
  <c r="N11" i="16" s="1"/>
  <c r="U11" i="16" s="1"/>
  <c r="K12" i="16"/>
  <c r="K13" i="16"/>
  <c r="N13" i="16" s="1"/>
  <c r="U13" i="16" s="1"/>
  <c r="P13" i="16"/>
  <c r="W13" i="16" s="1"/>
  <c r="K14" i="16"/>
  <c r="R14" i="16" s="1"/>
  <c r="M14" i="16"/>
  <c r="T14" i="16" s="1"/>
  <c r="K42" i="16"/>
  <c r="K43" i="16"/>
  <c r="R43" i="16" s="1"/>
  <c r="K44" i="16"/>
  <c r="N44" i="16" s="1"/>
  <c r="U44" i="16" s="1"/>
  <c r="K45" i="16"/>
  <c r="N45" i="16" s="1"/>
  <c r="U45" i="16" s="1"/>
  <c r="K46" i="16"/>
  <c r="K47" i="16"/>
  <c r="R47" i="16" s="1"/>
  <c r="M47" i="16"/>
  <c r="T47" i="16" s="1"/>
  <c r="O1" i="14"/>
  <c r="V1" i="14" s="1"/>
  <c r="E9" i="14"/>
  <c r="J9" i="14"/>
  <c r="Q9" i="14" s="1"/>
  <c r="E10" i="14"/>
  <c r="J10" i="14"/>
  <c r="E11" i="14"/>
  <c r="J11" i="14"/>
  <c r="M11" i="14" s="1"/>
  <c r="T11" i="14" s="1"/>
  <c r="E12" i="14"/>
  <c r="J12" i="14"/>
  <c r="E13" i="14"/>
  <c r="J13" i="14"/>
  <c r="M13" i="14" s="1"/>
  <c r="T13" i="14" s="1"/>
  <c r="E14" i="14"/>
  <c r="J14" i="14"/>
  <c r="M14" i="14" s="1"/>
  <c r="T14" i="14" s="1"/>
  <c r="W1" i="12"/>
  <c r="E9" i="12"/>
  <c r="C74" i="12" s="1"/>
  <c r="G9" i="12"/>
  <c r="M9" i="12"/>
  <c r="E10" i="12"/>
  <c r="G10" i="12"/>
  <c r="K10" i="12"/>
  <c r="N10" i="12" s="1"/>
  <c r="U10" i="12" s="1"/>
  <c r="M10" i="12"/>
  <c r="E11" i="12"/>
  <c r="G11" i="12"/>
  <c r="K11" i="12"/>
  <c r="M11" i="12"/>
  <c r="T11" i="12" s="1"/>
  <c r="E12" i="12"/>
  <c r="C77" i="12" s="1"/>
  <c r="G12" i="12"/>
  <c r="K12" i="12"/>
  <c r="N12" i="12" s="1"/>
  <c r="U12" i="12" s="1"/>
  <c r="M12" i="12"/>
  <c r="T12" i="12" s="1"/>
  <c r="E13" i="12"/>
  <c r="C78" i="12" s="1"/>
  <c r="G13" i="12"/>
  <c r="K13" i="12"/>
  <c r="M13" i="12"/>
  <c r="T13" i="12" s="1"/>
  <c r="E39" i="12"/>
  <c r="D74" i="12" s="1"/>
  <c r="G39" i="12"/>
  <c r="M39" i="12"/>
  <c r="P39" i="12" s="1"/>
  <c r="W39" i="12" s="1"/>
  <c r="E40" i="12"/>
  <c r="D75" i="12" s="1"/>
  <c r="G40" i="12"/>
  <c r="M40" i="12"/>
  <c r="P40" i="12" s="1"/>
  <c r="W40" i="12" s="1"/>
  <c r="E41" i="12"/>
  <c r="G41" i="12"/>
  <c r="M41" i="12"/>
  <c r="E42" i="12"/>
  <c r="D77" i="12" s="1"/>
  <c r="G42" i="12"/>
  <c r="M42" i="12"/>
  <c r="P42" i="12" s="1"/>
  <c r="W42" i="12" s="1"/>
  <c r="E43" i="12"/>
  <c r="D78" i="12" s="1"/>
  <c r="G43" i="12"/>
  <c r="M43" i="12"/>
  <c r="W1" i="13"/>
  <c r="K9" i="13"/>
  <c r="R9" i="13" s="1"/>
  <c r="M9" i="13"/>
  <c r="K10" i="13"/>
  <c r="M10" i="13"/>
  <c r="J8" i="24" s="1"/>
  <c r="K11" i="13"/>
  <c r="N11" i="13" s="1"/>
  <c r="U11" i="13" s="1"/>
  <c r="M11" i="13"/>
  <c r="K12" i="13"/>
  <c r="M12" i="13"/>
  <c r="K13" i="13"/>
  <c r="R13" i="13" s="1"/>
  <c r="M13" i="13"/>
  <c r="J11" i="24" s="1"/>
  <c r="K16" i="13"/>
  <c r="N16" i="13" s="1"/>
  <c r="U16" i="13" s="1"/>
  <c r="M16" i="13"/>
  <c r="J14" i="24" s="1"/>
  <c r="B136" i="24" s="1"/>
  <c r="K42" i="13"/>
  <c r="M42" i="13"/>
  <c r="K43" i="13"/>
  <c r="R43" i="13" s="1"/>
  <c r="M43" i="13"/>
  <c r="T43" i="13" s="1"/>
  <c r="K44" i="13"/>
  <c r="N44" i="13" s="1"/>
  <c r="U44" i="13" s="1"/>
  <c r="M44" i="13"/>
  <c r="P44" i="13" s="1"/>
  <c r="W44" i="13" s="1"/>
  <c r="K45" i="13"/>
  <c r="R45" i="13" s="1"/>
  <c r="M45" i="13"/>
  <c r="T45" i="13" s="1"/>
  <c r="M48" i="13"/>
  <c r="T48" i="13" s="1"/>
  <c r="K48" i="13"/>
  <c r="R48" i="13" s="1"/>
  <c r="R16" i="18"/>
  <c r="K46" i="13"/>
  <c r="R46" i="13" s="1"/>
  <c r="X35" i="14"/>
  <c r="AL35" i="14"/>
  <c r="AI9" i="15" l="1"/>
  <c r="AK9" i="15" s="1"/>
  <c r="Z19" i="15"/>
  <c r="AG16" i="18"/>
  <c r="F20" i="12"/>
  <c r="J42" i="24"/>
  <c r="C143" i="24" s="1"/>
  <c r="N43" i="13"/>
  <c r="U43" i="13" s="1"/>
  <c r="AA23" i="13"/>
  <c r="Z55" i="13"/>
  <c r="AG42" i="13"/>
  <c r="Y66" i="13"/>
  <c r="AO44" i="13"/>
  <c r="AQ44" i="13" s="1"/>
  <c r="AO56" i="13"/>
  <c r="AQ56" i="13" s="1"/>
  <c r="T56" i="13"/>
  <c r="AH48" i="13"/>
  <c r="AD32" i="13"/>
  <c r="E20" i="24"/>
  <c r="Z50" i="13"/>
  <c r="E19" i="24"/>
  <c r="F48" i="13"/>
  <c r="E21" i="24"/>
  <c r="Z51" i="13"/>
  <c r="AG9" i="13"/>
  <c r="Z17" i="13"/>
  <c r="E17" i="24"/>
  <c r="AP10" i="13"/>
  <c r="AR10" i="13" s="1"/>
  <c r="AN49" i="13"/>
  <c r="AB56" i="13"/>
  <c r="AD56" i="13" s="1"/>
  <c r="AG41" i="13"/>
  <c r="F54" i="13"/>
  <c r="AO12" i="13"/>
  <c r="AN19" i="13"/>
  <c r="AP44" i="13"/>
  <c r="AR44" i="13" s="1"/>
  <c r="AN51" i="13"/>
  <c r="AG13" i="13"/>
  <c r="AO11" i="27"/>
  <c r="AQ11" i="27" s="1"/>
  <c r="AA13" i="27"/>
  <c r="M18" i="27"/>
  <c r="Z9" i="27"/>
  <c r="AB9" i="27" s="1"/>
  <c r="AF10" i="27"/>
  <c r="AH13" i="27"/>
  <c r="AN13" i="27"/>
  <c r="AP13" i="27" s="1"/>
  <c r="AG21" i="27"/>
  <c r="AM9" i="27"/>
  <c r="M14" i="27"/>
  <c r="T14" i="27" s="1"/>
  <c r="AN16" i="27"/>
  <c r="AP16" i="27" s="1"/>
  <c r="AF13" i="27"/>
  <c r="AA19" i="27"/>
  <c r="AM20" i="27"/>
  <c r="AB10" i="15"/>
  <c r="R14" i="15"/>
  <c r="AG16" i="15"/>
  <c r="AP23" i="15"/>
  <c r="AA34" i="14"/>
  <c r="AO10" i="14"/>
  <c r="AR9" i="18"/>
  <c r="AN11" i="18"/>
  <c r="AN20" i="18"/>
  <c r="AB26" i="18"/>
  <c r="AD26" i="18" s="1"/>
  <c r="AQ9" i="18"/>
  <c r="AO9" i="18"/>
  <c r="AB26" i="13"/>
  <c r="AD26" i="13" s="1"/>
  <c r="Z44" i="13"/>
  <c r="AD91" i="13"/>
  <c r="Z53" i="13"/>
  <c r="AP55" i="13"/>
  <c r="AR55" i="13" s="1"/>
  <c r="AG21" i="13"/>
  <c r="Z52" i="13"/>
  <c r="AO45" i="13"/>
  <c r="AQ45" i="13" s="1"/>
  <c r="AO52" i="13"/>
  <c r="AQ52" i="13" s="1"/>
  <c r="AH57" i="13"/>
  <c r="AJ57" i="13" s="1"/>
  <c r="T44" i="13"/>
  <c r="AO16" i="13"/>
  <c r="AQ16" i="13" s="1"/>
  <c r="AO48" i="13"/>
  <c r="AQ48" i="13" s="1"/>
  <c r="AG46" i="13"/>
  <c r="AH55" i="13"/>
  <c r="AJ55" i="13" s="1"/>
  <c r="E67" i="13"/>
  <c r="F50" i="13"/>
  <c r="AI45" i="13"/>
  <c r="AK45" i="13" s="1"/>
  <c r="Q112" i="13" s="1"/>
  <c r="AG50" i="13"/>
  <c r="Z20" i="13"/>
  <c r="AG54" i="13"/>
  <c r="AN41" i="13"/>
  <c r="AL66" i="13"/>
  <c r="AO66" i="13" s="1"/>
  <c r="AG17" i="13"/>
  <c r="Z9" i="13"/>
  <c r="AG57" i="13"/>
  <c r="AI44" i="13"/>
  <c r="AK44" i="13" s="1"/>
  <c r="Q111" i="13" s="1"/>
  <c r="AG24" i="13"/>
  <c r="L43" i="13"/>
  <c r="O43" i="13" s="1"/>
  <c r="V43" i="13" s="1"/>
  <c r="F60" i="13"/>
  <c r="AG49" i="13"/>
  <c r="F19" i="13"/>
  <c r="Z14" i="13"/>
  <c r="AG53" i="13"/>
  <c r="AI32" i="13"/>
  <c r="AI26" i="13"/>
  <c r="AK26" i="13" s="1"/>
  <c r="AB17" i="13"/>
  <c r="AD17" i="13" s="1"/>
  <c r="AG22" i="13"/>
  <c r="AD41" i="13"/>
  <c r="I108" i="13" s="1"/>
  <c r="J12" i="24"/>
  <c r="R53" i="13"/>
  <c r="AO22" i="13"/>
  <c r="Z13" i="13"/>
  <c r="Z18" i="13"/>
  <c r="AA55" i="13"/>
  <c r="AC55" i="13" s="1"/>
  <c r="F49" i="13"/>
  <c r="AD97" i="13"/>
  <c r="AN46" i="13"/>
  <c r="AO55" i="13"/>
  <c r="AQ55" i="13" s="1"/>
  <c r="AH52" i="13"/>
  <c r="AJ52" i="13" s="1"/>
  <c r="Z23" i="13"/>
  <c r="AO24" i="13"/>
  <c r="AQ24" i="13" s="1"/>
  <c r="AB58" i="13"/>
  <c r="AD58" i="13" s="1"/>
  <c r="AP53" i="13"/>
  <c r="AR53" i="13" s="1"/>
  <c r="F55" i="13"/>
  <c r="G66" i="13"/>
  <c r="AN50" i="13"/>
  <c r="R23" i="13"/>
  <c r="AI41" i="13"/>
  <c r="AB44" i="13"/>
  <c r="AD44" i="13" s="1"/>
  <c r="I111" i="13" s="1"/>
  <c r="AG55" i="13"/>
  <c r="AD95" i="13"/>
  <c r="AP48" i="13"/>
  <c r="AR48" i="13" s="1"/>
  <c r="N46" i="13"/>
  <c r="U46" i="13" s="1"/>
  <c r="E66" i="13"/>
  <c r="AD94" i="13"/>
  <c r="Z56" i="13"/>
  <c r="Z10" i="13"/>
  <c r="Z43" i="13"/>
  <c r="AD90" i="13"/>
  <c r="P43" i="13"/>
  <c r="W43" i="13" s="1"/>
  <c r="L52" i="13"/>
  <c r="O52" i="13" s="1"/>
  <c r="V52" i="13" s="1"/>
  <c r="AG44" i="13"/>
  <c r="Z48" i="13"/>
  <c r="AN22" i="13"/>
  <c r="F10" i="13"/>
  <c r="K109" i="13" s="1"/>
  <c r="AD89" i="13"/>
  <c r="G15" i="13"/>
  <c r="AP22" i="13"/>
  <c r="AR22" i="13" s="1"/>
  <c r="AA25" i="13"/>
  <c r="AC25" i="13" s="1"/>
  <c r="AI16" i="13"/>
  <c r="AK16" i="13" s="1"/>
  <c r="AB11" i="13"/>
  <c r="AD11" i="13" s="1"/>
  <c r="G110" i="13" s="1"/>
  <c r="Z21" i="13"/>
  <c r="E18" i="24"/>
  <c r="AG10" i="13"/>
  <c r="T16" i="13"/>
  <c r="AB27" i="27"/>
  <c r="AN21" i="27"/>
  <c r="AP21" i="27" s="1"/>
  <c r="Y23" i="27"/>
  <c r="AM11" i="27"/>
  <c r="Y14" i="27"/>
  <c r="AA16" i="27"/>
  <c r="AC16" i="27" s="1"/>
  <c r="AF20" i="27"/>
  <c r="AN11" i="27"/>
  <c r="AP11" i="27" s="1"/>
  <c r="AO20" i="27"/>
  <c r="AF23" i="27"/>
  <c r="AO26" i="27"/>
  <c r="E15" i="27"/>
  <c r="AG23" i="27"/>
  <c r="M13" i="27"/>
  <c r="T13" i="27" s="1"/>
  <c r="AG10" i="27"/>
  <c r="AN27" i="27"/>
  <c r="Y18" i="27"/>
  <c r="AO27" i="27"/>
  <c r="AQ27" i="27" s="1"/>
  <c r="AM22" i="27"/>
  <c r="AG17" i="27"/>
  <c r="AO22" i="27"/>
  <c r="AQ22" i="27" s="1"/>
  <c r="AM12" i="27"/>
  <c r="AJ16" i="15"/>
  <c r="AN22" i="15"/>
  <c r="AA22" i="15"/>
  <c r="AC22" i="15" s="1"/>
  <c r="G22" i="15" s="1"/>
  <c r="AB27" i="15"/>
  <c r="AP10" i="15"/>
  <c r="AR10" i="15" s="1"/>
  <c r="Z13" i="15"/>
  <c r="AG13" i="15"/>
  <c r="AG19" i="15"/>
  <c r="AA19" i="15"/>
  <c r="AC19" i="15" s="1"/>
  <c r="G19" i="15" s="1"/>
  <c r="AP22" i="15"/>
  <c r="AR22" i="15" s="1"/>
  <c r="AG22" i="15"/>
  <c r="Z26" i="15"/>
  <c r="Z11" i="15"/>
  <c r="AH18" i="15"/>
  <c r="AJ18" i="15" s="1"/>
  <c r="AN19" i="15"/>
  <c r="H131" i="24"/>
  <c r="G146" i="24" s="1"/>
  <c r="K32" i="15"/>
  <c r="R20" i="15"/>
  <c r="AG10" i="15"/>
  <c r="AO9" i="15"/>
  <c r="AQ9" i="15" s="1"/>
  <c r="AO16" i="15"/>
  <c r="AQ16" i="15" s="1"/>
  <c r="Z25" i="15"/>
  <c r="AP14" i="15"/>
  <c r="AR14" i="15" s="1"/>
  <c r="AI17" i="15"/>
  <c r="AK17" i="15" s="1"/>
  <c r="AB14" i="15"/>
  <c r="AD14" i="15" s="1"/>
  <c r="H14" i="15" s="1"/>
  <c r="AI14" i="15"/>
  <c r="AK14" i="15" s="1"/>
  <c r="AA20" i="15"/>
  <c r="AC20" i="15" s="1"/>
  <c r="G20" i="15" s="1"/>
  <c r="AO22" i="15"/>
  <c r="AQ22" i="15" s="1"/>
  <c r="AO27" i="15"/>
  <c r="AQ27" i="15" s="1"/>
  <c r="N20" i="15"/>
  <c r="U20" i="15" s="1"/>
  <c r="AA12" i="15"/>
  <c r="AC12" i="15" s="1"/>
  <c r="G12" i="15" s="1"/>
  <c r="AI12" i="15"/>
  <c r="AK12" i="15" s="1"/>
  <c r="AB18" i="15"/>
  <c r="AD18" i="15" s="1"/>
  <c r="H18" i="15" s="1"/>
  <c r="AA14" i="15"/>
  <c r="AC14" i="15" s="1"/>
  <c r="G14" i="15" s="1"/>
  <c r="AB11" i="15"/>
  <c r="AD11" i="15" s="1"/>
  <c r="H11" i="15" s="1"/>
  <c r="AN25" i="15"/>
  <c r="AI11" i="15"/>
  <c r="AK11" i="15" s="1"/>
  <c r="AI21" i="15"/>
  <c r="AK21" i="15" s="1"/>
  <c r="AO19" i="15"/>
  <c r="AQ19" i="15" s="1"/>
  <c r="AN16" i="15"/>
  <c r="R11" i="15"/>
  <c r="AA27" i="15"/>
  <c r="AC27" i="15" s="1"/>
  <c r="G27" i="15" s="1"/>
  <c r="AN28" i="15"/>
  <c r="AN9" i="15"/>
  <c r="AH16" i="15"/>
  <c r="AB21" i="15"/>
  <c r="AD21" i="15" s="1"/>
  <c r="H21" i="15" s="1"/>
  <c r="E15" i="15"/>
  <c r="AP28" i="15"/>
  <c r="AR28" i="15" s="1"/>
  <c r="AA28" i="15"/>
  <c r="AH21" i="15"/>
  <c r="AJ21" i="15" s="1"/>
  <c r="K15" i="15"/>
  <c r="AP19" i="15"/>
  <c r="AR19" i="15" s="1"/>
  <c r="AB13" i="15"/>
  <c r="AD13" i="15" s="1"/>
  <c r="H13" i="15" s="1"/>
  <c r="AI13" i="15"/>
  <c r="AK13" i="15" s="1"/>
  <c r="AA26" i="15"/>
  <c r="AC26" i="15" s="1"/>
  <c r="G26" i="15" s="1"/>
  <c r="AB19" i="15"/>
  <c r="AD19" i="15" s="1"/>
  <c r="H19" i="15" s="1"/>
  <c r="AO17" i="15"/>
  <c r="AQ17" i="15" s="1"/>
  <c r="Z27" i="15"/>
  <c r="N23" i="15"/>
  <c r="U23" i="15" s="1"/>
  <c r="AP27" i="15"/>
  <c r="AR27" i="15" s="1"/>
  <c r="F17" i="12"/>
  <c r="K81" i="12" s="1"/>
  <c r="Z55" i="12"/>
  <c r="F13" i="12"/>
  <c r="K78" i="12" s="1"/>
  <c r="Z47" i="16"/>
  <c r="F11" i="16"/>
  <c r="K110" i="16" s="1"/>
  <c r="AI57" i="16"/>
  <c r="AK57" i="16" s="1"/>
  <c r="Z51" i="16"/>
  <c r="F57" i="16"/>
  <c r="AP52" i="16"/>
  <c r="AR52" i="16" s="1"/>
  <c r="G48" i="16"/>
  <c r="Z52" i="16"/>
  <c r="AN46" i="16"/>
  <c r="AO53" i="16"/>
  <c r="AQ53" i="16" s="1"/>
  <c r="AB65" i="16"/>
  <c r="AH46" i="16"/>
  <c r="Z50" i="16"/>
  <c r="Z54" i="16"/>
  <c r="P47" i="16"/>
  <c r="W47" i="16" s="1"/>
  <c r="AO47" i="16"/>
  <c r="AQ47" i="16" s="1"/>
  <c r="AO54" i="16"/>
  <c r="AQ54" i="16" s="1"/>
  <c r="Z44" i="16"/>
  <c r="AN16" i="16"/>
  <c r="AN49" i="16"/>
  <c r="AB19" i="16"/>
  <c r="AG14" i="16"/>
  <c r="AP46" i="16"/>
  <c r="AR46" i="16" s="1"/>
  <c r="AO52" i="16"/>
  <c r="AQ52" i="16" s="1"/>
  <c r="Z56" i="16"/>
  <c r="AH12" i="16"/>
  <c r="AN11" i="16"/>
  <c r="AO18" i="16"/>
  <c r="AQ18" i="16" s="1"/>
  <c r="AP44" i="16"/>
  <c r="AR44" i="16" s="1"/>
  <c r="AO51" i="16"/>
  <c r="AQ51" i="16" s="1"/>
  <c r="P57" i="16"/>
  <c r="W57" i="16" s="1"/>
  <c r="AH44" i="16"/>
  <c r="AJ44" i="16" s="1"/>
  <c r="P110" i="16" s="1"/>
  <c r="F45" i="16"/>
  <c r="L111" i="16" s="1"/>
  <c r="AB53" i="16"/>
  <c r="AD53" i="16" s="1"/>
  <c r="I119" i="16" s="1"/>
  <c r="Z46" i="16"/>
  <c r="AG53" i="16"/>
  <c r="AG52" i="16"/>
  <c r="Z55" i="16"/>
  <c r="AR9" i="16"/>
  <c r="AP58" i="16"/>
  <c r="AR58" i="16" s="1"/>
  <c r="AA22" i="16"/>
  <c r="AO24" i="16"/>
  <c r="AQ24" i="16" s="1"/>
  <c r="E85" i="24"/>
  <c r="AK65" i="16"/>
  <c r="AH23" i="16"/>
  <c r="AJ23" i="16" s="1"/>
  <c r="N122" i="16" s="1"/>
  <c r="AO44" i="16"/>
  <c r="AQ44" i="16" s="1"/>
  <c r="AP9" i="16"/>
  <c r="N23" i="16"/>
  <c r="U23" i="16" s="1"/>
  <c r="AO23" i="16"/>
  <c r="AG24" i="16"/>
  <c r="AB45" i="16"/>
  <c r="AD45" i="16" s="1"/>
  <c r="I111" i="16" s="1"/>
  <c r="AH56" i="16"/>
  <c r="AJ56" i="16" s="1"/>
  <c r="P122" i="16" s="1"/>
  <c r="AN32" i="16"/>
  <c r="P44" i="16"/>
  <c r="W44" i="16" s="1"/>
  <c r="AN9" i="16"/>
  <c r="AP45" i="16"/>
  <c r="AN52" i="16"/>
  <c r="AO59" i="16"/>
  <c r="AQ59" i="16" s="1"/>
  <c r="AB44" i="16"/>
  <c r="AD44" i="16" s="1"/>
  <c r="I110" i="16" s="1"/>
  <c r="AI51" i="16"/>
  <c r="AK51" i="16" s="1"/>
  <c r="Q117" i="16" s="1"/>
  <c r="AN44" i="16"/>
  <c r="AH17" i="16"/>
  <c r="AJ17" i="16" s="1"/>
  <c r="N116" i="16" s="1"/>
  <c r="AP49" i="16"/>
  <c r="AR49" i="16" s="1"/>
  <c r="AN42" i="16"/>
  <c r="AI45" i="16"/>
  <c r="AK45" i="16" s="1"/>
  <c r="Q111" i="16" s="1"/>
  <c r="F19" i="16"/>
  <c r="AN50" i="16"/>
  <c r="AP51" i="16"/>
  <c r="AR51" i="16" s="1"/>
  <c r="AP42" i="16"/>
  <c r="AR42" i="16" s="1"/>
  <c r="AN58" i="16"/>
  <c r="F56" i="16"/>
  <c r="L122" i="16" s="1"/>
  <c r="F50" i="16"/>
  <c r="L116" i="16" s="1"/>
  <c r="T53" i="16"/>
  <c r="AN51" i="16"/>
  <c r="AG64" i="16"/>
  <c r="AA52" i="16"/>
  <c r="AC52" i="16" s="1"/>
  <c r="H118" i="16" s="1"/>
  <c r="F66" i="16"/>
  <c r="G67" i="16"/>
  <c r="AN66" i="16"/>
  <c r="AA10" i="16"/>
  <c r="AC10" i="16" s="1"/>
  <c r="F109" i="16" s="1"/>
  <c r="L14" i="16"/>
  <c r="S14" i="16" s="1"/>
  <c r="P17" i="16"/>
  <c r="W17" i="16" s="1"/>
  <c r="Z17" i="16"/>
  <c r="AG17" i="16"/>
  <c r="F14" i="16"/>
  <c r="K113" i="16" s="1"/>
  <c r="AA20" i="16"/>
  <c r="AC20" i="16" s="1"/>
  <c r="F119" i="16" s="1"/>
  <c r="AP11" i="16"/>
  <c r="AR11" i="16" s="1"/>
  <c r="AO17" i="16"/>
  <c r="AQ17" i="16" s="1"/>
  <c r="AG16" i="16"/>
  <c r="F22" i="12"/>
  <c r="AP55" i="12"/>
  <c r="AR55" i="12" s="1"/>
  <c r="AG56" i="12"/>
  <c r="F10" i="12"/>
  <c r="K75" i="12" s="1"/>
  <c r="F11" i="12"/>
  <c r="K76" i="12" s="1"/>
  <c r="F12" i="12"/>
  <c r="K77" i="12" s="1"/>
  <c r="AH53" i="12"/>
  <c r="AJ53" i="12" s="1"/>
  <c r="P87" i="12" s="1"/>
  <c r="F16" i="12"/>
  <c r="F18" i="12"/>
  <c r="AB42" i="12"/>
  <c r="AD42" i="12" s="1"/>
  <c r="I77" i="12" s="1"/>
  <c r="AG14" i="14"/>
  <c r="H104" i="24"/>
  <c r="F141" i="24" s="1"/>
  <c r="AO20" i="14"/>
  <c r="AQ20" i="14" s="1"/>
  <c r="AA13" i="14"/>
  <c r="AC13" i="14" s="1"/>
  <c r="AD35" i="14"/>
  <c r="AH35" i="14" s="1"/>
  <c r="AJ35" i="14" s="1"/>
  <c r="AA27" i="14"/>
  <c r="AC27" i="14" s="1"/>
  <c r="AG11" i="14"/>
  <c r="AA10" i="14"/>
  <c r="AO17" i="14"/>
  <c r="AN10" i="14"/>
  <c r="AF9" i="14"/>
  <c r="AG16" i="14"/>
  <c r="Z14" i="14"/>
  <c r="AB14" i="14" s="1"/>
  <c r="AN14" i="14"/>
  <c r="W35" i="14"/>
  <c r="AA35" i="14" s="1"/>
  <c r="AA16" i="14"/>
  <c r="AC16" i="14" s="1"/>
  <c r="AH11" i="14"/>
  <c r="AJ11" i="14" s="1"/>
  <c r="AM10" i="14"/>
  <c r="Z9" i="14"/>
  <c r="AB9" i="14" s="1"/>
  <c r="AN16" i="14"/>
  <c r="AO16" i="14"/>
  <c r="AQ16" i="14" s="1"/>
  <c r="AH20" i="14"/>
  <c r="AJ20" i="14" s="1"/>
  <c r="Y19" i="14"/>
  <c r="AA12" i="14"/>
  <c r="AC12" i="14" s="1"/>
  <c r="AM19" i="14"/>
  <c r="AF17" i="14"/>
  <c r="AN18" i="14"/>
  <c r="AP18" i="14" s="1"/>
  <c r="AI11" i="14"/>
  <c r="AP16" i="14"/>
  <c r="AM14" i="14"/>
  <c r="E107" i="24"/>
  <c r="Z16" i="14"/>
  <c r="AB16" i="14" s="1"/>
  <c r="AH21" i="14"/>
  <c r="AJ21" i="14" s="1"/>
  <c r="AH14" i="14"/>
  <c r="AJ14" i="14" s="1"/>
  <c r="Z20" i="14"/>
  <c r="AB20" i="14" s="1"/>
  <c r="AO13" i="14"/>
  <c r="AQ13" i="14" s="1"/>
  <c r="Q14" i="14"/>
  <c r="Q22" i="14"/>
  <c r="Y24" i="14"/>
  <c r="AF19" i="14"/>
  <c r="Y11" i="14"/>
  <c r="AA9" i="14"/>
  <c r="AC9" i="14" s="1"/>
  <c r="AH17" i="14"/>
  <c r="Y9" i="14"/>
  <c r="AM35" i="14"/>
  <c r="Y16" i="14"/>
  <c r="AM9" i="14"/>
  <c r="AO19" i="14"/>
  <c r="AQ19" i="14" s="1"/>
  <c r="AM23" i="14"/>
  <c r="Z27" i="14"/>
  <c r="AB27" i="14" s="1"/>
  <c r="E105" i="24"/>
  <c r="AF21" i="14"/>
  <c r="AM11" i="14"/>
  <c r="AG19" i="14"/>
  <c r="AI19" i="14" s="1"/>
  <c r="AA11" i="14"/>
  <c r="AC11" i="14" s="1"/>
  <c r="AF34" i="14"/>
  <c r="AH27" i="14"/>
  <c r="AJ27" i="14" s="1"/>
  <c r="AA19" i="14"/>
  <c r="AC19" i="14" s="1"/>
  <c r="AH19" i="14"/>
  <c r="AJ19" i="14" s="1"/>
  <c r="AF16" i="14"/>
  <c r="Y14" i="14"/>
  <c r="AH22" i="14"/>
  <c r="AJ22" i="14" s="1"/>
  <c r="AN24" i="14"/>
  <c r="Q23" i="14"/>
  <c r="AF20" i="14"/>
  <c r="AH13" i="14"/>
  <c r="AJ13" i="14" s="1"/>
  <c r="Z19" i="14"/>
  <c r="AB19" i="14" s="1"/>
  <c r="AM12" i="14"/>
  <c r="AH34" i="14"/>
  <c r="Y25" i="14"/>
  <c r="AP14" i="14"/>
  <c r="AF14" i="14"/>
  <c r="AJ34" i="14"/>
  <c r="AA14" i="14"/>
  <c r="AC14" i="14" s="1"/>
  <c r="M18" i="14"/>
  <c r="T18" i="14" s="1"/>
  <c r="AI16" i="14"/>
  <c r="E35" i="14"/>
  <c r="G35" i="14"/>
  <c r="AG20" i="14"/>
  <c r="AI20" i="14" s="1"/>
  <c r="Z10" i="14"/>
  <c r="AB10" i="14" s="1"/>
  <c r="AO14" i="14"/>
  <c r="AQ14" i="14" s="1"/>
  <c r="AF27" i="14"/>
  <c r="G44" i="24"/>
  <c r="F25" i="12"/>
  <c r="G42" i="24"/>
  <c r="F23" i="12"/>
  <c r="G45" i="24"/>
  <c r="F26" i="12"/>
  <c r="F14" i="12"/>
  <c r="AO10" i="12"/>
  <c r="AQ10" i="12" s="1"/>
  <c r="G38" i="24"/>
  <c r="F19" i="12"/>
  <c r="G40" i="24"/>
  <c r="F21" i="12"/>
  <c r="K85" i="12" s="1"/>
  <c r="AH39" i="12"/>
  <c r="AJ39" i="12" s="1"/>
  <c r="P74" i="12" s="1"/>
  <c r="AI19" i="12"/>
  <c r="AK19" i="12" s="1"/>
  <c r="O83" i="12" s="1"/>
  <c r="AG17" i="12"/>
  <c r="AH14" i="12"/>
  <c r="AJ14" i="12" s="1"/>
  <c r="N79" i="12" s="1"/>
  <c r="AH10" i="12"/>
  <c r="AJ10" i="12" s="1"/>
  <c r="N75" i="12" s="1"/>
  <c r="AI50" i="12"/>
  <c r="AK50" i="12" s="1"/>
  <c r="Q84" i="12" s="1"/>
  <c r="AH22" i="12"/>
  <c r="AJ22" i="12" s="1"/>
  <c r="N86" i="12" s="1"/>
  <c r="R91" i="12"/>
  <c r="E92" i="12"/>
  <c r="R92" i="12"/>
  <c r="AO55" i="12"/>
  <c r="AQ55" i="12" s="1"/>
  <c r="AA47" i="12"/>
  <c r="L24" i="13"/>
  <c r="O24" i="13" s="1"/>
  <c r="V24" i="13" s="1"/>
  <c r="E25" i="24"/>
  <c r="AA52" i="13"/>
  <c r="AC52" i="13" s="1"/>
  <c r="G47" i="13"/>
  <c r="L14" i="13"/>
  <c r="S14" i="13" s="1"/>
  <c r="AN16" i="13"/>
  <c r="P54" i="13"/>
  <c r="W54" i="13" s="1"/>
  <c r="P55" i="13"/>
  <c r="W55" i="13" s="1"/>
  <c r="AH66" i="13"/>
  <c r="AJ66" i="13" s="1"/>
  <c r="AA32" i="13"/>
  <c r="AN32" i="13"/>
  <c r="AO26" i="13"/>
  <c r="AQ26" i="13" s="1"/>
  <c r="Z42" i="13"/>
  <c r="AH49" i="13"/>
  <c r="AJ49" i="13" s="1"/>
  <c r="AA19" i="13"/>
  <c r="AC19" i="13" s="1"/>
  <c r="AB52" i="13"/>
  <c r="AD52" i="13" s="1"/>
  <c r="AB53" i="13"/>
  <c r="AD53" i="13" s="1"/>
  <c r="F52" i="13"/>
  <c r="F51" i="13"/>
  <c r="L44" i="13"/>
  <c r="O44" i="13" s="1"/>
  <c r="V44" i="13" s="1"/>
  <c r="G67" i="13"/>
  <c r="AO53" i="13"/>
  <c r="AQ53" i="13" s="1"/>
  <c r="AR41" i="13"/>
  <c r="AG16" i="13"/>
  <c r="AA41" i="13"/>
  <c r="AP11" i="13"/>
  <c r="AR11" i="13" s="1"/>
  <c r="AO43" i="13"/>
  <c r="AQ43" i="13" s="1"/>
  <c r="AP50" i="13"/>
  <c r="AR50" i="13" s="1"/>
  <c r="E23" i="24"/>
  <c r="AH58" i="13"/>
  <c r="AJ58" i="13" s="1"/>
  <c r="AH9" i="13"/>
  <c r="AJ9" i="13" s="1"/>
  <c r="N108" i="13" s="1"/>
  <c r="AI14" i="13"/>
  <c r="AK14" i="13" s="1"/>
  <c r="O113" i="13" s="1"/>
  <c r="AI48" i="13"/>
  <c r="AK48" i="13" s="1"/>
  <c r="AB18" i="13"/>
  <c r="AD18" i="13" s="1"/>
  <c r="F22" i="13"/>
  <c r="E22" i="24"/>
  <c r="AP41" i="13"/>
  <c r="E24" i="24"/>
  <c r="AN48" i="13"/>
  <c r="AB46" i="13"/>
  <c r="AO41" i="13"/>
  <c r="AP52" i="13"/>
  <c r="AR52" i="13" s="1"/>
  <c r="AP12" i="13"/>
  <c r="AR12" i="13" s="1"/>
  <c r="AO19" i="13"/>
  <c r="AQ19" i="13" s="1"/>
  <c r="AN44" i="13"/>
  <c r="AP51" i="13"/>
  <c r="AR51" i="13" s="1"/>
  <c r="AJ41" i="13"/>
  <c r="P108" i="13" s="1"/>
  <c r="AA12" i="13"/>
  <c r="AI52" i="13"/>
  <c r="AK52" i="13" s="1"/>
  <c r="L48" i="13"/>
  <c r="S48" i="13" s="1"/>
  <c r="AG48" i="13"/>
  <c r="AP45" i="13"/>
  <c r="AR45" i="13" s="1"/>
  <c r="AN52" i="13"/>
  <c r="AN45" i="13"/>
  <c r="AH41" i="13"/>
  <c r="AK41" i="13"/>
  <c r="Q108" i="13" s="1"/>
  <c r="AH13" i="13"/>
  <c r="AJ13" i="13" s="1"/>
  <c r="N112" i="13" s="1"/>
  <c r="AA50" i="13"/>
  <c r="AC50" i="13" s="1"/>
  <c r="AP42" i="13"/>
  <c r="AR42" i="13" s="1"/>
  <c r="Z46" i="13"/>
  <c r="Z41" i="13"/>
  <c r="F57" i="13"/>
  <c r="AB41" i="13"/>
  <c r="P48" i="13"/>
  <c r="W48" i="13" s="1"/>
  <c r="AD96" i="13"/>
  <c r="P45" i="13"/>
  <c r="W45" i="13" s="1"/>
  <c r="H19" i="24"/>
  <c r="AO21" i="13"/>
  <c r="AQ21" i="13" s="1"/>
  <c r="AP46" i="13"/>
  <c r="AR46" i="13" s="1"/>
  <c r="AN53" i="13"/>
  <c r="AB9" i="13"/>
  <c r="AD9" i="13" s="1"/>
  <c r="G108" i="13" s="1"/>
  <c r="E90" i="12"/>
  <c r="AA24" i="12"/>
  <c r="AC24" i="12" s="1"/>
  <c r="F88" i="12" s="1"/>
  <c r="AB41" i="12"/>
  <c r="AA9" i="12"/>
  <c r="AC9" i="12" s="1"/>
  <c r="F74" i="12" s="1"/>
  <c r="AP20" i="12"/>
  <c r="AR20" i="12" s="1"/>
  <c r="E89" i="12"/>
  <c r="AO39" i="12"/>
  <c r="AQ39" i="12" s="1"/>
  <c r="AP43" i="12"/>
  <c r="AR43" i="12" s="1"/>
  <c r="AN54" i="12"/>
  <c r="AP10" i="12"/>
  <c r="AR10" i="12" s="1"/>
  <c r="AN48" i="12"/>
  <c r="AN46" i="12"/>
  <c r="E46" i="24"/>
  <c r="AN42" i="12"/>
  <c r="AG49" i="12"/>
  <c r="AH44" i="12"/>
  <c r="AJ44" i="12" s="1"/>
  <c r="P79" i="12" s="1"/>
  <c r="AI42" i="12"/>
  <c r="AK42" i="12" s="1"/>
  <c r="Q77" i="12" s="1"/>
  <c r="AB58" i="12"/>
  <c r="AD58" i="12" s="1"/>
  <c r="I92" i="12" s="1"/>
  <c r="P11" i="12"/>
  <c r="W11" i="12" s="1"/>
  <c r="AB13" i="12"/>
  <c r="AD13" i="12" s="1"/>
  <c r="G78" i="12" s="1"/>
  <c r="E41" i="24"/>
  <c r="AP21" i="12"/>
  <c r="AR21" i="12" s="1"/>
  <c r="AP39" i="12"/>
  <c r="AR39" i="12" s="1"/>
  <c r="N21" i="12"/>
  <c r="U21" i="12" s="1"/>
  <c r="F46" i="12"/>
  <c r="L80" i="12" s="1"/>
  <c r="AA20" i="12"/>
  <c r="AC20" i="12" s="1"/>
  <c r="F84" i="12" s="1"/>
  <c r="F42" i="12"/>
  <c r="L77" i="12" s="1"/>
  <c r="T39" i="12"/>
  <c r="E80" i="12"/>
  <c r="R80" i="12" s="1"/>
  <c r="AE62" i="12"/>
  <c r="AH62" i="12" s="1"/>
  <c r="AJ62" i="12" s="1"/>
  <c r="Z58" i="12"/>
  <c r="L47" i="12"/>
  <c r="S47" i="12" s="1"/>
  <c r="AP46" i="12"/>
  <c r="AR46" i="12" s="1"/>
  <c r="AB17" i="12"/>
  <c r="AD17" i="12" s="1"/>
  <c r="G81" i="12" s="1"/>
  <c r="AA48" i="12"/>
  <c r="AC48" i="12" s="1"/>
  <c r="H82" i="12" s="1"/>
  <c r="AG24" i="12"/>
  <c r="AA58" i="12"/>
  <c r="AC58" i="12" s="1"/>
  <c r="H92" i="12" s="1"/>
  <c r="T40" i="12"/>
  <c r="R9" i="12"/>
  <c r="AO18" i="12"/>
  <c r="AQ18" i="12" s="1"/>
  <c r="AP16" i="12"/>
  <c r="AR16" i="12" s="1"/>
  <c r="AO13" i="12"/>
  <c r="AQ13" i="12" s="1"/>
  <c r="AP11" i="12"/>
  <c r="AR11" i="12" s="1"/>
  <c r="AP51" i="12"/>
  <c r="AR51" i="12" s="1"/>
  <c r="AN49" i="12"/>
  <c r="AO42" i="12"/>
  <c r="AQ42" i="12" s="1"/>
  <c r="T20" i="12"/>
  <c r="AH55" i="12"/>
  <c r="AJ55" i="12" s="1"/>
  <c r="P89" i="12" s="1"/>
  <c r="N14" i="12"/>
  <c r="U14" i="12" s="1"/>
  <c r="L46" i="12"/>
  <c r="S46" i="12" s="1"/>
  <c r="F39" i="24"/>
  <c r="AA52" i="12"/>
  <c r="AC52" i="12" s="1"/>
  <c r="H86" i="12" s="1"/>
  <c r="T42" i="12"/>
  <c r="AG18" i="12"/>
  <c r="AG51" i="12"/>
  <c r="AN23" i="12"/>
  <c r="AN26" i="12"/>
  <c r="F39" i="12"/>
  <c r="L74" i="12" s="1"/>
  <c r="AB18" i="12"/>
  <c r="AD18" i="12" s="1"/>
  <c r="G82" i="12" s="1"/>
  <c r="AA13" i="12"/>
  <c r="AC13" i="12" s="1"/>
  <c r="F78" i="12" s="1"/>
  <c r="AA11" i="12"/>
  <c r="AC11" i="12" s="1"/>
  <c r="F76" i="12" s="1"/>
  <c r="AA51" i="12"/>
  <c r="AC51" i="12" s="1"/>
  <c r="H85" i="12" s="1"/>
  <c r="Z49" i="12"/>
  <c r="AB44" i="12"/>
  <c r="AD44" i="12" s="1"/>
  <c r="I79" i="12" s="1"/>
  <c r="Z42" i="12"/>
  <c r="AA40" i="12"/>
  <c r="AC40" i="12" s="1"/>
  <c r="H75" i="12" s="1"/>
  <c r="N52" i="12"/>
  <c r="U52" i="12" s="1"/>
  <c r="N54" i="12"/>
  <c r="U54" i="12" s="1"/>
  <c r="L10" i="12"/>
  <c r="S10" i="12" s="1"/>
  <c r="F53" i="12"/>
  <c r="L87" i="12" s="1"/>
  <c r="R10" i="12"/>
  <c r="AH48" i="12"/>
  <c r="AJ48" i="12" s="1"/>
  <c r="P82" i="12" s="1"/>
  <c r="AH46" i="12"/>
  <c r="AJ46" i="12" s="1"/>
  <c r="P80" i="12" s="1"/>
  <c r="AI43" i="12"/>
  <c r="AK43" i="12" s="1"/>
  <c r="Q78" i="12" s="1"/>
  <c r="AI41" i="12"/>
  <c r="AK41" i="12" s="1"/>
  <c r="Q76" i="12" s="1"/>
  <c r="T46" i="12"/>
  <c r="E78" i="12"/>
  <c r="T50" i="12"/>
  <c r="P46" i="12"/>
  <c r="W46" i="12" s="1"/>
  <c r="E87" i="12"/>
  <c r="R87" i="12" s="1"/>
  <c r="F43" i="12"/>
  <c r="L78" i="12" s="1"/>
  <c r="AB21" i="12"/>
  <c r="AD21" i="12" s="1"/>
  <c r="G85" i="12" s="1"/>
  <c r="L23" i="12"/>
  <c r="I42" i="24" s="1"/>
  <c r="AH57" i="12"/>
  <c r="AJ57" i="12" s="1"/>
  <c r="P91" i="12" s="1"/>
  <c r="M35" i="13"/>
  <c r="L34" i="13"/>
  <c r="M34" i="13"/>
  <c r="AA9" i="15"/>
  <c r="AC9" i="15" s="1"/>
  <c r="G9" i="15" s="1"/>
  <c r="AB9" i="15"/>
  <c r="AD9" i="15" s="1"/>
  <c r="H9" i="15" s="1"/>
  <c r="AH23" i="14"/>
  <c r="AJ23" i="14" s="1"/>
  <c r="AG23" i="14"/>
  <c r="AI23" i="14" s="1"/>
  <c r="AF23" i="14"/>
  <c r="Z11" i="27"/>
  <c r="AB11" i="27" s="1"/>
  <c r="Y11" i="27"/>
  <c r="AI26" i="27"/>
  <c r="AF26" i="27"/>
  <c r="AI32" i="16"/>
  <c r="AJ32" i="16"/>
  <c r="AN42" i="13"/>
  <c r="AN21" i="12"/>
  <c r="AA22" i="12"/>
  <c r="AC22" i="12" s="1"/>
  <c r="F86" i="12" s="1"/>
  <c r="Z22" i="12"/>
  <c r="N23" i="12"/>
  <c r="R23" i="12"/>
  <c r="AI17" i="27"/>
  <c r="AF17" i="27"/>
  <c r="AJ17" i="27"/>
  <c r="AM18" i="27"/>
  <c r="AO18" i="27"/>
  <c r="AQ18" i="27" s="1"/>
  <c r="Z20" i="27"/>
  <c r="AB20" i="27" s="1"/>
  <c r="Y20" i="27"/>
  <c r="AO21" i="27"/>
  <c r="AQ21" i="27" s="1"/>
  <c r="AB54" i="12"/>
  <c r="AD54" i="12" s="1"/>
  <c r="I88" i="12" s="1"/>
  <c r="AA54" i="12"/>
  <c r="AC54" i="12" s="1"/>
  <c r="H88" i="12" s="1"/>
  <c r="AH65" i="16"/>
  <c r="R24" i="15"/>
  <c r="H129" i="24"/>
  <c r="G144" i="24" s="1"/>
  <c r="R55" i="13"/>
  <c r="L55" i="13"/>
  <c r="N50" i="13"/>
  <c r="U50" i="13" s="1"/>
  <c r="C81" i="13"/>
  <c r="F81" i="13" s="1"/>
  <c r="C80" i="13"/>
  <c r="F80" i="13" s="1"/>
  <c r="C79" i="13"/>
  <c r="F79" i="13" s="1"/>
  <c r="E86" i="16"/>
  <c r="F86" i="16" s="1"/>
  <c r="E87" i="16"/>
  <c r="F87" i="16" s="1"/>
  <c r="E85" i="16"/>
  <c r="K34" i="16"/>
  <c r="AO43" i="16"/>
  <c r="AQ43" i="16" s="1"/>
  <c r="J21" i="24"/>
  <c r="B143" i="24" s="1"/>
  <c r="M33" i="13"/>
  <c r="T23" i="13"/>
  <c r="R27" i="13"/>
  <c r="H25" i="24"/>
  <c r="J44" i="24"/>
  <c r="C145" i="24" s="1"/>
  <c r="P25" i="12"/>
  <c r="W25" i="12" s="1"/>
  <c r="T58" i="12"/>
  <c r="P58" i="12"/>
  <c r="W58" i="12" s="1"/>
  <c r="AB32" i="16"/>
  <c r="AD32" i="16"/>
  <c r="AC32" i="16"/>
  <c r="AI28" i="15"/>
  <c r="AK28" i="15" s="1"/>
  <c r="AG28" i="15"/>
  <c r="R10" i="16"/>
  <c r="N43" i="16"/>
  <c r="U43" i="16" s="1"/>
  <c r="E45" i="12"/>
  <c r="N17" i="15"/>
  <c r="U17" i="15" s="1"/>
  <c r="F49" i="12"/>
  <c r="L83" i="12" s="1"/>
  <c r="AO49" i="13"/>
  <c r="AQ49" i="13" s="1"/>
  <c r="AG43" i="16"/>
  <c r="AA9" i="18"/>
  <c r="AN20" i="15"/>
  <c r="Z65" i="16"/>
  <c r="AD65" i="16"/>
  <c r="AI42" i="13"/>
  <c r="AK42" i="13" s="1"/>
  <c r="Q109" i="13" s="1"/>
  <c r="AA24" i="13"/>
  <c r="AC24" i="13" s="1"/>
  <c r="Z24" i="13"/>
  <c r="G33" i="13"/>
  <c r="F23" i="13"/>
  <c r="G21" i="24"/>
  <c r="AA55" i="16"/>
  <c r="AP47" i="12"/>
  <c r="AR47" i="12" s="1"/>
  <c r="AN47" i="12"/>
  <c r="U54" i="13"/>
  <c r="AO12" i="27"/>
  <c r="Y10" i="27"/>
  <c r="AA10" i="27"/>
  <c r="AC10" i="27" s="1"/>
  <c r="AG24" i="14"/>
  <c r="AF24" i="14"/>
  <c r="AH24" i="14"/>
  <c r="AJ24" i="14" s="1"/>
  <c r="AA65" i="16"/>
  <c r="AO34" i="14"/>
  <c r="AQ34" i="14"/>
  <c r="AM34" i="14"/>
  <c r="AB51" i="13"/>
  <c r="AD51" i="13" s="1"/>
  <c r="AA51" i="13"/>
  <c r="AC51" i="13" s="1"/>
  <c r="AP49" i="13"/>
  <c r="AR49" i="13" s="1"/>
  <c r="AN19" i="14"/>
  <c r="AP19" i="14" s="1"/>
  <c r="Y13" i="27"/>
  <c r="AC13" i="27"/>
  <c r="Z13" i="27"/>
  <c r="AB13" i="27" s="1"/>
  <c r="AE32" i="12"/>
  <c r="AL32" i="12"/>
  <c r="G85" i="24"/>
  <c r="AG27" i="27"/>
  <c r="AH27" i="27"/>
  <c r="AJ27" i="27" s="1"/>
  <c r="AC27" i="12"/>
  <c r="F91" i="12" s="1"/>
  <c r="AD27" i="12"/>
  <c r="G91" i="12" s="1"/>
  <c r="AI53" i="13"/>
  <c r="AK53" i="13" s="1"/>
  <c r="AH53" i="13"/>
  <c r="AJ53" i="13" s="1"/>
  <c r="C88" i="12"/>
  <c r="E88" i="12" s="1"/>
  <c r="R88" i="12" s="1"/>
  <c r="E43" i="24"/>
  <c r="E67" i="16"/>
  <c r="Q11" i="14"/>
  <c r="R11" i="16"/>
  <c r="N13" i="13"/>
  <c r="U13" i="13" s="1"/>
  <c r="J34" i="15"/>
  <c r="H121" i="24"/>
  <c r="G136" i="24" s="1"/>
  <c r="P17" i="13"/>
  <c r="N17" i="13"/>
  <c r="U17" i="13" s="1"/>
  <c r="F47" i="12"/>
  <c r="L81" i="12" s="1"/>
  <c r="AI14" i="12"/>
  <c r="AK14" i="12" s="1"/>
  <c r="O79" i="12" s="1"/>
  <c r="K67" i="13"/>
  <c r="P14" i="13"/>
  <c r="W14" i="13" s="1"/>
  <c r="P16" i="13"/>
  <c r="W16" i="13" s="1"/>
  <c r="R16" i="12"/>
  <c r="F40" i="12"/>
  <c r="L75" i="12" s="1"/>
  <c r="R15" i="18"/>
  <c r="N49" i="13"/>
  <c r="U49" i="13" s="1"/>
  <c r="R17" i="15"/>
  <c r="E81" i="12"/>
  <c r="R81" i="12" s="1"/>
  <c r="N18" i="12"/>
  <c r="F50" i="12"/>
  <c r="L84" i="12" s="1"/>
  <c r="AI46" i="12"/>
  <c r="AK46" i="12" s="1"/>
  <c r="Q80" i="12" s="1"/>
  <c r="AP43" i="13"/>
  <c r="AR43" i="13" s="1"/>
  <c r="AP19" i="13"/>
  <c r="AR19" i="13" s="1"/>
  <c r="Y20" i="14"/>
  <c r="AG21" i="15"/>
  <c r="AH14" i="15"/>
  <c r="E103" i="24"/>
  <c r="AO23" i="14"/>
  <c r="AQ23" i="14" s="1"/>
  <c r="AG23" i="15"/>
  <c r="Q9" i="27"/>
  <c r="M9" i="27"/>
  <c r="T9" i="27" s="1"/>
  <c r="N26" i="13"/>
  <c r="U26" i="13" s="1"/>
  <c r="H24" i="24"/>
  <c r="AP20" i="15"/>
  <c r="AR20" i="15" s="1"/>
  <c r="AG10" i="12"/>
  <c r="AO18" i="15"/>
  <c r="AQ18" i="15" s="1"/>
  <c r="AN18" i="15"/>
  <c r="AR11" i="15"/>
  <c r="AO11" i="15"/>
  <c r="AQ11" i="15" s="1"/>
  <c r="AF12" i="14"/>
  <c r="AJ12" i="14"/>
  <c r="AN11" i="14"/>
  <c r="AI23" i="15"/>
  <c r="AK23" i="15" s="1"/>
  <c r="AA11" i="27"/>
  <c r="AC11" i="27" s="1"/>
  <c r="AH19" i="27"/>
  <c r="AJ19" i="27" s="1"/>
  <c r="AG19" i="27"/>
  <c r="AN23" i="27"/>
  <c r="AP23" i="27" s="1"/>
  <c r="AM23" i="27"/>
  <c r="AO23" i="27"/>
  <c r="AQ23" i="27" s="1"/>
  <c r="AG66" i="13"/>
  <c r="AP43" i="16"/>
  <c r="AR43" i="16" s="1"/>
  <c r="AG11" i="15"/>
  <c r="AH11" i="15"/>
  <c r="AO32" i="18"/>
  <c r="AQ32" i="18" s="1"/>
  <c r="AM32" i="12"/>
  <c r="Y32" i="12"/>
  <c r="AA32" i="12" s="1"/>
  <c r="AC32" i="12" s="1"/>
  <c r="H22" i="24"/>
  <c r="R24" i="13"/>
  <c r="AG26" i="27"/>
  <c r="AG60" i="13"/>
  <c r="AH60" i="13"/>
  <c r="AJ60" i="13" s="1"/>
  <c r="N33" i="16"/>
  <c r="U33" i="16" s="1"/>
  <c r="R33" i="16"/>
  <c r="Q25" i="14"/>
  <c r="H108" i="24"/>
  <c r="F145" i="24" s="1"/>
  <c r="AI46" i="13"/>
  <c r="AK46" i="13" s="1"/>
  <c r="Q113" i="13" s="1"/>
  <c r="AA49" i="16"/>
  <c r="AC49" i="16" s="1"/>
  <c r="H115" i="16" s="1"/>
  <c r="AB49" i="16"/>
  <c r="AD49" i="16" s="1"/>
  <c r="I115" i="16" s="1"/>
  <c r="N14" i="18"/>
  <c r="M14" i="18" s="1"/>
  <c r="T14" i="18" s="1"/>
  <c r="J37" i="24"/>
  <c r="C138" i="24" s="1"/>
  <c r="AG17" i="15"/>
  <c r="AJ17" i="15"/>
  <c r="AB17" i="15"/>
  <c r="Z17" i="15"/>
  <c r="AQ10" i="15"/>
  <c r="AN10" i="15"/>
  <c r="R54" i="13"/>
  <c r="L54" i="13"/>
  <c r="AA53" i="12"/>
  <c r="AC53" i="12" s="1"/>
  <c r="H87" i="12" s="1"/>
  <c r="Z53" i="12"/>
  <c r="AB53" i="12"/>
  <c r="AD53" i="12" s="1"/>
  <c r="I87" i="12" s="1"/>
  <c r="AM14" i="27"/>
  <c r="AO14" i="27"/>
  <c r="AQ14" i="27" s="1"/>
  <c r="T26" i="27"/>
  <c r="O26" i="27"/>
  <c r="N26" i="27"/>
  <c r="AP25" i="12"/>
  <c r="AR25" i="12" s="1"/>
  <c r="AO25" i="12"/>
  <c r="AQ25" i="12" s="1"/>
  <c r="AH9" i="15"/>
  <c r="AG9" i="15"/>
  <c r="P49" i="13"/>
  <c r="W49" i="13" s="1"/>
  <c r="P10" i="12"/>
  <c r="W10" i="12" s="1"/>
  <c r="N9" i="15"/>
  <c r="U9" i="15" s="1"/>
  <c r="T13" i="13"/>
  <c r="R9" i="15"/>
  <c r="P21" i="12"/>
  <c r="W21" i="12" s="1"/>
  <c r="AO49" i="12"/>
  <c r="AQ49" i="12" s="1"/>
  <c r="AO46" i="13"/>
  <c r="AQ46" i="13" s="1"/>
  <c r="AO42" i="13"/>
  <c r="AQ42" i="13" s="1"/>
  <c r="AN13" i="14"/>
  <c r="AA18" i="14"/>
  <c r="AC18" i="14" s="1"/>
  <c r="Z21" i="15"/>
  <c r="AI19" i="15"/>
  <c r="AK19" i="15" s="1"/>
  <c r="AH13" i="15"/>
  <c r="AJ9" i="15"/>
  <c r="AA10" i="15"/>
  <c r="AC10" i="15" s="1"/>
  <c r="G10" i="15" s="1"/>
  <c r="Z10" i="15"/>
  <c r="AB22" i="12"/>
  <c r="AD22" i="12" s="1"/>
  <c r="G86" i="12" s="1"/>
  <c r="T18" i="27"/>
  <c r="AI12" i="27"/>
  <c r="AG12" i="27"/>
  <c r="AQ13" i="27"/>
  <c r="M17" i="27"/>
  <c r="Q17" i="27"/>
  <c r="F25" i="13"/>
  <c r="G23" i="24"/>
  <c r="AG27" i="15"/>
  <c r="AH27" i="15"/>
  <c r="AJ27" i="15" s="1"/>
  <c r="K122" i="16"/>
  <c r="F85" i="24"/>
  <c r="E129" i="24"/>
  <c r="E98" i="16"/>
  <c r="F98" i="16" s="1"/>
  <c r="E97" i="16"/>
  <c r="E96" i="16"/>
  <c r="N14" i="13"/>
  <c r="U14" i="13" s="1"/>
  <c r="J15" i="24"/>
  <c r="B137" i="24" s="1"/>
  <c r="B59" i="15"/>
  <c r="C59" i="15" s="1"/>
  <c r="B58" i="15"/>
  <c r="C58" i="15" s="1"/>
  <c r="B57" i="15"/>
  <c r="C57" i="15" s="1"/>
  <c r="H123" i="24"/>
  <c r="G138" i="24" s="1"/>
  <c r="C46" i="14"/>
  <c r="D46" i="14" s="1"/>
  <c r="C48" i="14"/>
  <c r="D48" i="14" s="1"/>
  <c r="C47" i="14"/>
  <c r="D47" i="14" s="1"/>
  <c r="AN17" i="16"/>
  <c r="N48" i="13"/>
  <c r="U48" i="13" s="1"/>
  <c r="AO11" i="12"/>
  <c r="AQ11" i="12" s="1"/>
  <c r="AN11" i="12"/>
  <c r="AN35" i="14"/>
  <c r="AP35" i="14" s="1"/>
  <c r="L11" i="12"/>
  <c r="O11" i="12" s="1"/>
  <c r="V11" i="12" s="1"/>
  <c r="L49" i="13"/>
  <c r="S49" i="13" s="1"/>
  <c r="R52" i="13"/>
  <c r="AO51" i="13"/>
  <c r="AQ51" i="13" s="1"/>
  <c r="AO11" i="16"/>
  <c r="AQ11" i="16" s="1"/>
  <c r="T10" i="12"/>
  <c r="L44" i="16"/>
  <c r="AN56" i="13"/>
  <c r="P12" i="12"/>
  <c r="W12" i="12" s="1"/>
  <c r="T46" i="13"/>
  <c r="L14" i="12"/>
  <c r="O14" i="12" s="1"/>
  <c r="V14" i="12" s="1"/>
  <c r="R18" i="15"/>
  <c r="P48" i="12"/>
  <c r="W48" i="12" s="1"/>
  <c r="P20" i="12"/>
  <c r="W20" i="12" s="1"/>
  <c r="H101" i="24"/>
  <c r="F138" i="24" s="1"/>
  <c r="AB48" i="12"/>
  <c r="AD48" i="12" s="1"/>
  <c r="I82" i="12" s="1"/>
  <c r="AP9" i="13"/>
  <c r="AR9" i="13" s="1"/>
  <c r="AN53" i="16"/>
  <c r="Y10" i="14"/>
  <c r="AO20" i="15"/>
  <c r="AQ20" i="15" s="1"/>
  <c r="AP18" i="15"/>
  <c r="AR18" i="15" s="1"/>
  <c r="AH17" i="15"/>
  <c r="AH10" i="15"/>
  <c r="N22" i="12"/>
  <c r="AM22" i="14"/>
  <c r="AO22" i="14"/>
  <c r="AQ22" i="14" s="1"/>
  <c r="T22" i="13"/>
  <c r="M32" i="13"/>
  <c r="L32" i="13" s="1"/>
  <c r="J20" i="24"/>
  <c r="B142" i="24" s="1"/>
  <c r="L22" i="13"/>
  <c r="N55" i="13"/>
  <c r="U55" i="13" s="1"/>
  <c r="Y17" i="27"/>
  <c r="AA17" i="27"/>
  <c r="AC17" i="27" s="1"/>
  <c r="Z17" i="27"/>
  <c r="AB17" i="27" s="1"/>
  <c r="AI21" i="27"/>
  <c r="AF21" i="27"/>
  <c r="AH26" i="27"/>
  <c r="AJ26" i="27" s="1"/>
  <c r="AC24" i="15"/>
  <c r="G24" i="15" s="1"/>
  <c r="AH12" i="12"/>
  <c r="AJ12" i="12" s="1"/>
  <c r="N77" i="12" s="1"/>
  <c r="AG50" i="12"/>
  <c r="AP17" i="16"/>
  <c r="AR17" i="16" s="1"/>
  <c r="AH13" i="18"/>
  <c r="AH18" i="18"/>
  <c r="AJ18" i="18" s="1"/>
  <c r="AG20" i="18"/>
  <c r="AN9" i="14"/>
  <c r="AM16" i="14"/>
  <c r="R21" i="15"/>
  <c r="H126" i="24"/>
  <c r="AH21" i="12"/>
  <c r="AJ21" i="12" s="1"/>
  <c r="N85" i="12" s="1"/>
  <c r="J58" i="15"/>
  <c r="K58" i="15" s="1"/>
  <c r="J41" i="15"/>
  <c r="J60" i="15"/>
  <c r="K60" i="15" s="1"/>
  <c r="H127" i="24"/>
  <c r="J59" i="15"/>
  <c r="K59" i="15" s="1"/>
  <c r="P23" i="12"/>
  <c r="W23" i="12" s="1"/>
  <c r="AN56" i="16"/>
  <c r="Y19" i="27"/>
  <c r="AA26" i="27"/>
  <c r="AC26" i="27" s="1"/>
  <c r="AP26" i="16"/>
  <c r="AC65" i="16"/>
  <c r="AH58" i="16"/>
  <c r="AJ58" i="16" s="1"/>
  <c r="M26" i="14"/>
  <c r="T26" i="14" s="1"/>
  <c r="H109" i="24"/>
  <c r="F146" i="24" s="1"/>
  <c r="AN24" i="15"/>
  <c r="AA44" i="13"/>
  <c r="AC44" i="13" s="1"/>
  <c r="H111" i="13" s="1"/>
  <c r="AA46" i="13"/>
  <c r="AC46" i="13" s="1"/>
  <c r="H113" i="13" s="1"/>
  <c r="F9" i="13"/>
  <c r="K108" i="13" s="1"/>
  <c r="M108" i="13" s="1"/>
  <c r="AI18" i="13"/>
  <c r="AK18" i="13" s="1"/>
  <c r="AB24" i="13"/>
  <c r="AD24" i="13" s="1"/>
  <c r="F17" i="13"/>
  <c r="AI42" i="16"/>
  <c r="AK42" i="16" s="1"/>
  <c r="Q108" i="16" s="1"/>
  <c r="AI43" i="16"/>
  <c r="AK43" i="16" s="1"/>
  <c r="Q109" i="16" s="1"/>
  <c r="F54" i="16"/>
  <c r="L120" i="16" s="1"/>
  <c r="Q22" i="27"/>
  <c r="J32" i="27"/>
  <c r="J34" i="27" s="1"/>
  <c r="J35" i="27" s="1"/>
  <c r="K88" i="12"/>
  <c r="AB26" i="27"/>
  <c r="AI27" i="15"/>
  <c r="AK27" i="15" s="1"/>
  <c r="AD46" i="13"/>
  <c r="I113" i="13" s="1"/>
  <c r="AA56" i="13"/>
  <c r="AC56" i="13" s="1"/>
  <c r="AN39" i="12"/>
  <c r="Z14" i="12"/>
  <c r="Z12" i="12"/>
  <c r="Z50" i="12"/>
  <c r="Z48" i="12"/>
  <c r="AA46" i="12"/>
  <c r="AC46" i="12" s="1"/>
  <c r="H80" i="12" s="1"/>
  <c r="AB43" i="12"/>
  <c r="AD43" i="12" s="1"/>
  <c r="I78" i="12" s="1"/>
  <c r="Z41" i="12"/>
  <c r="Z14" i="15"/>
  <c r="AG20" i="15"/>
  <c r="AO14" i="15"/>
  <c r="AQ14" i="15" s="1"/>
  <c r="AH16" i="14"/>
  <c r="AJ16" i="14" s="1"/>
  <c r="Z21" i="14"/>
  <c r="AB21" i="14" s="1"/>
  <c r="AF22" i="14"/>
  <c r="R22" i="15"/>
  <c r="AP22" i="16"/>
  <c r="AR22" i="16" s="1"/>
  <c r="AN23" i="15"/>
  <c r="AO16" i="27"/>
  <c r="AQ16" i="27" s="1"/>
  <c r="AN14" i="27"/>
  <c r="AP14" i="27" s="1"/>
  <c r="AC34" i="14"/>
  <c r="AM27" i="27"/>
  <c r="AF24" i="27"/>
  <c r="T27" i="13"/>
  <c r="J25" i="24"/>
  <c r="AM25" i="14"/>
  <c r="AI50" i="13"/>
  <c r="AK50" i="13" s="1"/>
  <c r="AB11" i="16"/>
  <c r="AD11" i="16" s="1"/>
  <c r="G110" i="16" s="1"/>
  <c r="AB12" i="16"/>
  <c r="AD12" i="16" s="1"/>
  <c r="G111" i="16" s="1"/>
  <c r="AG49" i="16"/>
  <c r="AI50" i="16"/>
  <c r="AK50" i="16" s="1"/>
  <c r="Q116" i="16" s="1"/>
  <c r="AB54" i="16"/>
  <c r="AD54" i="16" s="1"/>
  <c r="I120" i="16" s="1"/>
  <c r="AN20" i="12"/>
  <c r="AP18" i="12"/>
  <c r="AR18" i="12" s="1"/>
  <c r="AP13" i="12"/>
  <c r="AR13" i="12" s="1"/>
  <c r="AO12" i="16"/>
  <c r="AQ12" i="16" s="1"/>
  <c r="AN45" i="16"/>
  <c r="Z12" i="18"/>
  <c r="AA14" i="18"/>
  <c r="AC14" i="18" s="1"/>
  <c r="AB17" i="18"/>
  <c r="AD17" i="18" s="1"/>
  <c r="Z19" i="18"/>
  <c r="AA13" i="15"/>
  <c r="AC13" i="15" s="1"/>
  <c r="G13" i="15" s="1"/>
  <c r="AO13" i="15"/>
  <c r="AQ13" i="15" s="1"/>
  <c r="AM13" i="14"/>
  <c r="AP52" i="12"/>
  <c r="AR52" i="12" s="1"/>
  <c r="AA66" i="16"/>
  <c r="AC66" i="16" s="1"/>
  <c r="AH12" i="27"/>
  <c r="H21" i="24"/>
  <c r="K33" i="13"/>
  <c r="T26" i="13"/>
  <c r="J24" i="24"/>
  <c r="K92" i="12"/>
  <c r="AI25" i="12"/>
  <c r="AK25" i="12" s="1"/>
  <c r="O89" i="12" s="1"/>
  <c r="AH58" i="12"/>
  <c r="AJ58" i="12" s="1"/>
  <c r="P92" i="12" s="1"/>
  <c r="Z25" i="18"/>
  <c r="AP64" i="16"/>
  <c r="AR64" i="16" s="1"/>
  <c r="AN34" i="14"/>
  <c r="AD27" i="15"/>
  <c r="H27" i="15" s="1"/>
  <c r="E111" i="13"/>
  <c r="AA53" i="13"/>
  <c r="AC53" i="13" s="1"/>
  <c r="F53" i="13"/>
  <c r="AI13" i="16"/>
  <c r="AK13" i="16" s="1"/>
  <c r="O112" i="16" s="1"/>
  <c r="AH47" i="16"/>
  <c r="AJ47" i="16" s="1"/>
  <c r="P113" i="16" s="1"/>
  <c r="F42" i="16"/>
  <c r="L108" i="16" s="1"/>
  <c r="F52" i="16"/>
  <c r="L118" i="16" s="1"/>
  <c r="N25" i="13"/>
  <c r="U25" i="13" s="1"/>
  <c r="H23" i="24"/>
  <c r="M27" i="14"/>
  <c r="T27" i="14" s="1"/>
  <c r="H110" i="24"/>
  <c r="F147" i="24" s="1"/>
  <c r="AB28" i="15"/>
  <c r="AD28" i="15" s="1"/>
  <c r="H28" i="15" s="1"/>
  <c r="AI9" i="12"/>
  <c r="AK9" i="12" s="1"/>
  <c r="O74" i="12" s="1"/>
  <c r="AH51" i="12"/>
  <c r="AJ51" i="12" s="1"/>
  <c r="P85" i="12" s="1"/>
  <c r="AH49" i="12"/>
  <c r="AJ49" i="12" s="1"/>
  <c r="P83" i="12" s="1"/>
  <c r="AH47" i="12"/>
  <c r="AJ47" i="12" s="1"/>
  <c r="P81" i="12" s="1"/>
  <c r="AI44" i="12"/>
  <c r="AK44" i="12" s="1"/>
  <c r="Q79" i="12" s="1"/>
  <c r="AG42" i="12"/>
  <c r="AH40" i="12"/>
  <c r="AJ40" i="12" s="1"/>
  <c r="P75" i="12" s="1"/>
  <c r="AG18" i="15"/>
  <c r="AN21" i="18"/>
  <c r="AA24" i="16"/>
  <c r="AC24" i="16" s="1"/>
  <c r="AQ12" i="27"/>
  <c r="AO24" i="12"/>
  <c r="AQ24" i="12" s="1"/>
  <c r="AP24" i="13"/>
  <c r="AR24" i="13" s="1"/>
  <c r="E106" i="24"/>
  <c r="AP32" i="16"/>
  <c r="AI59" i="13"/>
  <c r="AK59" i="13" s="1"/>
  <c r="F55" i="12"/>
  <c r="L89" i="12" s="1"/>
  <c r="AN57" i="16"/>
  <c r="AM26" i="14"/>
  <c r="Z25" i="14"/>
  <c r="AB25" i="14" s="1"/>
  <c r="AC41" i="13"/>
  <c r="H108" i="13" s="1"/>
  <c r="F44" i="13"/>
  <c r="L111" i="13" s="1"/>
  <c r="AA9" i="16"/>
  <c r="AC9" i="16" s="1"/>
  <c r="F108" i="16" s="1"/>
  <c r="Z43" i="16"/>
  <c r="AA44" i="16"/>
  <c r="AC44" i="16" s="1"/>
  <c r="H110" i="16" s="1"/>
  <c r="AN9" i="12"/>
  <c r="Z18" i="12"/>
  <c r="AB11" i="12"/>
  <c r="AD11" i="12" s="1"/>
  <c r="G76" i="12" s="1"/>
  <c r="AA44" i="12"/>
  <c r="AC44" i="12" s="1"/>
  <c r="H79" i="12" s="1"/>
  <c r="AN54" i="16"/>
  <c r="AP10" i="18"/>
  <c r="AO14" i="18"/>
  <c r="AO19" i="18"/>
  <c r="AQ19" i="18" s="1"/>
  <c r="AO22" i="18"/>
  <c r="AQ22" i="18" s="1"/>
  <c r="AA11" i="15"/>
  <c r="AC11" i="15" s="1"/>
  <c r="G11" i="15" s="1"/>
  <c r="AN11" i="15"/>
  <c r="AG12" i="14"/>
  <c r="Z18" i="14"/>
  <c r="AB18" i="14" s="1"/>
  <c r="AB52" i="12"/>
  <c r="AD52" i="12" s="1"/>
  <c r="I86" i="12" s="1"/>
  <c r="AO55" i="16"/>
  <c r="AQ55" i="16" s="1"/>
  <c r="E104" i="24"/>
  <c r="AN24" i="16"/>
  <c r="AH66" i="16"/>
  <c r="AJ66" i="16" s="1"/>
  <c r="AA9" i="27"/>
  <c r="AC9" i="27" s="1"/>
  <c r="AG13" i="27"/>
  <c r="J15" i="27"/>
  <c r="AA20" i="27"/>
  <c r="AC20" i="27" s="1"/>
  <c r="AP65" i="16"/>
  <c r="AR65" i="16" s="1"/>
  <c r="AF25" i="27"/>
  <c r="T25" i="13"/>
  <c r="J23" i="24"/>
  <c r="AB59" i="13"/>
  <c r="AD59" i="13" s="1"/>
  <c r="AI65" i="16"/>
  <c r="Y34" i="14"/>
  <c r="AF26" i="14"/>
  <c r="AB10" i="13"/>
  <c r="AD10" i="13" s="1"/>
  <c r="G109" i="13" s="1"/>
  <c r="AH42" i="13"/>
  <c r="AJ42" i="13" s="1"/>
  <c r="P109" i="13" s="1"/>
  <c r="AB16" i="16"/>
  <c r="AD16" i="16" s="1"/>
  <c r="G115" i="16" s="1"/>
  <c r="AA50" i="16"/>
  <c r="AC50" i="16" s="1"/>
  <c r="H116" i="16" s="1"/>
  <c r="AA51" i="16"/>
  <c r="AC51" i="16" s="1"/>
  <c r="H117" i="16" s="1"/>
  <c r="E117" i="16"/>
  <c r="AA56" i="16"/>
  <c r="AC56" i="16" s="1"/>
  <c r="H122" i="16" s="1"/>
  <c r="Z39" i="12"/>
  <c r="AO14" i="12"/>
  <c r="AQ14" i="12" s="1"/>
  <c r="AN50" i="12"/>
  <c r="AO48" i="12"/>
  <c r="AQ48" i="12" s="1"/>
  <c r="AN43" i="12"/>
  <c r="AO41" i="12"/>
  <c r="AQ41" i="12" s="1"/>
  <c r="AO9" i="13"/>
  <c r="AQ9" i="13" s="1"/>
  <c r="AD10" i="15"/>
  <c r="H10" i="15" s="1"/>
  <c r="Z16" i="15"/>
  <c r="Z17" i="14"/>
  <c r="AB17" i="14" s="1"/>
  <c r="AN55" i="13"/>
  <c r="AI53" i="12"/>
  <c r="AK53" i="12" s="1"/>
  <c r="Q87" i="12" s="1"/>
  <c r="Y23" i="14"/>
  <c r="G143" i="24"/>
  <c r="M22" i="27"/>
  <c r="N22" i="27" s="1"/>
  <c r="AA14" i="27"/>
  <c r="AC14" i="27" s="1"/>
  <c r="AH16" i="27"/>
  <c r="AJ16" i="27" s="1"/>
  <c r="AH20" i="27"/>
  <c r="AM21" i="27"/>
  <c r="AP56" i="13"/>
  <c r="AR56" i="13" s="1"/>
  <c r="AG57" i="16"/>
  <c r="Z34" i="14"/>
  <c r="Z25" i="27"/>
  <c r="AI33" i="16"/>
  <c r="AB57" i="16"/>
  <c r="AD57" i="16" s="1"/>
  <c r="M34" i="14"/>
  <c r="T34" i="14" s="1"/>
  <c r="H111" i="24"/>
  <c r="AA26" i="14"/>
  <c r="AC26" i="14" s="1"/>
  <c r="R25" i="15"/>
  <c r="H130" i="24"/>
  <c r="G145" i="24" s="1"/>
  <c r="AB42" i="13"/>
  <c r="AD42" i="13" s="1"/>
  <c r="I109" i="13" s="1"/>
  <c r="AH46" i="13"/>
  <c r="AJ46" i="13" s="1"/>
  <c r="P113" i="13" s="1"/>
  <c r="F56" i="13"/>
  <c r="E33" i="13"/>
  <c r="F18" i="13"/>
  <c r="AG9" i="16"/>
  <c r="AI18" i="16"/>
  <c r="AK18" i="16" s="1"/>
  <c r="O117" i="16" s="1"/>
  <c r="Z17" i="18"/>
  <c r="P22" i="18"/>
  <c r="AH24" i="18"/>
  <c r="AG14" i="18"/>
  <c r="AG23" i="18"/>
  <c r="AB24" i="18"/>
  <c r="AD24" i="18" s="1"/>
  <c r="AA25" i="18"/>
  <c r="B57" i="18"/>
  <c r="B59" i="18"/>
  <c r="B58" i="18"/>
  <c r="M36" i="18"/>
  <c r="M37" i="18" s="1"/>
  <c r="AD11" i="18"/>
  <c r="AO13" i="18"/>
  <c r="AA16" i="18"/>
  <c r="AC16" i="18" s="1"/>
  <c r="AN18" i="18"/>
  <c r="Z20" i="18"/>
  <c r="AG22" i="18"/>
  <c r="AG25" i="18"/>
  <c r="J61" i="24"/>
  <c r="D141" i="24" s="1"/>
  <c r="I62" i="24"/>
  <c r="AG11" i="18"/>
  <c r="AR12" i="18"/>
  <c r="AB14" i="18"/>
  <c r="AD14" i="18" s="1"/>
  <c r="AH16" i="18"/>
  <c r="AP17" i="18"/>
  <c r="AR17" i="18" s="1"/>
  <c r="AB19" i="18"/>
  <c r="AD19" i="18" s="1"/>
  <c r="AI20" i="18"/>
  <c r="AK20" i="18" s="1"/>
  <c r="AP22" i="18"/>
  <c r="AR22" i="18" s="1"/>
  <c r="O22" i="18"/>
  <c r="V22" i="18" s="1"/>
  <c r="AN23" i="18"/>
  <c r="AO27" i="18"/>
  <c r="T21" i="18"/>
  <c r="AP30" i="18"/>
  <c r="AR30" i="18" s="1"/>
  <c r="U14" i="18"/>
  <c r="AH20" i="18"/>
  <c r="AJ20" i="18" s="1"/>
  <c r="AN16" i="18"/>
  <c r="S23" i="18"/>
  <c r="Z30" i="18"/>
  <c r="Z14" i="18"/>
  <c r="AO17" i="18"/>
  <c r="AD9" i="18"/>
  <c r="AB25" i="18"/>
  <c r="AN32" i="18"/>
  <c r="AN22" i="18"/>
  <c r="K15" i="18"/>
  <c r="AN12" i="18"/>
  <c r="AI9" i="18"/>
  <c r="AB9" i="18"/>
  <c r="AN9" i="18"/>
  <c r="Z24" i="18"/>
  <c r="AP27" i="18"/>
  <c r="AR27" i="18" s="1"/>
  <c r="AH9" i="18"/>
  <c r="N13" i="18"/>
  <c r="N15" i="18" s="1"/>
  <c r="AB12" i="18"/>
  <c r="AG9" i="18"/>
  <c r="AP21" i="18"/>
  <c r="AR21" i="18" s="1"/>
  <c r="AP32" i="18"/>
  <c r="AR32" i="18" s="1"/>
  <c r="AO21" i="18"/>
  <c r="AQ21" i="18" s="1"/>
  <c r="AH10" i="18"/>
  <c r="AP24" i="18"/>
  <c r="T30" i="18"/>
  <c r="AN25" i="18"/>
  <c r="AH19" i="18"/>
  <c r="AJ19" i="18" s="1"/>
  <c r="AI16" i="18"/>
  <c r="AK16" i="18" s="1"/>
  <c r="AI19" i="18"/>
  <c r="AK19" i="18" s="1"/>
  <c r="AP16" i="18"/>
  <c r="AR16" i="18" s="1"/>
  <c r="AB13" i="18"/>
  <c r="AD13" i="18" s="1"/>
  <c r="AG10" i="18"/>
  <c r="AH11" i="18"/>
  <c r="AC11" i="18"/>
  <c r="Y32" i="18"/>
  <c r="AO10" i="18"/>
  <c r="AQ10" i="18"/>
  <c r="AN14" i="18"/>
  <c r="AA19" i="18"/>
  <c r="AC19" i="18" s="1"/>
  <c r="AK10" i="18"/>
  <c r="AK11" i="18"/>
  <c r="AI27" i="18"/>
  <c r="Z13" i="18"/>
  <c r="AH22" i="18"/>
  <c r="AJ22" i="18" s="1"/>
  <c r="AO18" i="18"/>
  <c r="AQ18" i="18" s="1"/>
  <c r="AA22" i="18"/>
  <c r="AC22" i="18" s="1"/>
  <c r="AO12" i="18"/>
  <c r="AI25" i="18"/>
  <c r="AK25" i="18" s="1"/>
  <c r="AO20" i="18"/>
  <c r="AQ20" i="18" s="1"/>
  <c r="AA18" i="18"/>
  <c r="AC18" i="18" s="1"/>
  <c r="AP20" i="18"/>
  <c r="AR20" i="18" s="1"/>
  <c r="AB18" i="18"/>
  <c r="AD18" i="18" s="1"/>
  <c r="AK14" i="18"/>
  <c r="AP11" i="18"/>
  <c r="AR11" i="18"/>
  <c r="AN24" i="18"/>
  <c r="AH25" i="18"/>
  <c r="AJ25" i="18" s="1"/>
  <c r="AN17" i="18"/>
  <c r="AI30" i="18"/>
  <c r="AK30" i="18" s="1"/>
  <c r="AD12" i="18"/>
  <c r="AA17" i="18"/>
  <c r="AC17" i="18" s="1"/>
  <c r="F63" i="24"/>
  <c r="AB16" i="18"/>
  <c r="AD16" i="18" s="1"/>
  <c r="R27" i="18"/>
  <c r="H67" i="24"/>
  <c r="M34" i="18"/>
  <c r="T20" i="18"/>
  <c r="T78" i="18"/>
  <c r="U78" i="18" s="1"/>
  <c r="T77" i="18"/>
  <c r="U77" i="18" s="1"/>
  <c r="T76" i="18"/>
  <c r="U76" i="18" s="1"/>
  <c r="AB22" i="18"/>
  <c r="AD22" i="18" s="1"/>
  <c r="R30" i="18"/>
  <c r="AP13" i="18"/>
  <c r="AR13" i="18" s="1"/>
  <c r="AI12" i="18"/>
  <c r="AD10" i="18"/>
  <c r="AA10" i="18"/>
  <c r="AB11" i="18"/>
  <c r="AH17" i="18"/>
  <c r="R24" i="18"/>
  <c r="R19" i="18"/>
  <c r="AN19" i="18"/>
  <c r="AG13" i="18"/>
  <c r="AI22" i="18"/>
  <c r="AK22" i="18" s="1"/>
  <c r="AB20" i="18"/>
  <c r="AD20" i="18" s="1"/>
  <c r="AP18" i="18"/>
  <c r="AR18" i="18" s="1"/>
  <c r="Z16" i="18"/>
  <c r="AN13" i="18"/>
  <c r="AG12" i="18"/>
  <c r="AI11" i="18"/>
  <c r="Z10" i="18"/>
  <c r="AJ10" i="18"/>
  <c r="G60" i="18"/>
  <c r="I60" i="18" s="1"/>
  <c r="M33" i="18"/>
  <c r="G62" i="18"/>
  <c r="I62" i="18" s="1"/>
  <c r="G61" i="18"/>
  <c r="I61" i="18" s="1"/>
  <c r="J63" i="24"/>
  <c r="L63" i="24" s="1"/>
  <c r="AB30" i="18"/>
  <c r="AD30" i="18" s="1"/>
  <c r="AO30" i="18"/>
  <c r="AQ30" i="18" s="1"/>
  <c r="D145" i="24"/>
  <c r="L65" i="24"/>
  <c r="T18" i="18"/>
  <c r="AI18" i="18"/>
  <c r="AK18" i="18" s="1"/>
  <c r="AI17" i="18"/>
  <c r="AK17" i="18" s="1"/>
  <c r="AQ14" i="18"/>
  <c r="AJ13" i="18"/>
  <c r="AC12" i="18"/>
  <c r="AR10" i="18"/>
  <c r="AD25" i="18"/>
  <c r="AH27" i="18"/>
  <c r="AO26" i="18"/>
  <c r="E63" i="24"/>
  <c r="H64" i="24"/>
  <c r="Z22" i="18"/>
  <c r="AP19" i="18"/>
  <c r="AR19" i="18" s="1"/>
  <c r="AG18" i="18"/>
  <c r="AI13" i="18"/>
  <c r="AK13" i="18" s="1"/>
  <c r="K36" i="18"/>
  <c r="K37" i="18" s="1"/>
  <c r="K34" i="18"/>
  <c r="R20" i="18"/>
  <c r="O18" i="18"/>
  <c r="V18" i="18" s="1"/>
  <c r="L36" i="18"/>
  <c r="L37" i="18" s="1"/>
  <c r="L34" i="18"/>
  <c r="J60" i="24"/>
  <c r="D140" i="24" s="1"/>
  <c r="AP14" i="18"/>
  <c r="AR14" i="18" s="1"/>
  <c r="AP12" i="18"/>
  <c r="AG17" i="18"/>
  <c r="AA12" i="18"/>
  <c r="AN10" i="18"/>
  <c r="S21" i="18"/>
  <c r="L33" i="18"/>
  <c r="K33" i="18"/>
  <c r="AH26" i="18"/>
  <c r="AC25" i="18"/>
  <c r="G63" i="24"/>
  <c r="AR24" i="18"/>
  <c r="AA30" i="18"/>
  <c r="AC30" i="18" s="1"/>
  <c r="S25" i="18"/>
  <c r="I65" i="24"/>
  <c r="D79" i="13"/>
  <c r="G79" i="13" s="1"/>
  <c r="D81" i="13"/>
  <c r="G81" i="13" s="1"/>
  <c r="D80" i="13"/>
  <c r="G80" i="13" s="1"/>
  <c r="M60" i="13"/>
  <c r="P60" i="13" s="1"/>
  <c r="W60" i="13" s="1"/>
  <c r="Z33" i="13"/>
  <c r="N11" i="12"/>
  <c r="U11" i="12" s="1"/>
  <c r="AO47" i="12"/>
  <c r="AQ47" i="12" s="1"/>
  <c r="AI51" i="12"/>
  <c r="AK51" i="12" s="1"/>
  <c r="Q85" i="12" s="1"/>
  <c r="AP42" i="12"/>
  <c r="AR42" i="12" s="1"/>
  <c r="AN51" i="12"/>
  <c r="Z52" i="12"/>
  <c r="F54" i="12"/>
  <c r="L88" i="12" s="1"/>
  <c r="AN24" i="12"/>
  <c r="L21" i="12"/>
  <c r="O21" i="12" s="1"/>
  <c r="V21" i="12" s="1"/>
  <c r="L51" i="12"/>
  <c r="S51" i="12" s="1"/>
  <c r="AI39" i="12"/>
  <c r="AK39" i="12" s="1"/>
  <c r="Q74" i="12" s="1"/>
  <c r="AP14" i="12"/>
  <c r="AR14" i="12" s="1"/>
  <c r="AB50" i="12"/>
  <c r="AD50" i="12" s="1"/>
  <c r="I84" i="12" s="1"/>
  <c r="AA41" i="12"/>
  <c r="AC41" i="12" s="1"/>
  <c r="H76" i="12" s="1"/>
  <c r="AA49" i="12"/>
  <c r="AC49" i="12" s="1"/>
  <c r="H83" i="12" s="1"/>
  <c r="AO51" i="12"/>
  <c r="AQ51" i="12" s="1"/>
  <c r="AO20" i="12"/>
  <c r="AQ20" i="12" s="1"/>
  <c r="AI40" i="12"/>
  <c r="AK40" i="12" s="1"/>
  <c r="Q75" i="12" s="1"/>
  <c r="AG46" i="12"/>
  <c r="Z40" i="12"/>
  <c r="G41" i="24"/>
  <c r="AO23" i="12"/>
  <c r="AQ23" i="12" s="1"/>
  <c r="AN25" i="12"/>
  <c r="L92" i="12"/>
  <c r="AN55" i="12"/>
  <c r="E45" i="24"/>
  <c r="R90" i="12"/>
  <c r="T18" i="12"/>
  <c r="G32" i="12"/>
  <c r="R21" i="12"/>
  <c r="AG39" i="12"/>
  <c r="AN14" i="12"/>
  <c r="AD41" i="12"/>
  <c r="I76" i="12" s="1"/>
  <c r="AO46" i="12"/>
  <c r="AQ46" i="12" s="1"/>
  <c r="AP48" i="12"/>
  <c r="AR48" i="12" s="1"/>
  <c r="AO43" i="12"/>
  <c r="AQ43" i="12" s="1"/>
  <c r="AN41" i="12"/>
  <c r="AP41" i="12"/>
  <c r="AR41" i="12" s="1"/>
  <c r="AG9" i="12"/>
  <c r="AG22" i="12"/>
  <c r="H42" i="24"/>
  <c r="AP54" i="12"/>
  <c r="AR54" i="12" s="1"/>
  <c r="AH56" i="12"/>
  <c r="AJ56" i="12" s="1"/>
  <c r="P90" i="12" s="1"/>
  <c r="R25" i="12"/>
  <c r="H44" i="24"/>
  <c r="AP57" i="12"/>
  <c r="AR57" i="12" s="1"/>
  <c r="X62" i="12"/>
  <c r="AA62" i="12" s="1"/>
  <c r="AC62" i="12" s="1"/>
  <c r="L46" i="24"/>
  <c r="C147" i="24"/>
  <c r="P18" i="12"/>
  <c r="W18" i="12" s="1"/>
  <c r="AI17" i="12"/>
  <c r="AK17" i="12" s="1"/>
  <c r="O81" i="12" s="1"/>
  <c r="AG41" i="12"/>
  <c r="Z44" i="12"/>
  <c r="Z43" i="12"/>
  <c r="Z11" i="12"/>
  <c r="AN52" i="12"/>
  <c r="AG53" i="12"/>
  <c r="P53" i="12"/>
  <c r="W53" i="12" s="1"/>
  <c r="H46" i="24"/>
  <c r="E44" i="24"/>
  <c r="R89" i="12"/>
  <c r="AH41" i="12"/>
  <c r="AJ41" i="12" s="1"/>
  <c r="P76" i="12" s="1"/>
  <c r="M32" i="12"/>
  <c r="M33" i="12" s="1"/>
  <c r="G39" i="24"/>
  <c r="R51" i="12"/>
  <c r="AB12" i="12"/>
  <c r="AD12" i="12" s="1"/>
  <c r="G77" i="12" s="1"/>
  <c r="AA43" i="12"/>
  <c r="AC43" i="12" s="1"/>
  <c r="H78" i="12" s="1"/>
  <c r="AB46" i="12"/>
  <c r="AD46" i="12" s="1"/>
  <c r="I80" i="12" s="1"/>
  <c r="AI47" i="12"/>
  <c r="AK47" i="12" s="1"/>
  <c r="Q81" i="12" s="1"/>
  <c r="AB49" i="12"/>
  <c r="AD49" i="12" s="1"/>
  <c r="I83" i="12" s="1"/>
  <c r="AH50" i="12"/>
  <c r="AJ50" i="12" s="1"/>
  <c r="P84" i="12" s="1"/>
  <c r="AG44" i="12"/>
  <c r="AH19" i="12"/>
  <c r="AJ19" i="12" s="1"/>
  <c r="N83" i="12" s="1"/>
  <c r="AA18" i="12"/>
  <c r="AC18" i="12" s="1"/>
  <c r="F82" i="12" s="1"/>
  <c r="AO16" i="12"/>
  <c r="AQ16" i="12" s="1"/>
  <c r="AG14" i="12"/>
  <c r="Z13" i="12"/>
  <c r="AI10" i="12"/>
  <c r="AK10" i="12" s="1"/>
  <c r="O75" i="12" s="1"/>
  <c r="Z51" i="12"/>
  <c r="AG48" i="12"/>
  <c r="AP23" i="12"/>
  <c r="AR23" i="12" s="1"/>
  <c r="T53" i="12"/>
  <c r="AI56" i="12"/>
  <c r="AK56" i="12" s="1"/>
  <c r="Q90" i="12" s="1"/>
  <c r="T26" i="12"/>
  <c r="J45" i="24"/>
  <c r="AI57" i="12"/>
  <c r="AK57" i="12" s="1"/>
  <c r="Q91" i="12" s="1"/>
  <c r="AP56" i="12"/>
  <c r="AR56" i="12" s="1"/>
  <c r="AI55" i="12"/>
  <c r="AK55" i="12" s="1"/>
  <c r="Q89" i="12" s="1"/>
  <c r="T44" i="12"/>
  <c r="K32" i="12"/>
  <c r="T21" i="12"/>
  <c r="T51" i="12"/>
  <c r="AN16" i="12"/>
  <c r="AG19" i="12"/>
  <c r="Z46" i="12"/>
  <c r="AG47" i="12"/>
  <c r="AH42" i="12"/>
  <c r="AJ42" i="12" s="1"/>
  <c r="P77" i="12" s="1"/>
  <c r="AB51" i="12"/>
  <c r="AD51" i="12" s="1"/>
  <c r="I85" i="12" s="1"/>
  <c r="AO12" i="12"/>
  <c r="AQ12" i="12" s="1"/>
  <c r="AI49" i="12"/>
  <c r="AK49" i="12" s="1"/>
  <c r="Q83" i="12" s="1"/>
  <c r="E86" i="12"/>
  <c r="R86" i="12" s="1"/>
  <c r="L22" i="12"/>
  <c r="O22" i="12" s="1"/>
  <c r="V22" i="12" s="1"/>
  <c r="Z54" i="12"/>
  <c r="R26" i="12"/>
  <c r="H45" i="24"/>
  <c r="AG55" i="12"/>
  <c r="R13" i="16"/>
  <c r="L9" i="16"/>
  <c r="S9" i="16" s="1"/>
  <c r="L13" i="16"/>
  <c r="O13" i="16" s="1"/>
  <c r="V13" i="16" s="1"/>
  <c r="P46" i="16"/>
  <c r="W46" i="16" s="1"/>
  <c r="AO49" i="16"/>
  <c r="AQ49" i="16" s="1"/>
  <c r="AR45" i="16"/>
  <c r="AO45" i="16"/>
  <c r="AQ45" i="16" s="1"/>
  <c r="AO9" i="16"/>
  <c r="AQ9" i="16" s="1"/>
  <c r="N55" i="16"/>
  <c r="U55" i="16" s="1"/>
  <c r="F96" i="16"/>
  <c r="AO56" i="16"/>
  <c r="AQ56" i="16" s="1"/>
  <c r="AP56" i="16"/>
  <c r="AR56" i="16" s="1"/>
  <c r="Y34" i="16"/>
  <c r="Z34" i="16" s="1"/>
  <c r="Z33" i="16"/>
  <c r="AA57" i="16"/>
  <c r="AC57" i="16" s="1"/>
  <c r="AH32" i="16"/>
  <c r="AO25" i="16"/>
  <c r="AQ25" i="16" s="1"/>
  <c r="AO65" i="16"/>
  <c r="AN59" i="16"/>
  <c r="AO57" i="16"/>
  <c r="AQ57" i="16" s="1"/>
  <c r="Z57" i="16"/>
  <c r="AH51" i="16"/>
  <c r="AJ51" i="16" s="1"/>
  <c r="P117" i="16" s="1"/>
  <c r="AB23" i="16"/>
  <c r="AD23" i="16" s="1"/>
  <c r="G122" i="16" s="1"/>
  <c r="AI23" i="16"/>
  <c r="AK23" i="16" s="1"/>
  <c r="O122" i="16" s="1"/>
  <c r="F18" i="16"/>
  <c r="K117" i="16" s="1"/>
  <c r="P42" i="16"/>
  <c r="W42" i="16" s="1"/>
  <c r="R45" i="16"/>
  <c r="J81" i="24"/>
  <c r="E139" i="24" s="1"/>
  <c r="AP54" i="16"/>
  <c r="AR54" i="16" s="1"/>
  <c r="AG45" i="16"/>
  <c r="AB66" i="16"/>
  <c r="AD66" i="16" s="1"/>
  <c r="L32" i="16"/>
  <c r="I89" i="24" s="1"/>
  <c r="Z32" i="16"/>
  <c r="AN65" i="16"/>
  <c r="Z64" i="16"/>
  <c r="AP57" i="16"/>
  <c r="AR57" i="16" s="1"/>
  <c r="AA45" i="16"/>
  <c r="AC45" i="16" s="1"/>
  <c r="H111" i="16" s="1"/>
  <c r="AI46" i="16"/>
  <c r="AK46" i="16" s="1"/>
  <c r="Q112" i="16" s="1"/>
  <c r="E48" i="16"/>
  <c r="D114" i="16" s="1"/>
  <c r="F10" i="16"/>
  <c r="K109" i="16" s="1"/>
  <c r="AD51" i="16"/>
  <c r="I117" i="16" s="1"/>
  <c r="AB52" i="16"/>
  <c r="AD52" i="16" s="1"/>
  <c r="I118" i="16" s="1"/>
  <c r="AB55" i="16"/>
  <c r="AD55" i="16" s="1"/>
  <c r="I121" i="16" s="1"/>
  <c r="F17" i="16"/>
  <c r="K116" i="16" s="1"/>
  <c r="E111" i="16"/>
  <c r="N21" i="16"/>
  <c r="AB24" i="16"/>
  <c r="AD24" i="16" s="1"/>
  <c r="T22" i="16"/>
  <c r="J84" i="24"/>
  <c r="E142" i="24" s="1"/>
  <c r="P23" i="16"/>
  <c r="W23" i="16" s="1"/>
  <c r="J85" i="24"/>
  <c r="E143" i="24" s="1"/>
  <c r="R44" i="16"/>
  <c r="T49" i="16"/>
  <c r="AN47" i="16"/>
  <c r="AP53" i="16"/>
  <c r="AR53" i="16" s="1"/>
  <c r="AG42" i="16"/>
  <c r="AG13" i="16"/>
  <c r="AP55" i="16"/>
  <c r="AR55" i="16" s="1"/>
  <c r="AI58" i="16"/>
  <c r="AK58" i="16" s="1"/>
  <c r="AB43" i="16"/>
  <c r="AD43" i="16" s="1"/>
  <c r="I109" i="16" s="1"/>
  <c r="F47" i="16"/>
  <c r="L113" i="16" s="1"/>
  <c r="F43" i="16"/>
  <c r="L109" i="16" s="1"/>
  <c r="F13" i="16"/>
  <c r="K112" i="16" s="1"/>
  <c r="AB21" i="16"/>
  <c r="AD21" i="16" s="1"/>
  <c r="G120" i="16" s="1"/>
  <c r="AK56" i="16"/>
  <c r="Q122" i="16" s="1"/>
  <c r="T42" i="16"/>
  <c r="N9" i="16"/>
  <c r="U9" i="16" s="1"/>
  <c r="H84" i="24"/>
  <c r="F97" i="16"/>
  <c r="F85" i="16"/>
  <c r="F24" i="16"/>
  <c r="F86" i="24" s="1"/>
  <c r="AA64" i="16"/>
  <c r="AC64" i="16" s="1"/>
  <c r="T65" i="16"/>
  <c r="AA11" i="16"/>
  <c r="AC11" i="16" s="1"/>
  <c r="F110" i="16" s="1"/>
  <c r="AA54" i="16"/>
  <c r="AC54" i="16" s="1"/>
  <c r="H120" i="16" s="1"/>
  <c r="AB56" i="16"/>
  <c r="AD56" i="16" s="1"/>
  <c r="I122" i="16" s="1"/>
  <c r="AI56" i="16"/>
  <c r="F49" i="16"/>
  <c r="L115" i="16" s="1"/>
  <c r="P18" i="16"/>
  <c r="W18" i="16" s="1"/>
  <c r="J80" i="24"/>
  <c r="E138" i="24" s="1"/>
  <c r="AG47" i="16"/>
  <c r="T20" i="16"/>
  <c r="J82" i="24"/>
  <c r="E140" i="24" s="1"/>
  <c r="AP50" i="16"/>
  <c r="AR50" i="16" s="1"/>
  <c r="AG44" i="16"/>
  <c r="AP24" i="16"/>
  <c r="AR24" i="16" s="1"/>
  <c r="AH24" i="16"/>
  <c r="AJ24" i="16" s="1"/>
  <c r="AA32" i="16"/>
  <c r="AI64" i="16"/>
  <c r="AK64" i="16" s="1"/>
  <c r="AN33" i="16"/>
  <c r="AO32" i="16"/>
  <c r="P32" i="16"/>
  <c r="W32" i="16" s="1"/>
  <c r="J89" i="24"/>
  <c r="L89" i="24" s="1"/>
  <c r="T26" i="16"/>
  <c r="J88" i="24"/>
  <c r="T25" i="16"/>
  <c r="J87" i="24"/>
  <c r="AH57" i="16"/>
  <c r="AJ57" i="16" s="1"/>
  <c r="F46" i="16"/>
  <c r="L112" i="16" s="1"/>
  <c r="Z11" i="16"/>
  <c r="AQ32" i="16"/>
  <c r="N64" i="16"/>
  <c r="U64" i="16" s="1"/>
  <c r="R26" i="16"/>
  <c r="H88" i="24"/>
  <c r="N25" i="16"/>
  <c r="U25" i="16" s="1"/>
  <c r="H87" i="24"/>
  <c r="Z16" i="16"/>
  <c r="E122" i="16"/>
  <c r="N27" i="18"/>
  <c r="U27" i="18" s="1"/>
  <c r="Q34" i="14"/>
  <c r="AB27" i="18"/>
  <c r="AD27" i="18" s="1"/>
  <c r="S27" i="18"/>
  <c r="AK27" i="18"/>
  <c r="P27" i="18"/>
  <c r="W27" i="18" s="1"/>
  <c r="AA27" i="18"/>
  <c r="AC27" i="18" s="1"/>
  <c r="Z27" i="18"/>
  <c r="AN59" i="13"/>
  <c r="AO59" i="13"/>
  <c r="AQ59" i="13" s="1"/>
  <c r="AG59" i="13"/>
  <c r="F59" i="13"/>
  <c r="L59" i="13"/>
  <c r="O59" i="13" s="1"/>
  <c r="V59" i="13" s="1"/>
  <c r="Z59" i="13"/>
  <c r="P59" i="13"/>
  <c r="W59" i="13" s="1"/>
  <c r="N59" i="13"/>
  <c r="U59" i="13" s="1"/>
  <c r="T59" i="13"/>
  <c r="AP59" i="13"/>
  <c r="AR59" i="13" s="1"/>
  <c r="N27" i="13"/>
  <c r="U27" i="13" s="1"/>
  <c r="L27" i="13"/>
  <c r="I25" i="24" s="1"/>
  <c r="AP26" i="15"/>
  <c r="AR26" i="15" s="1"/>
  <c r="N59" i="16"/>
  <c r="U59" i="16" s="1"/>
  <c r="Q26" i="14"/>
  <c r="P26" i="12"/>
  <c r="W26" i="12" s="1"/>
  <c r="O26" i="18"/>
  <c r="V26" i="18" s="1"/>
  <c r="P26" i="18"/>
  <c r="W26" i="18" s="1"/>
  <c r="Y26" i="27"/>
  <c r="AI59" i="16"/>
  <c r="AK59" i="16" s="1"/>
  <c r="AG59" i="16"/>
  <c r="AH59" i="16"/>
  <c r="AJ59" i="16" s="1"/>
  <c r="AB59" i="16"/>
  <c r="AD59" i="16" s="1"/>
  <c r="N26" i="16"/>
  <c r="U26" i="16" s="1"/>
  <c r="F58" i="13"/>
  <c r="P56" i="13"/>
  <c r="W56" i="13" s="1"/>
  <c r="L56" i="13"/>
  <c r="O56" i="13" s="1"/>
  <c r="V56" i="13" s="1"/>
  <c r="M66" i="13"/>
  <c r="R56" i="13"/>
  <c r="K66" i="13"/>
  <c r="N58" i="13"/>
  <c r="U58" i="13" s="1"/>
  <c r="P26" i="13"/>
  <c r="W26" i="13" s="1"/>
  <c r="AG27" i="14"/>
  <c r="AI27" i="14" s="1"/>
  <c r="Y27" i="14"/>
  <c r="Q27" i="14"/>
  <c r="Y26" i="14"/>
  <c r="AN26" i="14"/>
  <c r="AP26" i="14" s="1"/>
  <c r="L91" i="12"/>
  <c r="R57" i="12"/>
  <c r="AO57" i="12"/>
  <c r="AQ57" i="12" s="1"/>
  <c r="AN56" i="12"/>
  <c r="Z56" i="12"/>
  <c r="AO56" i="12"/>
  <c r="AQ56" i="12" s="1"/>
  <c r="F56" i="12"/>
  <c r="L90" i="12" s="1"/>
  <c r="AO26" i="12"/>
  <c r="AQ26" i="12" s="1"/>
  <c r="AP26" i="12"/>
  <c r="AR26" i="12" s="1"/>
  <c r="L46" i="16"/>
  <c r="N46" i="16"/>
  <c r="U46" i="16" s="1"/>
  <c r="P50" i="13"/>
  <c r="T50" i="13"/>
  <c r="L45" i="13"/>
  <c r="P42" i="13"/>
  <c r="T42" i="13"/>
  <c r="M47" i="13"/>
  <c r="L42" i="13"/>
  <c r="L11" i="13"/>
  <c r="J9" i="24"/>
  <c r="T11" i="13"/>
  <c r="P11" i="13"/>
  <c r="W11" i="13" s="1"/>
  <c r="T14" i="12"/>
  <c r="P14" i="12"/>
  <c r="W14" i="12" s="1"/>
  <c r="R17" i="18"/>
  <c r="N17" i="18"/>
  <c r="L18" i="13"/>
  <c r="T18" i="13"/>
  <c r="P18" i="13"/>
  <c r="W18" i="13" s="1"/>
  <c r="N48" i="12"/>
  <c r="U48" i="12" s="1"/>
  <c r="T49" i="12"/>
  <c r="P49" i="12"/>
  <c r="W49" i="12" s="1"/>
  <c r="R51" i="13"/>
  <c r="R67" i="13" s="1"/>
  <c r="H102" i="24"/>
  <c r="F139" i="24" s="1"/>
  <c r="L46" i="13"/>
  <c r="R46" i="16"/>
  <c r="P14" i="18"/>
  <c r="W14" i="18" s="1"/>
  <c r="N42" i="13"/>
  <c r="R42" i="13"/>
  <c r="K47" i="13"/>
  <c r="T41" i="12"/>
  <c r="M45" i="12"/>
  <c r="P41" i="12"/>
  <c r="L9" i="12"/>
  <c r="S9" i="12" s="1"/>
  <c r="M15" i="12"/>
  <c r="Q12" i="14"/>
  <c r="M12" i="14"/>
  <c r="T12" i="14" s="1"/>
  <c r="N10" i="15"/>
  <c r="U10" i="15" s="1"/>
  <c r="T10" i="16"/>
  <c r="L10" i="16"/>
  <c r="L49" i="12"/>
  <c r="G62" i="12"/>
  <c r="L51" i="13"/>
  <c r="T51" i="13"/>
  <c r="R16" i="13"/>
  <c r="L16" i="13"/>
  <c r="N46" i="12"/>
  <c r="K33" i="15"/>
  <c r="N16" i="15"/>
  <c r="U16" i="15" s="1"/>
  <c r="R16" i="15"/>
  <c r="D85" i="12"/>
  <c r="E85" i="12" s="1"/>
  <c r="R85" i="12" s="1"/>
  <c r="E62" i="12"/>
  <c r="F51" i="12"/>
  <c r="L85" i="12" s="1"/>
  <c r="G45" i="12"/>
  <c r="R12" i="16"/>
  <c r="I16" i="18"/>
  <c r="T53" i="13"/>
  <c r="P53" i="13"/>
  <c r="W53" i="13" s="1"/>
  <c r="K48" i="16"/>
  <c r="N42" i="16"/>
  <c r="L42" i="16"/>
  <c r="R46" i="12"/>
  <c r="W45" i="16"/>
  <c r="N45" i="13"/>
  <c r="U45" i="13" s="1"/>
  <c r="R42" i="16"/>
  <c r="N47" i="16"/>
  <c r="U47" i="16" s="1"/>
  <c r="L47" i="16"/>
  <c r="R12" i="15"/>
  <c r="N12" i="15"/>
  <c r="U12" i="15" s="1"/>
  <c r="L45" i="16"/>
  <c r="M48" i="16"/>
  <c r="T45" i="16"/>
  <c r="E79" i="12"/>
  <c r="L48" i="12"/>
  <c r="M19" i="14"/>
  <c r="T19" i="14" s="1"/>
  <c r="S20" i="18"/>
  <c r="O20" i="18"/>
  <c r="L20" i="16"/>
  <c r="O20" i="16" s="1"/>
  <c r="V20" i="16" s="1"/>
  <c r="C84" i="12"/>
  <c r="E84" i="12" s="1"/>
  <c r="R84" i="12" s="1"/>
  <c r="E39" i="24"/>
  <c r="E32" i="12"/>
  <c r="T52" i="13"/>
  <c r="P52" i="13"/>
  <c r="L50" i="12"/>
  <c r="K62" i="12"/>
  <c r="R50" i="12"/>
  <c r="P47" i="12"/>
  <c r="W47" i="12" s="1"/>
  <c r="T47" i="12"/>
  <c r="P51" i="16"/>
  <c r="W51" i="16" s="1"/>
  <c r="T51" i="16"/>
  <c r="N19" i="12"/>
  <c r="L19" i="12"/>
  <c r="H38" i="24"/>
  <c r="R19" i="12"/>
  <c r="D76" i="12"/>
  <c r="F41" i="12"/>
  <c r="L76" i="12" s="1"/>
  <c r="M10" i="14"/>
  <c r="T10" i="14" s="1"/>
  <c r="Q10" i="14"/>
  <c r="D82" i="12"/>
  <c r="E82" i="12" s="1"/>
  <c r="R82" i="12" s="1"/>
  <c r="F48" i="12"/>
  <c r="L82" i="12" s="1"/>
  <c r="N12" i="13"/>
  <c r="U12" i="13" s="1"/>
  <c r="R12" i="13"/>
  <c r="Q13" i="14"/>
  <c r="P12" i="16"/>
  <c r="W12" i="16" s="1"/>
  <c r="F44" i="12"/>
  <c r="L79" i="12" s="1"/>
  <c r="L50" i="13"/>
  <c r="N50" i="12"/>
  <c r="U50" i="12" s="1"/>
  <c r="M20" i="14"/>
  <c r="T20" i="14" s="1"/>
  <c r="L53" i="13"/>
  <c r="L21" i="13"/>
  <c r="T21" i="13"/>
  <c r="J19" i="24"/>
  <c r="B141" i="24" s="1"/>
  <c r="T10" i="13"/>
  <c r="P10" i="13"/>
  <c r="W10" i="13" s="1"/>
  <c r="M17" i="14"/>
  <c r="T17" i="14" s="1"/>
  <c r="H100" i="24"/>
  <c r="F137" i="24" s="1"/>
  <c r="Q17" i="14"/>
  <c r="W22" i="18"/>
  <c r="N22" i="18"/>
  <c r="U22" i="18" s="1"/>
  <c r="R22" i="18"/>
  <c r="N13" i="15"/>
  <c r="U13" i="15" s="1"/>
  <c r="R13" i="15"/>
  <c r="G15" i="12"/>
  <c r="N14" i="16"/>
  <c r="U14" i="16" s="1"/>
  <c r="T43" i="12"/>
  <c r="P43" i="12"/>
  <c r="W43" i="12" s="1"/>
  <c r="M9" i="14"/>
  <c r="J15" i="14"/>
  <c r="K80" i="12"/>
  <c r="R19" i="13"/>
  <c r="C83" i="12"/>
  <c r="E83" i="12" s="1"/>
  <c r="R83" i="12" s="1"/>
  <c r="E38" i="24"/>
  <c r="J37" i="14"/>
  <c r="J36" i="14"/>
  <c r="J35" i="14"/>
  <c r="AN23" i="13"/>
  <c r="AP23" i="13"/>
  <c r="AR23" i="13" s="1"/>
  <c r="AO23" i="13"/>
  <c r="AQ23" i="13" s="1"/>
  <c r="AG32" i="27"/>
  <c r="AH32" i="27"/>
  <c r="AJ32" i="27"/>
  <c r="AP58" i="13"/>
  <c r="AR58" i="13" s="1"/>
  <c r="AO58" i="13"/>
  <c r="AQ58" i="13" s="1"/>
  <c r="AN58" i="13"/>
  <c r="K86" i="12"/>
  <c r="F41" i="24"/>
  <c r="AG66" i="16"/>
  <c r="T9" i="16"/>
  <c r="P19" i="12"/>
  <c r="W19" i="12" s="1"/>
  <c r="J38" i="24"/>
  <c r="C139" i="24" s="1"/>
  <c r="P18" i="18"/>
  <c r="W18" i="18" s="1"/>
  <c r="R18" i="18"/>
  <c r="L20" i="12"/>
  <c r="AC47" i="12"/>
  <c r="H81" i="12" s="1"/>
  <c r="Z47" i="12"/>
  <c r="AB47" i="12"/>
  <c r="AD47" i="12" s="1"/>
  <c r="I81" i="12" s="1"/>
  <c r="AN44" i="12"/>
  <c r="AP44" i="12"/>
  <c r="AR44" i="12" s="1"/>
  <c r="AG43" i="12"/>
  <c r="AA42" i="12"/>
  <c r="AC42" i="12" s="1"/>
  <c r="H77" i="12" s="1"/>
  <c r="AO40" i="12"/>
  <c r="AQ40" i="12" s="1"/>
  <c r="AN40" i="12"/>
  <c r="AP40" i="12"/>
  <c r="AR40" i="12" s="1"/>
  <c r="AP54" i="13"/>
  <c r="AR54" i="13" s="1"/>
  <c r="AO54" i="13"/>
  <c r="AQ54" i="13" s="1"/>
  <c r="AN54" i="13"/>
  <c r="T20" i="27"/>
  <c r="N20" i="27"/>
  <c r="O20" i="27"/>
  <c r="M16" i="18"/>
  <c r="L17" i="13"/>
  <c r="R18" i="13"/>
  <c r="N18" i="13"/>
  <c r="N49" i="12"/>
  <c r="U49" i="12" s="1"/>
  <c r="R20" i="12"/>
  <c r="R21" i="13"/>
  <c r="E40" i="24"/>
  <c r="AH43" i="12"/>
  <c r="AJ43" i="12" s="1"/>
  <c r="P78" i="12" s="1"/>
  <c r="AA39" i="12"/>
  <c r="AC39" i="12" s="1"/>
  <c r="H74" i="12" s="1"/>
  <c r="AB39" i="12"/>
  <c r="AD39" i="12" s="1"/>
  <c r="I74" i="12" s="1"/>
  <c r="AP50" i="12"/>
  <c r="AR50" i="12" s="1"/>
  <c r="AO50" i="12"/>
  <c r="AQ50" i="12" s="1"/>
  <c r="L43" i="16"/>
  <c r="J59" i="24"/>
  <c r="P19" i="18"/>
  <c r="W19" i="18" s="1"/>
  <c r="J58" i="24"/>
  <c r="AO35" i="14"/>
  <c r="AQ35" i="14" s="1"/>
  <c r="R44" i="13"/>
  <c r="E77" i="12"/>
  <c r="E74" i="12"/>
  <c r="T43" i="16"/>
  <c r="S19" i="18"/>
  <c r="P9" i="16"/>
  <c r="W9" i="16" s="1"/>
  <c r="M67" i="13"/>
  <c r="R18" i="12"/>
  <c r="N18" i="15"/>
  <c r="U18" i="15" s="1"/>
  <c r="N47" i="12"/>
  <c r="U47" i="12" s="1"/>
  <c r="T17" i="13"/>
  <c r="J36" i="24"/>
  <c r="C137" i="24" s="1"/>
  <c r="P17" i="12"/>
  <c r="T19" i="12"/>
  <c r="R49" i="12"/>
  <c r="R19" i="15"/>
  <c r="H39" i="24"/>
  <c r="R20" i="13"/>
  <c r="H18" i="24"/>
  <c r="J62" i="24"/>
  <c r="AP21" i="15"/>
  <c r="AR21" i="15" s="1"/>
  <c r="AN17" i="15"/>
  <c r="AR17" i="15"/>
  <c r="AN12" i="15"/>
  <c r="AG9" i="14"/>
  <c r="AI9" i="14"/>
  <c r="AH9" i="14"/>
  <c r="AJ9" i="14" s="1"/>
  <c r="AF18" i="14"/>
  <c r="AH18" i="14"/>
  <c r="AJ18" i="14" s="1"/>
  <c r="Y21" i="14"/>
  <c r="AA21" i="14"/>
  <c r="AC21" i="14" s="1"/>
  <c r="Y17" i="14"/>
  <c r="AA17" i="14"/>
  <c r="AC17" i="14" s="1"/>
  <c r="Z12" i="14"/>
  <c r="AB12" i="14" s="1"/>
  <c r="AM21" i="14"/>
  <c r="AN21" i="14"/>
  <c r="AP21" i="14" s="1"/>
  <c r="AM17" i="14"/>
  <c r="AQ17" i="14"/>
  <c r="N21" i="18"/>
  <c r="U21" i="18" s="1"/>
  <c r="R21" i="18"/>
  <c r="AA21" i="18"/>
  <c r="AC21" i="18" s="1"/>
  <c r="Z21" i="18"/>
  <c r="X32" i="18"/>
  <c r="AD21" i="18"/>
  <c r="AN53" i="12"/>
  <c r="AP53" i="12"/>
  <c r="AR53" i="12" s="1"/>
  <c r="AN33" i="13"/>
  <c r="AP33" i="13"/>
  <c r="AR33" i="13" s="1"/>
  <c r="AO33" i="13"/>
  <c r="AQ33" i="13" s="1"/>
  <c r="Z66" i="13"/>
  <c r="AB66" i="13"/>
  <c r="AD66" i="13" s="1"/>
  <c r="AA66" i="13"/>
  <c r="AC66" i="13" s="1"/>
  <c r="AB23" i="18"/>
  <c r="AD23" i="18" s="1"/>
  <c r="Z23" i="18"/>
  <c r="AA23" i="18"/>
  <c r="AC23" i="18" s="1"/>
  <c r="AP9" i="12"/>
  <c r="AR9" i="12" s="1"/>
  <c r="AI10" i="14"/>
  <c r="AF10" i="14"/>
  <c r="AM18" i="14"/>
  <c r="AO18" i="14"/>
  <c r="AQ18" i="14" s="1"/>
  <c r="AA22" i="14"/>
  <c r="AC22" i="14" s="1"/>
  <c r="N53" i="12"/>
  <c r="U53" i="12" s="1"/>
  <c r="AG23" i="12"/>
  <c r="AA12" i="27"/>
  <c r="AC12" i="27" s="1"/>
  <c r="Y12" i="27"/>
  <c r="AH22" i="27"/>
  <c r="AJ22" i="27" s="1"/>
  <c r="AF22" i="27"/>
  <c r="AG22" i="27"/>
  <c r="AI22" i="27"/>
  <c r="AF32" i="27"/>
  <c r="AA24" i="14"/>
  <c r="AC24" i="14" s="1"/>
  <c r="Z24" i="14"/>
  <c r="AB24" i="14" s="1"/>
  <c r="AI20" i="12"/>
  <c r="AK20" i="12" s="1"/>
  <c r="O84" i="12" s="1"/>
  <c r="AB19" i="12"/>
  <c r="AD19" i="12" s="1"/>
  <c r="G83" i="12" s="1"/>
  <c r="AG16" i="12"/>
  <c r="AO44" i="12"/>
  <c r="AQ44" i="12" s="1"/>
  <c r="AH12" i="15"/>
  <c r="AN21" i="15"/>
  <c r="AO12" i="15"/>
  <c r="AQ12" i="15" s="1"/>
  <c r="AG13" i="14"/>
  <c r="AI13" i="14"/>
  <c r="AF13" i="14"/>
  <c r="AO21" i="14"/>
  <c r="AQ21" i="14" s="1"/>
  <c r="AN17" i="14"/>
  <c r="AP17" i="14" s="1"/>
  <c r="AO12" i="14"/>
  <c r="AQ12" i="14" s="1"/>
  <c r="AG52" i="12"/>
  <c r="AI52" i="12"/>
  <c r="AK52" i="12" s="1"/>
  <c r="Q86" i="12" s="1"/>
  <c r="AB23" i="12"/>
  <c r="AD23" i="12" s="1"/>
  <c r="G87" i="12" s="1"/>
  <c r="AA23" i="12"/>
  <c r="AC23" i="12" s="1"/>
  <c r="F87" i="12" s="1"/>
  <c r="AO53" i="12"/>
  <c r="AQ53" i="12" s="1"/>
  <c r="AI32" i="18"/>
  <c r="AK32" i="18" s="1"/>
  <c r="AG32" i="18"/>
  <c r="AO66" i="16"/>
  <c r="AQ66" i="16" s="1"/>
  <c r="AP66" i="16"/>
  <c r="AR66" i="16" s="1"/>
  <c r="B129" i="24"/>
  <c r="AH11" i="27"/>
  <c r="AJ11" i="27" s="1"/>
  <c r="AF11" i="27"/>
  <c r="AG11" i="27"/>
  <c r="AC19" i="27"/>
  <c r="Z19" i="27"/>
  <c r="AB19" i="27" s="1"/>
  <c r="AG54" i="12"/>
  <c r="AH54" i="12"/>
  <c r="AJ54" i="12" s="1"/>
  <c r="P88" i="12" s="1"/>
  <c r="AI54" i="12"/>
  <c r="AK54" i="12" s="1"/>
  <c r="Q88" i="12" s="1"/>
  <c r="D144" i="24"/>
  <c r="L64" i="24"/>
  <c r="H86" i="24"/>
  <c r="AH10" i="14"/>
  <c r="AJ10" i="14" s="1"/>
  <c r="Y12" i="14"/>
  <c r="AD17" i="15"/>
  <c r="H17" i="15" s="1"/>
  <c r="AO21" i="15"/>
  <c r="AQ21" i="15" s="1"/>
  <c r="AH20" i="15"/>
  <c r="AB16" i="15"/>
  <c r="AD16" i="15" s="1"/>
  <c r="H16" i="15" s="1"/>
  <c r="AG12" i="15"/>
  <c r="AO9" i="12"/>
  <c r="AQ9" i="12" s="1"/>
  <c r="AP49" i="12"/>
  <c r="AR49" i="12" s="1"/>
  <c r="AB9" i="12"/>
  <c r="AD9" i="12" s="1"/>
  <c r="G74" i="12" s="1"/>
  <c r="Z9" i="12"/>
  <c r="AO11" i="18"/>
  <c r="AI20" i="15"/>
  <c r="AK20" i="15" s="1"/>
  <c r="AI16" i="15"/>
  <c r="AK16" i="15" s="1"/>
  <c r="AA18" i="15"/>
  <c r="AC18" i="15" s="1"/>
  <c r="G18" i="15" s="1"/>
  <c r="Z18" i="15"/>
  <c r="P52" i="12"/>
  <c r="W52" i="12" s="1"/>
  <c r="F52" i="12"/>
  <c r="L86" i="12" s="1"/>
  <c r="H41" i="24"/>
  <c r="AG22" i="14"/>
  <c r="AI22" i="14" s="1"/>
  <c r="N22" i="15"/>
  <c r="U22" i="15" s="1"/>
  <c r="AH22" i="15"/>
  <c r="AI22" i="15"/>
  <c r="AK22" i="15" s="1"/>
  <c r="AJ22" i="15"/>
  <c r="AH32" i="18"/>
  <c r="AJ32" i="18" s="1"/>
  <c r="AH33" i="13"/>
  <c r="AJ33" i="13" s="1"/>
  <c r="AG33" i="13"/>
  <c r="AI33" i="13"/>
  <c r="AK33" i="13" s="1"/>
  <c r="I63" i="24"/>
  <c r="Z66" i="16"/>
  <c r="P56" i="16"/>
  <c r="W56" i="16" s="1"/>
  <c r="T10" i="27"/>
  <c r="AN10" i="27"/>
  <c r="AP10" i="27" s="1"/>
  <c r="AM10" i="27"/>
  <c r="AO10" i="27"/>
  <c r="AQ10" i="27" s="1"/>
  <c r="AA18" i="27"/>
  <c r="AC18" i="27" s="1"/>
  <c r="L54" i="12"/>
  <c r="O54" i="12" s="1"/>
  <c r="V54" i="12" s="1"/>
  <c r="P54" i="12"/>
  <c r="T24" i="18"/>
  <c r="P24" i="18"/>
  <c r="W24" i="18" s="1"/>
  <c r="R32" i="13"/>
  <c r="N32" i="13"/>
  <c r="U32" i="13" s="1"/>
  <c r="Z13" i="14"/>
  <c r="AB13" i="14" s="1"/>
  <c r="AQ10" i="14"/>
  <c r="AO9" i="14"/>
  <c r="AQ9" i="14" s="1"/>
  <c r="AO16" i="18"/>
  <c r="AH14" i="18"/>
  <c r="AB40" i="12"/>
  <c r="AD40" i="12" s="1"/>
  <c r="I75" i="12" s="1"/>
  <c r="AA11" i="18"/>
  <c r="AI48" i="12"/>
  <c r="AK48" i="12" s="1"/>
  <c r="Q82" i="12" s="1"/>
  <c r="AG40" i="12"/>
  <c r="AO16" i="16"/>
  <c r="AQ16" i="16" s="1"/>
  <c r="AN20" i="16"/>
  <c r="AP16" i="15"/>
  <c r="AR16" i="15" s="1"/>
  <c r="AJ17" i="14"/>
  <c r="AI17" i="14"/>
  <c r="Z11" i="14"/>
  <c r="AB11" i="14" s="1"/>
  <c r="AN20" i="14"/>
  <c r="AP20" i="14" s="1"/>
  <c r="AO11" i="14"/>
  <c r="AQ11" i="14" s="1"/>
  <c r="AH52" i="12"/>
  <c r="AJ52" i="12" s="1"/>
  <c r="P86" i="12" s="1"/>
  <c r="Z22" i="14"/>
  <c r="AB22" i="14" s="1"/>
  <c r="AN22" i="12"/>
  <c r="AP22" i="12"/>
  <c r="AR22" i="12" s="1"/>
  <c r="AN55" i="16"/>
  <c r="AB22" i="15"/>
  <c r="AD22" i="15" s="1"/>
  <c r="H22" i="15" s="1"/>
  <c r="Z22" i="15"/>
  <c r="H20" i="24"/>
  <c r="N22" i="13"/>
  <c r="Z23" i="12"/>
  <c r="AI66" i="16"/>
  <c r="AK66" i="16" s="1"/>
  <c r="AN23" i="14"/>
  <c r="AP23" i="14" s="1"/>
  <c r="AF18" i="27"/>
  <c r="AH18" i="27"/>
  <c r="AJ18" i="27" s="1"/>
  <c r="AG18" i="27"/>
  <c r="AI18" i="27"/>
  <c r="AB26" i="16"/>
  <c r="AD26" i="16" s="1"/>
  <c r="AH25" i="16"/>
  <c r="AJ25" i="16" s="1"/>
  <c r="AG25" i="16"/>
  <c r="AG10" i="14"/>
  <c r="AH9" i="12"/>
  <c r="AJ9" i="12" s="1"/>
  <c r="N74" i="12" s="1"/>
  <c r="AO19" i="12"/>
  <c r="AQ19" i="12" s="1"/>
  <c r="AA17" i="12"/>
  <c r="AC17" i="12" s="1"/>
  <c r="F81" i="12" s="1"/>
  <c r="AG13" i="12"/>
  <c r="AA12" i="12"/>
  <c r="AC12" i="12" s="1"/>
  <c r="F77" i="12" s="1"/>
  <c r="AN12" i="13"/>
  <c r="AN17" i="13"/>
  <c r="AN21" i="13"/>
  <c r="AH19" i="15"/>
  <c r="AJ19" i="15"/>
  <c r="AA21" i="15"/>
  <c r="AC21" i="15" s="1"/>
  <c r="G21" i="15" s="1"/>
  <c r="AC10" i="14"/>
  <c r="P22" i="12"/>
  <c r="W22" i="12" s="1"/>
  <c r="T22" i="12"/>
  <c r="L52" i="12"/>
  <c r="AH21" i="18"/>
  <c r="AJ21" i="18" s="1"/>
  <c r="AP23" i="18"/>
  <c r="AR23" i="18" s="1"/>
  <c r="AO23" i="18"/>
  <c r="AQ23" i="18" s="1"/>
  <c r="R23" i="18"/>
  <c r="N23" i="18"/>
  <c r="U23" i="18" s="1"/>
  <c r="H63" i="24"/>
  <c r="AA23" i="15"/>
  <c r="AC23" i="15" s="1"/>
  <c r="G23" i="15" s="1"/>
  <c r="Z23" i="15"/>
  <c r="AB23" i="15"/>
  <c r="AD23" i="15" s="1"/>
  <c r="H23" i="15" s="1"/>
  <c r="AN17" i="27"/>
  <c r="AP17" i="27" s="1"/>
  <c r="AM17" i="27"/>
  <c r="AO17" i="27"/>
  <c r="AQ17" i="27" s="1"/>
  <c r="AA50" i="12"/>
  <c r="AC50" i="12" s="1"/>
  <c r="H84" i="12" s="1"/>
  <c r="AP9" i="15"/>
  <c r="AR9" i="15" s="1"/>
  <c r="Z12" i="15"/>
  <c r="AB12" i="15"/>
  <c r="AD12" i="15" s="1"/>
  <c r="H12" i="15" s="1"/>
  <c r="AA16" i="15"/>
  <c r="AC16" i="15" s="1"/>
  <c r="G16" i="15" s="1"/>
  <c r="AN22" i="14"/>
  <c r="AP22" i="14" s="1"/>
  <c r="AH23" i="12"/>
  <c r="AJ23" i="12" s="1"/>
  <c r="N87" i="12" s="1"/>
  <c r="AB33" i="13"/>
  <c r="AD33" i="13" s="1"/>
  <c r="AA33" i="13"/>
  <c r="AC33" i="13" s="1"/>
  <c r="AI14" i="27"/>
  <c r="AF14" i="27"/>
  <c r="AH14" i="27"/>
  <c r="AJ14" i="27" s="1"/>
  <c r="AG14" i="27"/>
  <c r="Z16" i="27"/>
  <c r="AB16" i="27" s="1"/>
  <c r="Y16" i="27"/>
  <c r="AJ21" i="27"/>
  <c r="Z23" i="27"/>
  <c r="AB23" i="27" s="1"/>
  <c r="AA23" i="27"/>
  <c r="AC23" i="27" s="1"/>
  <c r="AI24" i="18"/>
  <c r="AK24" i="18" s="1"/>
  <c r="AG24" i="18"/>
  <c r="AJ24" i="18"/>
  <c r="AF67" i="16"/>
  <c r="AI67" i="16" s="1"/>
  <c r="X67" i="16"/>
  <c r="M65" i="12"/>
  <c r="M64" i="12"/>
  <c r="M62" i="12"/>
  <c r="M63" i="12" s="1"/>
  <c r="M36" i="16"/>
  <c r="M34" i="16"/>
  <c r="M35" i="16"/>
  <c r="M68" i="16"/>
  <c r="M67" i="16"/>
  <c r="M66" i="16"/>
  <c r="T17" i="16"/>
  <c r="L18" i="12"/>
  <c r="AG18" i="14"/>
  <c r="AI18" i="14" s="1"/>
  <c r="AN12" i="14"/>
  <c r="AP10" i="14"/>
  <c r="AP12" i="15"/>
  <c r="AR12" i="15" s="1"/>
  <c r="AG14" i="15"/>
  <c r="AK9" i="18"/>
  <c r="AP21" i="16"/>
  <c r="AR21" i="16" s="1"/>
  <c r="AK12" i="18"/>
  <c r="AH12" i="18"/>
  <c r="AQ13" i="18"/>
  <c r="AI10" i="15"/>
  <c r="AK10" i="15" s="1"/>
  <c r="AI18" i="15"/>
  <c r="AK18" i="15" s="1"/>
  <c r="Z20" i="15"/>
  <c r="AO22" i="12"/>
  <c r="AQ22" i="12" s="1"/>
  <c r="Y22" i="14"/>
  <c r="AG21" i="18"/>
  <c r="AI23" i="12"/>
  <c r="AK23" i="12" s="1"/>
  <c r="O87" i="12" s="1"/>
  <c r="E42" i="24"/>
  <c r="L53" i="12"/>
  <c r="AI66" i="13"/>
  <c r="AK66" i="13" s="1"/>
  <c r="AH23" i="18"/>
  <c r="AJ23" i="18" s="1"/>
  <c r="AI23" i="18"/>
  <c r="AK23" i="18" s="1"/>
  <c r="AP23" i="16"/>
  <c r="AR23" i="16" s="1"/>
  <c r="AN23" i="16"/>
  <c r="AQ23" i="16"/>
  <c r="Z23" i="14"/>
  <c r="AB23" i="14" s="1"/>
  <c r="AA23" i="14"/>
  <c r="AC23" i="14" s="1"/>
  <c r="AF9" i="27"/>
  <c r="AI9" i="27"/>
  <c r="AH9" i="27"/>
  <c r="AJ9" i="27" s="1"/>
  <c r="N17" i="27"/>
  <c r="O17" i="27"/>
  <c r="T17" i="27"/>
  <c r="AB22" i="27"/>
  <c r="Y22" i="27"/>
  <c r="AA22" i="27"/>
  <c r="AC22" i="27" s="1"/>
  <c r="AK32" i="27"/>
  <c r="W32" i="27"/>
  <c r="AI24" i="12"/>
  <c r="AK24" i="12" s="1"/>
  <c r="O88" i="12" s="1"/>
  <c r="AH24" i="12"/>
  <c r="AJ24" i="12" s="1"/>
  <c r="N88" i="12" s="1"/>
  <c r="T24" i="16"/>
  <c r="AP25" i="13"/>
  <c r="AR25" i="13" s="1"/>
  <c r="AN25" i="13"/>
  <c r="AO60" i="13"/>
  <c r="AQ60" i="13" s="1"/>
  <c r="AN60" i="13"/>
  <c r="AP60" i="13"/>
  <c r="AR60" i="13" s="1"/>
  <c r="AP57" i="13"/>
  <c r="AR57" i="13" s="1"/>
  <c r="AN57" i="13"/>
  <c r="AO57" i="13"/>
  <c r="AQ57" i="13" s="1"/>
  <c r="T22" i="27"/>
  <c r="O22" i="27"/>
  <c r="Q24" i="14"/>
  <c r="O24" i="18"/>
  <c r="V24" i="18" s="1"/>
  <c r="I64" i="24"/>
  <c r="AN24" i="13"/>
  <c r="AI34" i="16"/>
  <c r="AK34" i="16" s="1"/>
  <c r="AG34" i="16"/>
  <c r="AL67" i="16"/>
  <c r="AP67" i="16" s="1"/>
  <c r="AR67" i="16" s="1"/>
  <c r="J22" i="24"/>
  <c r="P24" i="13"/>
  <c r="W24" i="13" s="1"/>
  <c r="T24" i="13"/>
  <c r="L23" i="13"/>
  <c r="AB56" i="12"/>
  <c r="AD56" i="12" s="1"/>
  <c r="I90" i="12" s="1"/>
  <c r="AM24" i="27"/>
  <c r="AN24" i="27"/>
  <c r="AP24" i="27" s="1"/>
  <c r="AH59" i="13"/>
  <c r="AJ59" i="13" s="1"/>
  <c r="AF19" i="27"/>
  <c r="M11" i="27"/>
  <c r="T11" i="27" s="1"/>
  <c r="AJ13" i="27"/>
  <c r="Z24" i="12"/>
  <c r="AB24" i="12"/>
  <c r="AD24" i="12" s="1"/>
  <c r="G88" i="12" s="1"/>
  <c r="AM24" i="14"/>
  <c r="AP24" i="14"/>
  <c r="AF32" i="12"/>
  <c r="AM62" i="12"/>
  <c r="AP62" i="12" s="1"/>
  <c r="AR62" i="12" s="1"/>
  <c r="H106" i="24"/>
  <c r="N60" i="13"/>
  <c r="U60" i="13" s="1"/>
  <c r="R60" i="13"/>
  <c r="L58" i="13"/>
  <c r="T58" i="13"/>
  <c r="AN58" i="12"/>
  <c r="AO58" i="12"/>
  <c r="AQ58" i="12" s="1"/>
  <c r="AP58" i="12"/>
  <c r="AR58" i="12" s="1"/>
  <c r="AI10" i="27"/>
  <c r="AH10" i="27"/>
  <c r="AJ10" i="27" s="1"/>
  <c r="Z21" i="27"/>
  <c r="AB21" i="27" s="1"/>
  <c r="AC21" i="27"/>
  <c r="Y21" i="27"/>
  <c r="P24" i="12"/>
  <c r="W24" i="12" s="1"/>
  <c r="L24" i="12"/>
  <c r="AI25" i="15"/>
  <c r="AK25" i="15" s="1"/>
  <c r="AG25" i="15"/>
  <c r="AO13" i="16"/>
  <c r="AQ13" i="16" s="1"/>
  <c r="AN18" i="16"/>
  <c r="T23" i="18"/>
  <c r="AI24" i="16"/>
  <c r="AK24" i="16" s="1"/>
  <c r="AH23" i="15"/>
  <c r="AJ23" i="15" s="1"/>
  <c r="Z24" i="16"/>
  <c r="AG20" i="27"/>
  <c r="AF12" i="27"/>
  <c r="Q12" i="27"/>
  <c r="AN9" i="27"/>
  <c r="AP9" i="27" s="1"/>
  <c r="AO9" i="27"/>
  <c r="AQ9" i="27" s="1"/>
  <c r="AP18" i="27"/>
  <c r="AO54" i="12"/>
  <c r="AQ54" i="12" s="1"/>
  <c r="G43" i="24"/>
  <c r="R24" i="12"/>
  <c r="H43" i="24"/>
  <c r="AA24" i="18"/>
  <c r="AC24" i="18" s="1"/>
  <c r="Y27" i="27"/>
  <c r="AA27" i="27"/>
  <c r="AC27" i="27" s="1"/>
  <c r="Z57" i="13"/>
  <c r="AA57" i="13"/>
  <c r="AC57" i="13" s="1"/>
  <c r="AG58" i="12"/>
  <c r="AI58" i="12"/>
  <c r="AK58" i="12" s="1"/>
  <c r="Q92" i="12" s="1"/>
  <c r="AG57" i="12"/>
  <c r="AF11" i="14"/>
  <c r="AB20" i="15"/>
  <c r="AD20" i="15" s="1"/>
  <c r="H20" i="15" s="1"/>
  <c r="AP13" i="15"/>
  <c r="AR13" i="15" s="1"/>
  <c r="AN18" i="12"/>
  <c r="Z16" i="12"/>
  <c r="AO10" i="13"/>
  <c r="AQ10" i="13" s="1"/>
  <c r="AO52" i="12"/>
  <c r="AQ52" i="12" s="1"/>
  <c r="AI22" i="12"/>
  <c r="AK22" i="12" s="1"/>
  <c r="O86" i="12" s="1"/>
  <c r="H105" i="24"/>
  <c r="AG21" i="12"/>
  <c r="H83" i="24"/>
  <c r="AR23" i="15"/>
  <c r="AO23" i="15"/>
  <c r="AQ23" i="15" s="1"/>
  <c r="AN12" i="27"/>
  <c r="AP12" i="27" s="1"/>
  <c r="AJ20" i="27"/>
  <c r="AJ12" i="27"/>
  <c r="J43" i="24"/>
  <c r="F43" i="24"/>
  <c r="AA27" i="13"/>
  <c r="AC27" i="13" s="1"/>
  <c r="AN26" i="27"/>
  <c r="AP26" i="27" s="1"/>
  <c r="AQ26" i="27"/>
  <c r="AM26" i="27"/>
  <c r="AA59" i="13"/>
  <c r="AC59" i="13" s="1"/>
  <c r="Z58" i="13"/>
  <c r="R23" i="15"/>
  <c r="O18" i="27"/>
  <c r="N18" i="27"/>
  <c r="Z10" i="27"/>
  <c r="AB10" i="27" s="1"/>
  <c r="Z12" i="27"/>
  <c r="AB12" i="27" s="1"/>
  <c r="Z18" i="27"/>
  <c r="AB18" i="27" s="1"/>
  <c r="AN19" i="27"/>
  <c r="AP19" i="27" s="1"/>
  <c r="AO19" i="27"/>
  <c r="AQ19" i="27" s="1"/>
  <c r="AQ20" i="27"/>
  <c r="T23" i="27"/>
  <c r="N23" i="27"/>
  <c r="O23" i="27"/>
  <c r="AO24" i="14"/>
  <c r="AQ24" i="14" s="1"/>
  <c r="AP24" i="12"/>
  <c r="AR24" i="12" s="1"/>
  <c r="N24" i="13"/>
  <c r="U24" i="13" s="1"/>
  <c r="AH34" i="16"/>
  <c r="AJ34" i="16" s="1"/>
  <c r="AA56" i="12"/>
  <c r="AC56" i="12" s="1"/>
  <c r="H90" i="12" s="1"/>
  <c r="AB60" i="13"/>
  <c r="AD60" i="13" s="1"/>
  <c r="AA60" i="13"/>
  <c r="AC60" i="13" s="1"/>
  <c r="Z60" i="13"/>
  <c r="P58" i="13"/>
  <c r="W58" i="13" s="1"/>
  <c r="AA59" i="16"/>
  <c r="AC59" i="16" s="1"/>
  <c r="Z57" i="12"/>
  <c r="AB57" i="12"/>
  <c r="AD57" i="12" s="1"/>
  <c r="I91" i="12" s="1"/>
  <c r="AG26" i="18"/>
  <c r="AJ26" i="18"/>
  <c r="AI26" i="18"/>
  <c r="AK26" i="18" s="1"/>
  <c r="AO64" i="16"/>
  <c r="AQ64" i="16" s="1"/>
  <c r="AN64" i="16"/>
  <c r="AB64" i="16"/>
  <c r="AD64" i="16" s="1"/>
  <c r="Z59" i="16"/>
  <c r="AB32" i="13"/>
  <c r="R26" i="18"/>
  <c r="N26" i="18"/>
  <c r="U26" i="18" s="1"/>
  <c r="AG24" i="15"/>
  <c r="AI24" i="15"/>
  <c r="AK24" i="15" s="1"/>
  <c r="AH24" i="15"/>
  <c r="AJ24" i="15" s="1"/>
  <c r="AH43" i="13"/>
  <c r="AJ43" i="13" s="1"/>
  <c r="P110" i="13" s="1"/>
  <c r="AI43" i="13"/>
  <c r="AK43" i="13" s="1"/>
  <c r="Q110" i="13" s="1"/>
  <c r="AB49" i="13"/>
  <c r="AD49" i="13" s="1"/>
  <c r="AA49" i="13"/>
  <c r="AC49" i="13" s="1"/>
  <c r="AO24" i="18"/>
  <c r="AQ24" i="18" s="1"/>
  <c r="AL34" i="16"/>
  <c r="AO58" i="16"/>
  <c r="AQ58" i="16" s="1"/>
  <c r="T25" i="27"/>
  <c r="N25" i="27"/>
  <c r="O25" i="27"/>
  <c r="AF27" i="27"/>
  <c r="AH25" i="27"/>
  <c r="AJ25" i="27" s="1"/>
  <c r="L26" i="13"/>
  <c r="AO27" i="13"/>
  <c r="AQ27" i="13" s="1"/>
  <c r="AI60" i="13"/>
  <c r="AK60" i="13" s="1"/>
  <c r="AI57" i="13"/>
  <c r="AK57" i="13" s="1"/>
  <c r="AN57" i="12"/>
  <c r="L56" i="12"/>
  <c r="S56" i="12" s="1"/>
  <c r="AN27" i="18"/>
  <c r="AQ27" i="18"/>
  <c r="AP26" i="18"/>
  <c r="AR26" i="18" s="1"/>
  <c r="Z26" i="18"/>
  <c r="AA26" i="18"/>
  <c r="AC26" i="18" s="1"/>
  <c r="AO25" i="18"/>
  <c r="AQ25" i="18" s="1"/>
  <c r="AP33" i="16"/>
  <c r="N32" i="16"/>
  <c r="U32" i="16" s="1"/>
  <c r="R32" i="16"/>
  <c r="AN27" i="15"/>
  <c r="H85" i="24"/>
  <c r="Z32" i="13"/>
  <c r="AA58" i="13"/>
  <c r="AC58" i="13" s="1"/>
  <c r="AA57" i="12"/>
  <c r="AC57" i="12" s="1"/>
  <c r="H91" i="12" s="1"/>
  <c r="T24" i="27"/>
  <c r="N24" i="27"/>
  <c r="O24" i="27"/>
  <c r="AG58" i="13"/>
  <c r="AI58" i="13"/>
  <c r="AK58" i="13" s="1"/>
  <c r="AP27" i="27"/>
  <c r="AG30" i="18"/>
  <c r="AH30" i="18"/>
  <c r="AJ30" i="18" s="1"/>
  <c r="S30" i="18"/>
  <c r="O30" i="18"/>
  <c r="V30" i="18" s="1"/>
  <c r="T25" i="18"/>
  <c r="P25" i="18"/>
  <c r="W25" i="18" s="1"/>
  <c r="AH33" i="16"/>
  <c r="AK33" i="16"/>
  <c r="AO25" i="14"/>
  <c r="AQ25" i="14" s="1"/>
  <c r="AB48" i="13"/>
  <c r="AD48" i="13" s="1"/>
  <c r="AA48" i="13"/>
  <c r="AC48" i="13" s="1"/>
  <c r="AQ26" i="18"/>
  <c r="AN26" i="18"/>
  <c r="AP25" i="18"/>
  <c r="AR25" i="18" s="1"/>
  <c r="AM27" i="14"/>
  <c r="AN27" i="14"/>
  <c r="AP27" i="14" s="1"/>
  <c r="AO27" i="14"/>
  <c r="AQ27" i="14" s="1"/>
  <c r="AI23" i="13"/>
  <c r="AK23" i="13" s="1"/>
  <c r="AH23" i="13"/>
  <c r="AJ23" i="13" s="1"/>
  <c r="AC28" i="12"/>
  <c r="F92" i="12" s="1"/>
  <c r="AG26" i="12"/>
  <c r="AI25" i="16"/>
  <c r="AK25" i="16" s="1"/>
  <c r="AP59" i="16"/>
  <c r="AR59" i="16" s="1"/>
  <c r="AF25" i="14"/>
  <c r="AH25" i="14"/>
  <c r="AJ25" i="14" s="1"/>
  <c r="AI25" i="14"/>
  <c r="AG25" i="14"/>
  <c r="AI26" i="15"/>
  <c r="AK26" i="15" s="1"/>
  <c r="AH26" i="15"/>
  <c r="AJ26" i="15" s="1"/>
  <c r="AG26" i="15"/>
  <c r="AI16" i="16"/>
  <c r="AK16" i="16" s="1"/>
  <c r="O115" i="16" s="1"/>
  <c r="AH16" i="16"/>
  <c r="AJ16" i="16" s="1"/>
  <c r="N115" i="16" s="1"/>
  <c r="L58" i="12"/>
  <c r="O58" i="12" s="1"/>
  <c r="V58" i="12" s="1"/>
  <c r="AG27" i="18"/>
  <c r="AG58" i="16"/>
  <c r="AH26" i="14"/>
  <c r="AJ26" i="14" s="1"/>
  <c r="AC28" i="15"/>
  <c r="G28" i="15" s="1"/>
  <c r="AO26" i="15"/>
  <c r="AQ26" i="15" s="1"/>
  <c r="AH25" i="15"/>
  <c r="AJ25" i="15" s="1"/>
  <c r="AA9" i="13"/>
  <c r="AC9" i="13" s="1"/>
  <c r="F108" i="13" s="1"/>
  <c r="AA10" i="13"/>
  <c r="AC10" i="13" s="1"/>
  <c r="F109" i="13" s="1"/>
  <c r="AB43" i="13"/>
  <c r="AD43" i="13" s="1"/>
  <c r="I110" i="13" s="1"/>
  <c r="AA43" i="13"/>
  <c r="AC43" i="13" s="1"/>
  <c r="H110" i="13" s="1"/>
  <c r="AB45" i="13"/>
  <c r="AD45" i="13" s="1"/>
  <c r="I112" i="13" s="1"/>
  <c r="F46" i="13"/>
  <c r="AB54" i="13"/>
  <c r="AD54" i="13" s="1"/>
  <c r="AA54" i="13"/>
  <c r="AC54" i="13" s="1"/>
  <c r="Z24" i="15"/>
  <c r="AB24" i="15"/>
  <c r="AD24" i="15" s="1"/>
  <c r="H24" i="15" s="1"/>
  <c r="AH22" i="13"/>
  <c r="AJ22" i="13" s="1"/>
  <c r="AI22" i="13"/>
  <c r="AK22" i="13" s="1"/>
  <c r="AH28" i="15"/>
  <c r="AJ28" i="15" s="1"/>
  <c r="E47" i="13"/>
  <c r="F42" i="13"/>
  <c r="AI51" i="13"/>
  <c r="AK51" i="13" s="1"/>
  <c r="AH51" i="13"/>
  <c r="AJ51" i="13" s="1"/>
  <c r="AB9" i="16"/>
  <c r="AD9" i="16" s="1"/>
  <c r="G108" i="16" s="1"/>
  <c r="AA55" i="12"/>
  <c r="AC55" i="12" s="1"/>
  <c r="H89" i="12" s="1"/>
  <c r="AB55" i="12"/>
  <c r="AD55" i="12" s="1"/>
  <c r="I89" i="12" s="1"/>
  <c r="AN30" i="18"/>
  <c r="AD33" i="16"/>
  <c r="AG65" i="16"/>
  <c r="AJ65" i="16"/>
  <c r="S64" i="16"/>
  <c r="T64" i="16"/>
  <c r="T67" i="16" s="1"/>
  <c r="AA58" i="16"/>
  <c r="AC58" i="16" s="1"/>
  <c r="Z26" i="14"/>
  <c r="AB26" i="14" s="1"/>
  <c r="AN25" i="14"/>
  <c r="AI13" i="13"/>
  <c r="AK13" i="13" s="1"/>
  <c r="O112" i="13" s="1"/>
  <c r="AO26" i="14"/>
  <c r="AQ26" i="14" s="1"/>
  <c r="AI9" i="13"/>
  <c r="AK9" i="13" s="1"/>
  <c r="O108" i="13" s="1"/>
  <c r="AA42" i="13"/>
  <c r="AC42" i="13" s="1"/>
  <c r="H109" i="13" s="1"/>
  <c r="E113" i="13"/>
  <c r="AN25" i="27"/>
  <c r="AP25" i="27" s="1"/>
  <c r="AA24" i="27"/>
  <c r="AC24" i="27" s="1"/>
  <c r="AI27" i="13"/>
  <c r="AK27" i="13" s="1"/>
  <c r="AB25" i="13"/>
  <c r="AD25" i="13" s="1"/>
  <c r="AB57" i="13"/>
  <c r="AD57" i="13" s="1"/>
  <c r="AH26" i="16"/>
  <c r="AJ26" i="16" s="1"/>
  <c r="AI26" i="16"/>
  <c r="AK26" i="16" s="1"/>
  <c r="AG26" i="14"/>
  <c r="AI26" i="14" s="1"/>
  <c r="Z28" i="15"/>
  <c r="D109" i="13"/>
  <c r="E109" i="13" s="1"/>
  <c r="AA45" i="13"/>
  <c r="AC45" i="13" s="1"/>
  <c r="H112" i="13" s="1"/>
  <c r="F14" i="13"/>
  <c r="K113" i="13" s="1"/>
  <c r="AI49" i="13"/>
  <c r="AK49" i="13" s="1"/>
  <c r="AH44" i="13"/>
  <c r="AJ44" i="13" s="1"/>
  <c r="P111" i="13" s="1"/>
  <c r="AJ48" i="13"/>
  <c r="F21" i="13"/>
  <c r="AH9" i="16"/>
  <c r="AJ9" i="16" s="1"/>
  <c r="N108" i="16" s="1"/>
  <c r="AI9" i="16"/>
  <c r="AK9" i="16" s="1"/>
  <c r="O108" i="16" s="1"/>
  <c r="AI11" i="16"/>
  <c r="AK11" i="16" s="1"/>
  <c r="O110" i="16" s="1"/>
  <c r="AH11" i="16"/>
  <c r="AJ11" i="16" s="1"/>
  <c r="N110" i="16" s="1"/>
  <c r="AH64" i="16"/>
  <c r="AJ64" i="16" s="1"/>
  <c r="E108" i="13"/>
  <c r="F45" i="13"/>
  <c r="L112" i="13" s="1"/>
  <c r="AH50" i="13"/>
  <c r="AJ50" i="13" s="1"/>
  <c r="AI54" i="13"/>
  <c r="AK54" i="13" s="1"/>
  <c r="AI55" i="13"/>
  <c r="AK55" i="13" s="1"/>
  <c r="D131" i="13"/>
  <c r="F24" i="13"/>
  <c r="F44" i="16"/>
  <c r="L110" i="16" s="1"/>
  <c r="M110" i="16" s="1"/>
  <c r="F27" i="13"/>
  <c r="AO25" i="13"/>
  <c r="AQ25" i="13" s="1"/>
  <c r="N25" i="18"/>
  <c r="U25" i="18" s="1"/>
  <c r="R25" i="18"/>
  <c r="N26" i="15"/>
  <c r="U26" i="15" s="1"/>
  <c r="R26" i="15"/>
  <c r="AI10" i="13"/>
  <c r="AK10" i="13" s="1"/>
  <c r="O109" i="13" s="1"/>
  <c r="AH12" i="13"/>
  <c r="AJ12" i="13" s="1"/>
  <c r="N111" i="13" s="1"/>
  <c r="AB16" i="13"/>
  <c r="AD16" i="13" s="1"/>
  <c r="AH16" i="13"/>
  <c r="AJ16" i="13" s="1"/>
  <c r="AB55" i="13"/>
  <c r="AD55" i="13" s="1"/>
  <c r="AB46" i="16"/>
  <c r="AD46" i="16" s="1"/>
  <c r="I112" i="16" s="1"/>
  <c r="AA46" i="16"/>
  <c r="AC46" i="16" s="1"/>
  <c r="H112" i="16" s="1"/>
  <c r="AH14" i="16"/>
  <c r="AJ14" i="16" s="1"/>
  <c r="N113" i="16" s="1"/>
  <c r="AB42" i="16"/>
  <c r="AD42" i="16" s="1"/>
  <c r="I108" i="16" s="1"/>
  <c r="AC42" i="16"/>
  <c r="H108" i="16" s="1"/>
  <c r="AA42" i="16"/>
  <c r="AH42" i="16"/>
  <c r="AJ42" i="16" s="1"/>
  <c r="P108" i="16" s="1"/>
  <c r="AI44" i="16"/>
  <c r="AK44" i="16" s="1"/>
  <c r="Q110" i="16" s="1"/>
  <c r="AH54" i="13"/>
  <c r="AJ54" i="13" s="1"/>
  <c r="AI24" i="13"/>
  <c r="AK24" i="13" s="1"/>
  <c r="AH24" i="13"/>
  <c r="AJ24" i="13" s="1"/>
  <c r="AB47" i="16"/>
  <c r="AD47" i="16" s="1"/>
  <c r="I113" i="16" s="1"/>
  <c r="AA47" i="16"/>
  <c r="AC47" i="16" s="1"/>
  <c r="H113" i="16" s="1"/>
  <c r="AB17" i="16"/>
  <c r="AA17" i="16"/>
  <c r="AC17" i="16" s="1"/>
  <c r="F116" i="16" s="1"/>
  <c r="AD19" i="16"/>
  <c r="G118" i="16" s="1"/>
  <c r="AI53" i="16"/>
  <c r="AK53" i="16" s="1"/>
  <c r="Q119" i="16" s="1"/>
  <c r="AI21" i="16"/>
  <c r="AK21" i="16" s="1"/>
  <c r="O120" i="16" s="1"/>
  <c r="AG32" i="16"/>
  <c r="AA25" i="16"/>
  <c r="AC25" i="16" s="1"/>
  <c r="AN26" i="15"/>
  <c r="AO24" i="15"/>
  <c r="AQ24" i="15" s="1"/>
  <c r="AH45" i="13"/>
  <c r="AJ45" i="13" s="1"/>
  <c r="P112" i="13" s="1"/>
  <c r="AI14" i="16"/>
  <c r="AK14" i="16" s="1"/>
  <c r="O113" i="16" s="1"/>
  <c r="E112" i="16"/>
  <c r="AB50" i="16"/>
  <c r="AD50" i="16" s="1"/>
  <c r="I116" i="16" s="1"/>
  <c r="AI52" i="16"/>
  <c r="AK52" i="16" s="1"/>
  <c r="Q118" i="16" s="1"/>
  <c r="AH52" i="16"/>
  <c r="AJ52" i="16" s="1"/>
  <c r="P118" i="16" s="1"/>
  <c r="AC23" i="16"/>
  <c r="F122" i="16" s="1"/>
  <c r="F55" i="16"/>
  <c r="L121" i="16" s="1"/>
  <c r="F51" i="16"/>
  <c r="L117" i="16" s="1"/>
  <c r="E120" i="16"/>
  <c r="AH54" i="16"/>
  <c r="AJ54" i="16" s="1"/>
  <c r="P120" i="16" s="1"/>
  <c r="AI54" i="16"/>
  <c r="AK54" i="16" s="1"/>
  <c r="Q120" i="16" s="1"/>
  <c r="AI22" i="16"/>
  <c r="AK22" i="16" s="1"/>
  <c r="O121" i="16" s="1"/>
  <c r="G83" i="24"/>
  <c r="F21" i="16"/>
  <c r="K120" i="16" s="1"/>
  <c r="AB23" i="13"/>
  <c r="AD23" i="13" s="1"/>
  <c r="AC23" i="13"/>
  <c r="AI56" i="13"/>
  <c r="AK56" i="13" s="1"/>
  <c r="AH56" i="13"/>
  <c r="AJ56" i="13" s="1"/>
  <c r="AA43" i="16"/>
  <c r="AC43" i="16" s="1"/>
  <c r="H109" i="16" s="1"/>
  <c r="AI49" i="16"/>
  <c r="AK49" i="16" s="1"/>
  <c r="Q115" i="16" s="1"/>
  <c r="AH49" i="16"/>
  <c r="AJ49" i="16" s="1"/>
  <c r="P115" i="16" s="1"/>
  <c r="AH22" i="16"/>
  <c r="AJ22" i="16" s="1"/>
  <c r="N121" i="16" s="1"/>
  <c r="F16" i="13"/>
  <c r="AA19" i="16"/>
  <c r="AC19" i="16" s="1"/>
  <c r="F118" i="16" s="1"/>
  <c r="D125" i="16"/>
  <c r="AI47" i="16"/>
  <c r="AK47" i="16" s="1"/>
  <c r="Q113" i="16" s="1"/>
  <c r="E110" i="16"/>
  <c r="AH19" i="16"/>
  <c r="AJ19" i="16" s="1"/>
  <c r="N118" i="16" s="1"/>
  <c r="AH53" i="16"/>
  <c r="AJ53" i="16" s="1"/>
  <c r="P119" i="16" s="1"/>
  <c r="AH55" i="16"/>
  <c r="AJ55" i="16" s="1"/>
  <c r="P121" i="16" s="1"/>
  <c r="AI55" i="16"/>
  <c r="AK55" i="16" s="1"/>
  <c r="Q121" i="16" s="1"/>
  <c r="F53" i="16"/>
  <c r="E109" i="16"/>
  <c r="AC55" i="16"/>
  <c r="H121" i="16" s="1"/>
  <c r="E118" i="16"/>
  <c r="AH45" i="16"/>
  <c r="AJ45" i="16" s="1"/>
  <c r="P111" i="16" s="1"/>
  <c r="F12" i="16"/>
  <c r="K111" i="16" s="1"/>
  <c r="AH50" i="16"/>
  <c r="AJ50" i="16" s="1"/>
  <c r="P116" i="16" s="1"/>
  <c r="AA53" i="16"/>
  <c r="AC53" i="16" s="1"/>
  <c r="H119" i="16" s="1"/>
  <c r="E116" i="16"/>
  <c r="AB21" i="13"/>
  <c r="AD21" i="13" s="1"/>
  <c r="F20" i="16"/>
  <c r="K119" i="16" s="1"/>
  <c r="AB13" i="13"/>
  <c r="AD13" i="13" s="1"/>
  <c r="G112" i="13" s="1"/>
  <c r="AA17" i="13"/>
  <c r="AC17" i="13" s="1"/>
  <c r="AI21" i="13"/>
  <c r="AK21" i="13" s="1"/>
  <c r="F20" i="13"/>
  <c r="AJ46" i="16"/>
  <c r="P112" i="16" s="1"/>
  <c r="AI17" i="16"/>
  <c r="AK17" i="16" s="1"/>
  <c r="O116" i="16" s="1"/>
  <c r="AB20" i="16"/>
  <c r="AD20" i="16" s="1"/>
  <c r="G119" i="16" s="1"/>
  <c r="E121" i="16"/>
  <c r="F16" i="16"/>
  <c r="K115" i="16" s="1"/>
  <c r="AH13" i="16"/>
  <c r="AJ13" i="16" s="1"/>
  <c r="N112" i="16" s="1"/>
  <c r="E113" i="16"/>
  <c r="AA16" i="16"/>
  <c r="AC16" i="16" s="1"/>
  <c r="F115" i="16" s="1"/>
  <c r="C119" i="16"/>
  <c r="E119" i="16" s="1"/>
  <c r="F22" i="16"/>
  <c r="AG20" i="16"/>
  <c r="AI20" i="16"/>
  <c r="AK20" i="16" s="1"/>
  <c r="O119" i="16" s="1"/>
  <c r="AH20" i="16"/>
  <c r="AJ20" i="16" s="1"/>
  <c r="N119" i="16" s="1"/>
  <c r="AB13" i="16"/>
  <c r="AD13" i="16" s="1"/>
  <c r="G112" i="16" s="1"/>
  <c r="AB18" i="16"/>
  <c r="AD18" i="16" s="1"/>
  <c r="G117" i="16" s="1"/>
  <c r="AP10" i="16"/>
  <c r="AR10" i="16" s="1"/>
  <c r="AO10" i="16"/>
  <c r="AQ10" i="16" s="1"/>
  <c r="AN10" i="16"/>
  <c r="AP14" i="16"/>
  <c r="AR14" i="16" s="1"/>
  <c r="AN19" i="16"/>
  <c r="AO19" i="16"/>
  <c r="AQ19" i="16" s="1"/>
  <c r="AP19" i="16"/>
  <c r="AR19" i="16" s="1"/>
  <c r="C108" i="16"/>
  <c r="E108" i="16" s="1"/>
  <c r="E15" i="16"/>
  <c r="C114" i="16" s="1"/>
  <c r="F9" i="16"/>
  <c r="AI10" i="16"/>
  <c r="AK10" i="16" s="1"/>
  <c r="O109" i="16" s="1"/>
  <c r="AH10" i="16"/>
  <c r="AJ10" i="16" s="1"/>
  <c r="N109" i="16" s="1"/>
  <c r="AG10" i="16"/>
  <c r="AN14" i="16"/>
  <c r="P33" i="16"/>
  <c r="W33" i="16" s="1"/>
  <c r="T33" i="16"/>
  <c r="AJ12" i="16"/>
  <c r="N111" i="16" s="1"/>
  <c r="AC22" i="16"/>
  <c r="F121" i="16" s="1"/>
  <c r="AO14" i="16"/>
  <c r="AQ14" i="16" s="1"/>
  <c r="K118" i="16"/>
  <c r="M118" i="16" s="1"/>
  <c r="F81" i="24"/>
  <c r="E115" i="16"/>
  <c r="P11" i="16"/>
  <c r="W11" i="16" s="1"/>
  <c r="M15" i="16"/>
  <c r="L11" i="16"/>
  <c r="AB14" i="16"/>
  <c r="AD14" i="16" s="1"/>
  <c r="G113" i="16" s="1"/>
  <c r="Z14" i="16"/>
  <c r="AA14" i="16"/>
  <c r="AC14" i="16" s="1"/>
  <c r="F113" i="16" s="1"/>
  <c r="O14" i="16"/>
  <c r="V14" i="16" s="1"/>
  <c r="P14" i="16"/>
  <c r="W14" i="16" s="1"/>
  <c r="L12" i="16"/>
  <c r="AO21" i="16"/>
  <c r="AQ21" i="16" s="1"/>
  <c r="AG19" i="16"/>
  <c r="AP13" i="16"/>
  <c r="AR13" i="16" s="1"/>
  <c r="AN21" i="16"/>
  <c r="Z10" i="16"/>
  <c r="AG22" i="16"/>
  <c r="AR32" i="16"/>
  <c r="AO33" i="16"/>
  <c r="AG33" i="16"/>
  <c r="AO26" i="16"/>
  <c r="AQ26" i="16" s="1"/>
  <c r="Z26" i="16"/>
  <c r="AB10" i="16"/>
  <c r="AD10" i="16" s="1"/>
  <c r="G109" i="16" s="1"/>
  <c r="AI12" i="16"/>
  <c r="AK12" i="16" s="1"/>
  <c r="O111" i="16" s="1"/>
  <c r="AD17" i="16"/>
  <c r="G116" i="16" s="1"/>
  <c r="AI19" i="16"/>
  <c r="AK19" i="16" s="1"/>
  <c r="O118" i="16" s="1"/>
  <c r="AB22" i="16"/>
  <c r="AD22" i="16" s="1"/>
  <c r="G121" i="16" s="1"/>
  <c r="AK32" i="16"/>
  <c r="AN26" i="16"/>
  <c r="N12" i="16"/>
  <c r="U12" i="16" s="1"/>
  <c r="W10" i="16"/>
  <c r="G34" i="16"/>
  <c r="AG21" i="16"/>
  <c r="AR18" i="16"/>
  <c r="AP16" i="16"/>
  <c r="AR16" i="16" s="1"/>
  <c r="AN13" i="16"/>
  <c r="Z21" i="16"/>
  <c r="AN22" i="16"/>
  <c r="E84" i="24"/>
  <c r="AA33" i="16"/>
  <c r="AB33" i="16"/>
  <c r="AG26" i="16"/>
  <c r="AR26" i="16"/>
  <c r="AA26" i="16"/>
  <c r="AC26" i="16" s="1"/>
  <c r="AP25" i="16"/>
  <c r="AR25" i="16" s="1"/>
  <c r="AC12" i="16"/>
  <c r="F111" i="16" s="1"/>
  <c r="AA13" i="16"/>
  <c r="AC13" i="16" s="1"/>
  <c r="F112" i="16" s="1"/>
  <c r="AA18" i="16"/>
  <c r="AC18" i="16" s="1"/>
  <c r="F117" i="16" s="1"/>
  <c r="AC21" i="16"/>
  <c r="F120" i="16" s="1"/>
  <c r="Z13" i="16"/>
  <c r="K15" i="16"/>
  <c r="G15" i="16"/>
  <c r="E34" i="16"/>
  <c r="AP20" i="16"/>
  <c r="AR20" i="16" s="1"/>
  <c r="AG12" i="16"/>
  <c r="AO20" i="16"/>
  <c r="AQ20" i="16" s="1"/>
  <c r="AG18" i="16"/>
  <c r="AP12" i="16"/>
  <c r="AR12" i="16" s="1"/>
  <c r="AN12" i="16"/>
  <c r="AO22" i="16"/>
  <c r="AQ22" i="16" s="1"/>
  <c r="Z22" i="16"/>
  <c r="AR33" i="16"/>
  <c r="T32" i="16"/>
  <c r="AH18" i="16"/>
  <c r="AJ18" i="16" s="1"/>
  <c r="N117" i="16" s="1"/>
  <c r="E83" i="24"/>
  <c r="Z18" i="16"/>
  <c r="Z12" i="16"/>
  <c r="N13" i="12"/>
  <c r="U13" i="12" s="1"/>
  <c r="R13" i="12"/>
  <c r="C140" i="24"/>
  <c r="AI26" i="12"/>
  <c r="AK26" i="12" s="1"/>
  <c r="O90" i="12" s="1"/>
  <c r="AH26" i="12"/>
  <c r="AJ26" i="12" s="1"/>
  <c r="N90" i="12" s="1"/>
  <c r="AA26" i="12"/>
  <c r="AC26" i="12" s="1"/>
  <c r="F90" i="12" s="1"/>
  <c r="AB26" i="12"/>
  <c r="AD26" i="12" s="1"/>
  <c r="G90" i="12" s="1"/>
  <c r="T9" i="12"/>
  <c r="L17" i="12"/>
  <c r="Z21" i="12"/>
  <c r="AA25" i="12"/>
  <c r="AC25" i="12" s="1"/>
  <c r="F89" i="12" s="1"/>
  <c r="AB25" i="12"/>
  <c r="AD25" i="12" s="1"/>
  <c r="G89" i="12" s="1"/>
  <c r="K82" i="12"/>
  <c r="P9" i="12"/>
  <c r="R12" i="12"/>
  <c r="L12" i="12"/>
  <c r="C76" i="12"/>
  <c r="AG20" i="12"/>
  <c r="AH20" i="12"/>
  <c r="AJ20" i="12" s="1"/>
  <c r="N84" i="12" s="1"/>
  <c r="AA19" i="12"/>
  <c r="AC19" i="12" s="1"/>
  <c r="F83" i="12" s="1"/>
  <c r="AO17" i="12"/>
  <c r="AQ17" i="12" s="1"/>
  <c r="AH16" i="12"/>
  <c r="AJ16" i="12" s="1"/>
  <c r="N80" i="12" s="1"/>
  <c r="AI16" i="12"/>
  <c r="AK16" i="12" s="1"/>
  <c r="O80" i="12" s="1"/>
  <c r="AA14" i="12"/>
  <c r="AC14" i="12" s="1"/>
  <c r="F79" i="12" s="1"/>
  <c r="AB14" i="12"/>
  <c r="AD14" i="12" s="1"/>
  <c r="G79" i="12" s="1"/>
  <c r="AN12" i="12"/>
  <c r="AP12" i="12"/>
  <c r="AR12" i="12" s="1"/>
  <c r="AG11" i="12"/>
  <c r="AH11" i="12"/>
  <c r="AJ11" i="12" s="1"/>
  <c r="N76" i="12" s="1"/>
  <c r="AI11" i="12"/>
  <c r="AK11" i="12" s="1"/>
  <c r="O76" i="12" s="1"/>
  <c r="Z10" i="12"/>
  <c r="AB10" i="12"/>
  <c r="AD10" i="12" s="1"/>
  <c r="G75" i="12" s="1"/>
  <c r="AA10" i="12"/>
  <c r="AC10" i="12" s="1"/>
  <c r="F75" i="12" s="1"/>
  <c r="Z25" i="12"/>
  <c r="AH25" i="12"/>
  <c r="AJ25" i="12" s="1"/>
  <c r="N89" i="12" s="1"/>
  <c r="K15" i="12"/>
  <c r="P13" i="12"/>
  <c r="W13" i="12" s="1"/>
  <c r="L13" i="12"/>
  <c r="K74" i="12"/>
  <c r="P16" i="12"/>
  <c r="W16" i="12" s="1"/>
  <c r="J35" i="24"/>
  <c r="L16" i="12"/>
  <c r="AN17" i="12"/>
  <c r="AP17" i="12"/>
  <c r="AR17" i="12" s="1"/>
  <c r="Z19" i="12"/>
  <c r="AA21" i="12"/>
  <c r="AC21" i="12" s="1"/>
  <c r="F85" i="12" s="1"/>
  <c r="Z26" i="12"/>
  <c r="AG25" i="12"/>
  <c r="L26" i="12"/>
  <c r="I45" i="24" s="1"/>
  <c r="N26" i="12"/>
  <c r="U26" i="12" s="1"/>
  <c r="Z20" i="12"/>
  <c r="AB20" i="12"/>
  <c r="AD20" i="12" s="1"/>
  <c r="G84" i="12" s="1"/>
  <c r="AH17" i="12"/>
  <c r="AJ17" i="12" s="1"/>
  <c r="N81" i="12" s="1"/>
  <c r="AB16" i="12"/>
  <c r="AD16" i="12" s="1"/>
  <c r="G80" i="12" s="1"/>
  <c r="AA16" i="12"/>
  <c r="AC16" i="12" s="1"/>
  <c r="F80" i="12" s="1"/>
  <c r="AN13" i="12"/>
  <c r="AI12" i="12"/>
  <c r="AK12" i="12" s="1"/>
  <c r="O77" i="12" s="1"/>
  <c r="AG12" i="12"/>
  <c r="R11" i="12"/>
  <c r="C75" i="12"/>
  <c r="E15" i="12"/>
  <c r="AH13" i="12"/>
  <c r="AJ13" i="12" s="1"/>
  <c r="N78" i="12" s="1"/>
  <c r="AP19" i="12"/>
  <c r="AR19" i="12" s="1"/>
  <c r="AH18" i="12"/>
  <c r="AJ18" i="12" s="1"/>
  <c r="N82" i="12" s="1"/>
  <c r="Z17" i="12"/>
  <c r="AI13" i="12"/>
  <c r="AK13" i="12" s="1"/>
  <c r="O78" i="12" s="1"/>
  <c r="AN10" i="12"/>
  <c r="AD28" i="12"/>
  <c r="G92" i="12" s="1"/>
  <c r="AO21" i="12"/>
  <c r="AQ21" i="12" s="1"/>
  <c r="I46" i="24"/>
  <c r="AI18" i="12"/>
  <c r="AK18" i="12" s="1"/>
  <c r="O82" i="12" s="1"/>
  <c r="AN19" i="12"/>
  <c r="AI21" i="12"/>
  <c r="AK21" i="12" s="1"/>
  <c r="O85" i="12" s="1"/>
  <c r="L25" i="12"/>
  <c r="I44" i="24" s="1"/>
  <c r="K15" i="13"/>
  <c r="AH26" i="13"/>
  <c r="AJ26" i="13" s="1"/>
  <c r="AG26" i="13"/>
  <c r="AB14" i="13"/>
  <c r="AD14" i="13" s="1"/>
  <c r="G113" i="13" s="1"/>
  <c r="AA14" i="13"/>
  <c r="AC14" i="13" s="1"/>
  <c r="F113" i="13" s="1"/>
  <c r="F11" i="13"/>
  <c r="L9" i="13"/>
  <c r="N9" i="13"/>
  <c r="AG14" i="13"/>
  <c r="AP21" i="13"/>
  <c r="AR21" i="13" s="1"/>
  <c r="AO18" i="13"/>
  <c r="AQ18" i="13" s="1"/>
  <c r="AN14" i="13"/>
  <c r="AH27" i="13"/>
  <c r="AJ27" i="13" s="1"/>
  <c r="R26" i="13"/>
  <c r="AO32" i="13"/>
  <c r="AP32" i="13"/>
  <c r="AQ32" i="13"/>
  <c r="AR32" i="13"/>
  <c r="AG27" i="13"/>
  <c r="AA11" i="13"/>
  <c r="AC11" i="13" s="1"/>
  <c r="F110" i="13" s="1"/>
  <c r="AI11" i="13"/>
  <c r="AK11" i="13" s="1"/>
  <c r="O110" i="13" s="1"/>
  <c r="AH11" i="13"/>
  <c r="AJ11" i="13" s="1"/>
  <c r="N110" i="13" s="1"/>
  <c r="AG11" i="13"/>
  <c r="L10" i="13"/>
  <c r="F12" i="13"/>
  <c r="K111" i="13" s="1"/>
  <c r="AI20" i="13"/>
  <c r="AK20" i="13" s="1"/>
  <c r="R10" i="13"/>
  <c r="AP18" i="13"/>
  <c r="AR18" i="13" s="1"/>
  <c r="AH14" i="13"/>
  <c r="AJ14" i="13" s="1"/>
  <c r="N113" i="13" s="1"/>
  <c r="C110" i="13"/>
  <c r="E110" i="13" s="1"/>
  <c r="E15" i="13"/>
  <c r="P20" i="13"/>
  <c r="J18" i="24"/>
  <c r="L20" i="13"/>
  <c r="AO11" i="13"/>
  <c r="AQ11" i="13" s="1"/>
  <c r="AO20" i="13"/>
  <c r="AQ20" i="13" s="1"/>
  <c r="AN20" i="13"/>
  <c r="T9" i="13"/>
  <c r="J17" i="24"/>
  <c r="L19" i="13"/>
  <c r="AP20" i="13"/>
  <c r="AR20" i="13" s="1"/>
  <c r="AN10" i="13"/>
  <c r="AQ22" i="13"/>
  <c r="AA26" i="13"/>
  <c r="AC26" i="13" s="1"/>
  <c r="AB22" i="13"/>
  <c r="AD22" i="13" s="1"/>
  <c r="J7" i="24"/>
  <c r="L13" i="13"/>
  <c r="P13" i="13"/>
  <c r="W13" i="13" s="1"/>
  <c r="H17" i="24"/>
  <c r="AO17" i="13"/>
  <c r="AQ17" i="13" s="1"/>
  <c r="AP13" i="13"/>
  <c r="AR13" i="13" s="1"/>
  <c r="AP17" i="13"/>
  <c r="AR17" i="13" s="1"/>
  <c r="AP27" i="13"/>
  <c r="AR27" i="13" s="1"/>
  <c r="AK32" i="13"/>
  <c r="AG32" i="13"/>
  <c r="AH32" i="13"/>
  <c r="Z27" i="13"/>
  <c r="AB27" i="13"/>
  <c r="AD27" i="13" s="1"/>
  <c r="F13" i="13"/>
  <c r="K112" i="13" s="1"/>
  <c r="C112" i="13"/>
  <c r="E112" i="13" s="1"/>
  <c r="AI17" i="13"/>
  <c r="AK17" i="13" s="1"/>
  <c r="AH17" i="13"/>
  <c r="AJ17" i="13" s="1"/>
  <c r="Z19" i="13"/>
  <c r="AB19" i="13"/>
  <c r="AD19" i="13" s="1"/>
  <c r="AB20" i="13"/>
  <c r="AD20" i="13" s="1"/>
  <c r="AA20" i="13"/>
  <c r="AC20" i="13" s="1"/>
  <c r="AA22" i="13"/>
  <c r="AC22" i="13" s="1"/>
  <c r="J10" i="24"/>
  <c r="L12" i="13"/>
  <c r="T12" i="13"/>
  <c r="AI19" i="13"/>
  <c r="AK19" i="13" s="1"/>
  <c r="AH20" i="13"/>
  <c r="AJ20" i="13" s="1"/>
  <c r="AG19" i="13"/>
  <c r="AP26" i="13"/>
  <c r="AR26" i="13" s="1"/>
  <c r="AN26" i="13"/>
  <c r="AH25" i="13"/>
  <c r="AJ25" i="13" s="1"/>
  <c r="AG25" i="13"/>
  <c r="Z12" i="13"/>
  <c r="AC12" i="13"/>
  <c r="F111" i="13" s="1"/>
  <c r="AH19" i="13"/>
  <c r="AJ19" i="13" s="1"/>
  <c r="P9" i="13"/>
  <c r="M15" i="13"/>
  <c r="N20" i="13"/>
  <c r="AN18" i="13"/>
  <c r="AO14" i="13"/>
  <c r="AQ14" i="13" s="1"/>
  <c r="AP14" i="13"/>
  <c r="AR14" i="13" s="1"/>
  <c r="AP16" i="13"/>
  <c r="AR16" i="13" s="1"/>
  <c r="AI25" i="13"/>
  <c r="AK25" i="13" s="1"/>
  <c r="AN27" i="13"/>
  <c r="R11" i="13"/>
  <c r="P12" i="13"/>
  <c r="W12" i="13" s="1"/>
  <c r="N10" i="13"/>
  <c r="U10" i="13" s="1"/>
  <c r="T19" i="13"/>
  <c r="AG20" i="13"/>
  <c r="AQ12" i="13"/>
  <c r="AO13" i="13"/>
  <c r="AQ13" i="13" s="1"/>
  <c r="AN13" i="13"/>
  <c r="Z26" i="13"/>
  <c r="F26" i="13"/>
  <c r="AB12" i="13"/>
  <c r="AD12" i="13" s="1"/>
  <c r="G111" i="13" s="1"/>
  <c r="AI12" i="13"/>
  <c r="AK12" i="13" s="1"/>
  <c r="O111" i="13" s="1"/>
  <c r="G18" i="24"/>
  <c r="AG18" i="13"/>
  <c r="AH18" i="13"/>
  <c r="AJ18" i="13" s="1"/>
  <c r="AA21" i="13"/>
  <c r="AC21" i="13" s="1"/>
  <c r="AA13" i="13"/>
  <c r="AC13" i="13" s="1"/>
  <c r="F112" i="13" s="1"/>
  <c r="AA16" i="13"/>
  <c r="AC16" i="13" s="1"/>
  <c r="AH21" i="13"/>
  <c r="AJ21" i="13" s="1"/>
  <c r="M19" i="27"/>
  <c r="Q23" i="27"/>
  <c r="M16" i="27"/>
  <c r="N19" i="15"/>
  <c r="N21" i="15"/>
  <c r="U21" i="15" s="1"/>
  <c r="H82" i="24"/>
  <c r="P16" i="16"/>
  <c r="W16" i="16" s="1"/>
  <c r="N19" i="16"/>
  <c r="T16" i="16"/>
  <c r="R22" i="16"/>
  <c r="L18" i="16"/>
  <c r="O18" i="16" s="1"/>
  <c r="V18" i="16" s="1"/>
  <c r="R21" i="16"/>
  <c r="N22" i="16"/>
  <c r="N20" i="16"/>
  <c r="U20" i="16" s="1"/>
  <c r="R19" i="16"/>
  <c r="H81" i="24"/>
  <c r="L21" i="16"/>
  <c r="I83" i="24" s="1"/>
  <c r="P25" i="16"/>
  <c r="W25" i="16" s="1"/>
  <c r="T50" i="16"/>
  <c r="T52" i="16"/>
  <c r="N56" i="16"/>
  <c r="U56" i="16" s="1"/>
  <c r="R58" i="16"/>
  <c r="R49" i="16"/>
  <c r="L49" i="16"/>
  <c r="S49" i="16" s="1"/>
  <c r="P55" i="16"/>
  <c r="W55" i="16" s="1"/>
  <c r="P54" i="16"/>
  <c r="W54" i="16" s="1"/>
  <c r="L56" i="16"/>
  <c r="N49" i="16"/>
  <c r="N51" i="16"/>
  <c r="U51" i="16" s="1"/>
  <c r="Q20" i="27"/>
  <c r="M21" i="27"/>
  <c r="T21" i="14"/>
  <c r="H103" i="24"/>
  <c r="F140" i="24" s="1"/>
  <c r="Q16" i="14"/>
  <c r="Q21" i="14"/>
  <c r="H99" i="24"/>
  <c r="M24" i="14"/>
  <c r="T24" i="14" s="1"/>
  <c r="R52" i="16"/>
  <c r="R53" i="16"/>
  <c r="L50" i="16"/>
  <c r="L51" i="16"/>
  <c r="N52" i="16"/>
  <c r="U52" i="16" s="1"/>
  <c r="N54" i="16"/>
  <c r="U54" i="16" s="1"/>
  <c r="L55" i="16"/>
  <c r="P58" i="16"/>
  <c r="W58" i="16" s="1"/>
  <c r="N50" i="16"/>
  <c r="U50" i="16" s="1"/>
  <c r="P52" i="16"/>
  <c r="W52" i="16" s="1"/>
  <c r="L54" i="16"/>
  <c r="R55" i="16"/>
  <c r="R50" i="16"/>
  <c r="L52" i="16"/>
  <c r="L53" i="16"/>
  <c r="U21" i="16"/>
  <c r="R17" i="16"/>
  <c r="R16" i="16"/>
  <c r="T18" i="16"/>
  <c r="L17" i="16"/>
  <c r="L22" i="16"/>
  <c r="P24" i="16"/>
  <c r="W24" i="16" s="1"/>
  <c r="L16" i="16"/>
  <c r="N16" i="16"/>
  <c r="R18" i="16"/>
  <c r="P19" i="16"/>
  <c r="W19" i="16" s="1"/>
  <c r="P20" i="16"/>
  <c r="T23" i="16"/>
  <c r="L23" i="16"/>
  <c r="P21" i="16"/>
  <c r="W21" i="16" s="1"/>
  <c r="N24" i="16"/>
  <c r="U24" i="16" s="1"/>
  <c r="L24" i="16"/>
  <c r="N18" i="16"/>
  <c r="U18" i="16" s="1"/>
  <c r="L19" i="16"/>
  <c r="T21" i="16"/>
  <c r="R24" i="16"/>
  <c r="T19" i="16"/>
  <c r="L33" i="16"/>
  <c r="L26" i="16"/>
  <c r="I88" i="24" s="1"/>
  <c r="P26" i="16"/>
  <c r="W26" i="16" s="1"/>
  <c r="P59" i="16"/>
  <c r="W59" i="16" s="1"/>
  <c r="L65" i="16"/>
  <c r="R65" i="16"/>
  <c r="L59" i="16"/>
  <c r="AH67" i="16"/>
  <c r="AJ67" i="16" s="1"/>
  <c r="L58" i="16"/>
  <c r="AB58" i="16"/>
  <c r="AD58" i="16" s="1"/>
  <c r="Z58" i="16"/>
  <c r="Y67" i="16"/>
  <c r="AA67" i="16" s="1"/>
  <c r="N24" i="15"/>
  <c r="U24" i="15" s="1"/>
  <c r="N57" i="16"/>
  <c r="K67" i="16"/>
  <c r="L57" i="16"/>
  <c r="P57" i="13"/>
  <c r="W57" i="13" s="1"/>
  <c r="L57" i="13"/>
  <c r="S57" i="13" s="1"/>
  <c r="R57" i="13"/>
  <c r="L25" i="13"/>
  <c r="I23" i="24" s="1"/>
  <c r="R25" i="13"/>
  <c r="Q27" i="27"/>
  <c r="Q26" i="27"/>
  <c r="T54" i="12"/>
  <c r="R55" i="12"/>
  <c r="T25" i="12"/>
  <c r="H107" i="24"/>
  <c r="AB24" i="27"/>
  <c r="Q24" i="27"/>
  <c r="Y24" i="27"/>
  <c r="AB25" i="27"/>
  <c r="AA25" i="27"/>
  <c r="AC25" i="27" s="1"/>
  <c r="Y25" i="27"/>
  <c r="Q25" i="27"/>
  <c r="AO25" i="27"/>
  <c r="AQ25" i="27" s="1"/>
  <c r="AO25" i="15"/>
  <c r="AQ25" i="15" s="1"/>
  <c r="AA25" i="15"/>
  <c r="AC25" i="15" s="1"/>
  <c r="G25" i="15" s="1"/>
  <c r="AP25" i="15"/>
  <c r="AR25" i="15" s="1"/>
  <c r="N25" i="15"/>
  <c r="U25" i="15" s="1"/>
  <c r="AB25" i="15"/>
  <c r="AD25" i="15" s="1"/>
  <c r="H25" i="15" s="1"/>
  <c r="R25" i="16"/>
  <c r="Z25" i="16"/>
  <c r="L25" i="16"/>
  <c r="I87" i="24" s="1"/>
  <c r="AB25" i="16"/>
  <c r="AD25" i="16" s="1"/>
  <c r="AN25" i="16"/>
  <c r="M25" i="14"/>
  <c r="T25" i="14" s="1"/>
  <c r="L57" i="12"/>
  <c r="T56" i="12"/>
  <c r="T57" i="12"/>
  <c r="R58" i="12"/>
  <c r="R56" i="12"/>
  <c r="L55" i="12"/>
  <c r="T55" i="12"/>
  <c r="F15" i="12" l="1"/>
  <c r="T33" i="13"/>
  <c r="F19" i="24"/>
  <c r="M61" i="13"/>
  <c r="F18" i="24"/>
  <c r="AD99" i="13"/>
  <c r="AD92" i="13"/>
  <c r="M111" i="13"/>
  <c r="S43" i="13"/>
  <c r="T47" i="13"/>
  <c r="N68" i="13"/>
  <c r="O14" i="13"/>
  <c r="V14" i="13" s="1"/>
  <c r="O49" i="13"/>
  <c r="V49" i="13" s="1"/>
  <c r="Q32" i="27"/>
  <c r="M33" i="27"/>
  <c r="G57" i="27" s="1"/>
  <c r="C57" i="27" s="1"/>
  <c r="R32" i="15"/>
  <c r="Z35" i="14"/>
  <c r="AB35" i="14" s="1"/>
  <c r="AG35" i="14"/>
  <c r="AI35" i="14" s="1"/>
  <c r="AF35" i="14"/>
  <c r="AN66" i="13"/>
  <c r="T60" i="13"/>
  <c r="AP66" i="13"/>
  <c r="AR66" i="13" s="1"/>
  <c r="AQ66" i="13"/>
  <c r="I22" i="24"/>
  <c r="S52" i="13"/>
  <c r="U66" i="13"/>
  <c r="F17" i="24"/>
  <c r="S24" i="13"/>
  <c r="L66" i="13"/>
  <c r="L60" i="13"/>
  <c r="S60" i="13" s="1"/>
  <c r="D135" i="13"/>
  <c r="T66" i="13"/>
  <c r="R33" i="13"/>
  <c r="C135" i="13"/>
  <c r="Q15" i="27"/>
  <c r="L132" i="24"/>
  <c r="L121" i="24"/>
  <c r="M122" i="16"/>
  <c r="M113" i="16"/>
  <c r="E114" i="16"/>
  <c r="M111" i="16"/>
  <c r="T15" i="16"/>
  <c r="T34" i="16"/>
  <c r="W48" i="16"/>
  <c r="M120" i="16"/>
  <c r="P48" i="16"/>
  <c r="AG67" i="16"/>
  <c r="M116" i="16"/>
  <c r="U15" i="16"/>
  <c r="AN67" i="16"/>
  <c r="AA34" i="16"/>
  <c r="AC34" i="16" s="1"/>
  <c r="R15" i="16"/>
  <c r="M115" i="16"/>
  <c r="T48" i="16"/>
  <c r="O32" i="16"/>
  <c r="V32" i="16" s="1"/>
  <c r="O64" i="16"/>
  <c r="V64" i="16" s="1"/>
  <c r="S13" i="16"/>
  <c r="S20" i="16"/>
  <c r="I82" i="24"/>
  <c r="M117" i="16"/>
  <c r="E91" i="12"/>
  <c r="K79" i="12"/>
  <c r="Q35" i="14"/>
  <c r="Y35" i="14"/>
  <c r="AC35" i="14"/>
  <c r="L111" i="24"/>
  <c r="Q15" i="14"/>
  <c r="M92" i="12"/>
  <c r="F40" i="24"/>
  <c r="S54" i="12"/>
  <c r="AI62" i="12"/>
  <c r="AK62" i="12" s="1"/>
  <c r="AG62" i="12"/>
  <c r="AB32" i="12"/>
  <c r="AD32" i="12" s="1"/>
  <c r="D101" i="12"/>
  <c r="L103" i="12"/>
  <c r="L101" i="12"/>
  <c r="D103" i="12"/>
  <c r="M75" i="12"/>
  <c r="E75" i="12"/>
  <c r="C103" i="12"/>
  <c r="C101" i="12"/>
  <c r="O9" i="12"/>
  <c r="V9" i="12" s="1"/>
  <c r="N67" i="13"/>
  <c r="F24" i="24"/>
  <c r="O48" i="13"/>
  <c r="V48" i="13" s="1"/>
  <c r="N35" i="13"/>
  <c r="U35" i="13" s="1"/>
  <c r="F23" i="24"/>
  <c r="N66" i="13"/>
  <c r="R66" i="13"/>
  <c r="S44" i="13"/>
  <c r="F25" i="24"/>
  <c r="F20" i="24"/>
  <c r="M112" i="13"/>
  <c r="L21" i="24"/>
  <c r="I40" i="24"/>
  <c r="S21" i="12"/>
  <c r="AO32" i="12"/>
  <c r="AQ32" i="12" s="1"/>
  <c r="M80" i="12"/>
  <c r="F45" i="24"/>
  <c r="K90" i="12"/>
  <c r="M90" i="12" s="1"/>
  <c r="K84" i="12"/>
  <c r="M84" i="12" s="1"/>
  <c r="Z32" i="12"/>
  <c r="M78" i="12"/>
  <c r="F44" i="24"/>
  <c r="K89" i="12"/>
  <c r="M89" i="12" s="1"/>
  <c r="M77" i="12"/>
  <c r="F46" i="24"/>
  <c r="K91" i="12"/>
  <c r="M91" i="12" s="1"/>
  <c r="O46" i="12"/>
  <c r="V46" i="12" s="1"/>
  <c r="S11" i="12"/>
  <c r="U15" i="12"/>
  <c r="R62" i="12"/>
  <c r="L42" i="24"/>
  <c r="O10" i="12"/>
  <c r="V10" i="12" s="1"/>
  <c r="L44" i="24"/>
  <c r="M81" i="12"/>
  <c r="N32" i="12"/>
  <c r="S22" i="12"/>
  <c r="S14" i="12"/>
  <c r="E76" i="12"/>
  <c r="I41" i="24"/>
  <c r="AB62" i="12"/>
  <c r="AD62" i="12" s="1"/>
  <c r="M88" i="12"/>
  <c r="U62" i="12"/>
  <c r="O25" i="12"/>
  <c r="V25" i="12" s="1"/>
  <c r="M76" i="12"/>
  <c r="O51" i="12"/>
  <c r="V51" i="12" s="1"/>
  <c r="Z62" i="12"/>
  <c r="AI32" i="12"/>
  <c r="AK32" i="12" s="1"/>
  <c r="S25" i="12"/>
  <c r="O47" i="12"/>
  <c r="V47" i="12" s="1"/>
  <c r="T62" i="12"/>
  <c r="D98" i="12"/>
  <c r="S23" i="12"/>
  <c r="O23" i="12"/>
  <c r="V23" i="12" s="1"/>
  <c r="M74" i="12"/>
  <c r="F32" i="12"/>
  <c r="T32" i="12"/>
  <c r="L25" i="24"/>
  <c r="B147" i="24"/>
  <c r="N33" i="13"/>
  <c r="U33" i="13" s="1"/>
  <c r="M34" i="27"/>
  <c r="G58" i="27" s="1"/>
  <c r="C58" i="27" s="1"/>
  <c r="AP32" i="12"/>
  <c r="AR32" i="12" s="1"/>
  <c r="AN32" i="12"/>
  <c r="U23" i="12"/>
  <c r="O22" i="13"/>
  <c r="V22" i="13" s="1"/>
  <c r="S22" i="13"/>
  <c r="I20" i="24"/>
  <c r="O9" i="16"/>
  <c r="W32" i="12"/>
  <c r="T45" i="12"/>
  <c r="P32" i="13"/>
  <c r="W32" i="13" s="1"/>
  <c r="T32" i="13"/>
  <c r="M32" i="27"/>
  <c r="G56" i="27" s="1"/>
  <c r="C56" i="27" s="1"/>
  <c r="U18" i="12"/>
  <c r="C131" i="13"/>
  <c r="E131" i="13" s="1"/>
  <c r="S54" i="13"/>
  <c r="O54" i="13"/>
  <c r="V54" i="13" s="1"/>
  <c r="S82" i="13"/>
  <c r="S86" i="13" s="1"/>
  <c r="T35" i="14"/>
  <c r="C125" i="16"/>
  <c r="E125" i="16" s="1"/>
  <c r="S56" i="13"/>
  <c r="L130" i="24"/>
  <c r="G141" i="24"/>
  <c r="AA81" i="13"/>
  <c r="AA85" i="13" s="1"/>
  <c r="S81" i="13"/>
  <c r="S85" i="13" s="1"/>
  <c r="T15" i="27"/>
  <c r="M86" i="12"/>
  <c r="C71" i="27"/>
  <c r="G71" i="27" s="1"/>
  <c r="C73" i="27"/>
  <c r="G73" i="27" s="1"/>
  <c r="C72" i="27"/>
  <c r="G72" i="27" s="1"/>
  <c r="AA82" i="13"/>
  <c r="AA86" i="13" s="1"/>
  <c r="U67" i="13"/>
  <c r="W17" i="13"/>
  <c r="P35" i="13"/>
  <c r="P34" i="13"/>
  <c r="P33" i="13"/>
  <c r="S80" i="13"/>
  <c r="S84" i="13" s="1"/>
  <c r="U18" i="13"/>
  <c r="C91" i="13"/>
  <c r="E91" i="13" s="1"/>
  <c r="C90" i="13"/>
  <c r="E90" i="13" s="1"/>
  <c r="C89" i="13"/>
  <c r="E89" i="13" s="1"/>
  <c r="U22" i="12"/>
  <c r="AA80" i="13"/>
  <c r="AA84" i="13" s="1"/>
  <c r="L33" i="13"/>
  <c r="E72" i="27"/>
  <c r="I72" i="27" s="1"/>
  <c r="E73" i="27"/>
  <c r="I73" i="27" s="1"/>
  <c r="E71" i="27"/>
  <c r="I71" i="27" s="1"/>
  <c r="R15" i="15"/>
  <c r="U15" i="15"/>
  <c r="M109" i="16"/>
  <c r="U81" i="13"/>
  <c r="U85" i="13" s="1"/>
  <c r="O44" i="16"/>
  <c r="V44" i="16" s="1"/>
  <c r="S44" i="16"/>
  <c r="S59" i="13"/>
  <c r="D72" i="27"/>
  <c r="H72" i="27" s="1"/>
  <c r="D73" i="27"/>
  <c r="H73" i="27" s="1"/>
  <c r="D71" i="27"/>
  <c r="H71" i="27" s="1"/>
  <c r="M13" i="18"/>
  <c r="T13" i="18" s="1"/>
  <c r="T15" i="18" s="1"/>
  <c r="U82" i="13"/>
  <c r="U86" i="13" s="1"/>
  <c r="L131" i="13"/>
  <c r="F66" i="13"/>
  <c r="O55" i="13"/>
  <c r="V55" i="13" s="1"/>
  <c r="S55" i="13"/>
  <c r="S58" i="12"/>
  <c r="U13" i="18"/>
  <c r="U15" i="18" s="1"/>
  <c r="U80" i="13"/>
  <c r="U84" i="13" s="1"/>
  <c r="B146" i="24"/>
  <c r="L24" i="24"/>
  <c r="F82" i="24"/>
  <c r="U22" i="13"/>
  <c r="Y80" i="13"/>
  <c r="Y84" i="13" s="1"/>
  <c r="Y82" i="13"/>
  <c r="Y86" i="13" s="1"/>
  <c r="Y81" i="13"/>
  <c r="Y85" i="13" s="1"/>
  <c r="R48" i="16"/>
  <c r="N34" i="13"/>
  <c r="U34" i="13" s="1"/>
  <c r="U22" i="16"/>
  <c r="N34" i="16"/>
  <c r="U34" i="16" s="1"/>
  <c r="N36" i="16"/>
  <c r="U36" i="16" s="1"/>
  <c r="N35" i="16"/>
  <c r="U35" i="16" s="1"/>
  <c r="O57" i="13"/>
  <c r="V57" i="13" s="1"/>
  <c r="O26" i="13"/>
  <c r="V26" i="13" s="1"/>
  <c r="I24" i="24"/>
  <c r="B145" i="24"/>
  <c r="L23" i="24"/>
  <c r="O76" i="13"/>
  <c r="G142" i="24"/>
  <c r="G150" i="24" s="1"/>
  <c r="G151" i="24" s="1"/>
  <c r="L131" i="24"/>
  <c r="F33" i="13"/>
  <c r="F21" i="24"/>
  <c r="T32" i="18"/>
  <c r="L16" i="24"/>
  <c r="L86" i="24"/>
  <c r="S32" i="18"/>
  <c r="D143" i="24"/>
  <c r="J61" i="18"/>
  <c r="J62" i="18"/>
  <c r="L60" i="24"/>
  <c r="J60" i="18"/>
  <c r="N62" i="12"/>
  <c r="M79" i="12"/>
  <c r="T15" i="12"/>
  <c r="L98" i="12"/>
  <c r="C146" i="24"/>
  <c r="L45" i="24"/>
  <c r="L41" i="24"/>
  <c r="M82" i="12"/>
  <c r="N15" i="12"/>
  <c r="L40" i="24"/>
  <c r="L76" i="24"/>
  <c r="N71" i="24" s="1"/>
  <c r="E145" i="24"/>
  <c r="L87" i="24"/>
  <c r="E146" i="24"/>
  <c r="L88" i="24"/>
  <c r="O10" i="16"/>
  <c r="V10" i="16" s="1"/>
  <c r="L15" i="16"/>
  <c r="M112" i="16"/>
  <c r="S10" i="16"/>
  <c r="S32" i="16"/>
  <c r="AB34" i="16"/>
  <c r="AD34" i="16" s="1"/>
  <c r="F143" i="24"/>
  <c r="L110" i="24"/>
  <c r="F142" i="24"/>
  <c r="L109" i="24"/>
  <c r="L108" i="24"/>
  <c r="O27" i="13"/>
  <c r="V27" i="13" s="1"/>
  <c r="S27" i="13"/>
  <c r="L38" i="24"/>
  <c r="L39" i="24"/>
  <c r="L37" i="24"/>
  <c r="L43" i="24"/>
  <c r="C144" i="24"/>
  <c r="AO67" i="16"/>
  <c r="AQ67" i="16" s="1"/>
  <c r="AK67" i="16"/>
  <c r="O56" i="12"/>
  <c r="V56" i="12" s="1"/>
  <c r="L126" i="24"/>
  <c r="L58" i="24"/>
  <c r="D138" i="24"/>
  <c r="U16" i="16"/>
  <c r="L15" i="12"/>
  <c r="F34" i="16"/>
  <c r="AP34" i="16"/>
  <c r="AR34" i="16" s="1"/>
  <c r="AO34" i="16"/>
  <c r="AQ34" i="16" s="1"/>
  <c r="AN34" i="16"/>
  <c r="O52" i="12"/>
  <c r="V52" i="12" s="1"/>
  <c r="S52" i="12"/>
  <c r="L36" i="24"/>
  <c r="I39" i="24"/>
  <c r="O20" i="12"/>
  <c r="L32" i="12"/>
  <c r="S20" i="12"/>
  <c r="N48" i="16"/>
  <c r="U42" i="16"/>
  <c r="U48" i="16" s="1"/>
  <c r="L122" i="24"/>
  <c r="L119" i="24"/>
  <c r="L124" i="24"/>
  <c r="O51" i="13"/>
  <c r="V51" i="13" s="1"/>
  <c r="S51" i="13"/>
  <c r="K121" i="16"/>
  <c r="M121" i="16" s="1"/>
  <c r="F84" i="24"/>
  <c r="O18" i="13"/>
  <c r="V18" i="13" s="1"/>
  <c r="S18" i="13"/>
  <c r="W67" i="16"/>
  <c r="L125" i="24"/>
  <c r="S26" i="13"/>
  <c r="O18" i="12"/>
  <c r="V18" i="12" s="1"/>
  <c r="F83" i="24"/>
  <c r="O23" i="13"/>
  <c r="I21" i="24"/>
  <c r="S23" i="13"/>
  <c r="R32" i="18"/>
  <c r="U19" i="12"/>
  <c r="L47" i="13"/>
  <c r="O42" i="13"/>
  <c r="S42" i="13"/>
  <c r="O21" i="16"/>
  <c r="V21" i="16" s="1"/>
  <c r="O49" i="16"/>
  <c r="V49" i="16" s="1"/>
  <c r="S18" i="12"/>
  <c r="T66" i="16"/>
  <c r="P66" i="16"/>
  <c r="W66" i="16" s="1"/>
  <c r="L66" i="16"/>
  <c r="U32" i="18"/>
  <c r="L59" i="24"/>
  <c r="D139" i="24"/>
  <c r="R32" i="12"/>
  <c r="O45" i="16"/>
  <c r="V45" i="16" s="1"/>
  <c r="S45" i="16"/>
  <c r="R47" i="13"/>
  <c r="S46" i="13"/>
  <c r="O46" i="13"/>
  <c r="V46" i="13" s="1"/>
  <c r="U17" i="18"/>
  <c r="M17" i="18"/>
  <c r="S17" i="13"/>
  <c r="O17" i="13"/>
  <c r="V17" i="13" s="1"/>
  <c r="I38" i="24"/>
  <c r="S19" i="12"/>
  <c r="O19" i="12"/>
  <c r="V19" i="12" s="1"/>
  <c r="O50" i="12"/>
  <c r="L62" i="12"/>
  <c r="S50" i="12"/>
  <c r="S45" i="13"/>
  <c r="O45" i="13"/>
  <c r="V45" i="13" s="1"/>
  <c r="R15" i="12"/>
  <c r="L123" i="24"/>
  <c r="R15" i="13"/>
  <c r="L119" i="16"/>
  <c r="M119" i="16" s="1"/>
  <c r="F67" i="16"/>
  <c r="F22" i="24"/>
  <c r="AA32" i="27"/>
  <c r="AC32" i="27" s="1"/>
  <c r="Y32" i="27"/>
  <c r="Z32" i="27"/>
  <c r="AB32" i="27" s="1"/>
  <c r="P32" i="12"/>
  <c r="F62" i="12"/>
  <c r="L19" i="24"/>
  <c r="O48" i="12"/>
  <c r="V48" i="12" s="1"/>
  <c r="S48" i="12"/>
  <c r="S49" i="12"/>
  <c r="O49" i="12"/>
  <c r="V49" i="12" s="1"/>
  <c r="F45" i="12"/>
  <c r="T67" i="13"/>
  <c r="S18" i="16"/>
  <c r="T16" i="27"/>
  <c r="N16" i="27"/>
  <c r="O16" i="27"/>
  <c r="K7" i="24"/>
  <c r="L113" i="13"/>
  <c r="M113" i="13" s="1"/>
  <c r="F67" i="13"/>
  <c r="S58" i="13"/>
  <c r="O58" i="13"/>
  <c r="V58" i="13" s="1"/>
  <c r="AN62" i="12"/>
  <c r="AO62" i="12"/>
  <c r="AQ62" i="12" s="1"/>
  <c r="AO32" i="27"/>
  <c r="AQ32" i="27" s="1"/>
  <c r="AM32" i="27"/>
  <c r="AN32" i="27"/>
  <c r="AP32" i="27" s="1"/>
  <c r="O32" i="13"/>
  <c r="V32" i="13" s="1"/>
  <c r="S32" i="13"/>
  <c r="Z32" i="18"/>
  <c r="AB32" i="18"/>
  <c r="AD32" i="18" s="1"/>
  <c r="AA32" i="18"/>
  <c r="AC32" i="18" s="1"/>
  <c r="S43" i="16"/>
  <c r="O43" i="16"/>
  <c r="V43" i="16" s="1"/>
  <c r="T16" i="18"/>
  <c r="P16" i="18"/>
  <c r="W16" i="18" s="1"/>
  <c r="J56" i="24"/>
  <c r="O50" i="13"/>
  <c r="V50" i="13" s="1"/>
  <c r="S50" i="13"/>
  <c r="M85" i="12"/>
  <c r="L67" i="13"/>
  <c r="U42" i="13"/>
  <c r="U47" i="13" s="1"/>
  <c r="N47" i="13"/>
  <c r="W42" i="13"/>
  <c r="W47" i="13" s="1"/>
  <c r="P47" i="13"/>
  <c r="W50" i="13"/>
  <c r="W67" i="13" s="1"/>
  <c r="P67" i="13"/>
  <c r="I17" i="18"/>
  <c r="I18" i="18" s="1"/>
  <c r="U49" i="16"/>
  <c r="N68" i="16"/>
  <c r="N67" i="16"/>
  <c r="N66" i="16"/>
  <c r="U66" i="16" s="1"/>
  <c r="C98" i="12"/>
  <c r="K87" i="12"/>
  <c r="M87" i="12" s="1"/>
  <c r="F42" i="24"/>
  <c r="S24" i="12"/>
  <c r="O24" i="12"/>
  <c r="V24" i="12" s="1"/>
  <c r="I43" i="24"/>
  <c r="AH32" i="12"/>
  <c r="AJ32" i="12" s="1"/>
  <c r="AG32" i="12"/>
  <c r="L22" i="24"/>
  <c r="B144" i="24"/>
  <c r="L20" i="24"/>
  <c r="O53" i="12"/>
  <c r="V53" i="12" s="1"/>
  <c r="S53" i="12"/>
  <c r="P62" i="12"/>
  <c r="W54" i="12"/>
  <c r="W62" i="12" s="1"/>
  <c r="M15" i="27"/>
  <c r="W32" i="18"/>
  <c r="I19" i="24"/>
  <c r="S21" i="13"/>
  <c r="O21" i="13"/>
  <c r="V21" i="13" s="1"/>
  <c r="W52" i="13"/>
  <c r="W66" i="13" s="1"/>
  <c r="P66" i="13"/>
  <c r="N15" i="15"/>
  <c r="W41" i="12"/>
  <c r="W45" i="12" s="1"/>
  <c r="P45" i="12"/>
  <c r="L109" i="13"/>
  <c r="F47" i="13"/>
  <c r="S11" i="13"/>
  <c r="O11" i="13"/>
  <c r="V11" i="13" s="1"/>
  <c r="T21" i="27"/>
  <c r="N21" i="27"/>
  <c r="O21" i="27"/>
  <c r="T19" i="27"/>
  <c r="N19" i="27"/>
  <c r="O19" i="27"/>
  <c r="W15" i="16"/>
  <c r="F48" i="16"/>
  <c r="L114" i="16" s="1"/>
  <c r="D142" i="24"/>
  <c r="L61" i="24"/>
  <c r="L62" i="24"/>
  <c r="M68" i="13"/>
  <c r="K83" i="12"/>
  <c r="M83" i="12" s="1"/>
  <c r="F38" i="24"/>
  <c r="M15" i="14"/>
  <c r="T9" i="14"/>
  <c r="T15" i="14" s="1"/>
  <c r="O53" i="13"/>
  <c r="S53" i="13"/>
  <c r="V20" i="18"/>
  <c r="V32" i="18" s="1"/>
  <c r="O47" i="16"/>
  <c r="V47" i="16" s="1"/>
  <c r="S47" i="16"/>
  <c r="S42" i="16"/>
  <c r="L48" i="16"/>
  <c r="O42" i="16"/>
  <c r="N63" i="12"/>
  <c r="N64" i="12"/>
  <c r="U46" i="12"/>
  <c r="O16" i="13"/>
  <c r="V16" i="13" s="1"/>
  <c r="S16" i="13"/>
  <c r="O46" i="16"/>
  <c r="V46" i="16" s="1"/>
  <c r="S46" i="16"/>
  <c r="O12" i="16"/>
  <c r="V12" i="16" s="1"/>
  <c r="S12" i="16"/>
  <c r="L79" i="24"/>
  <c r="P15" i="16"/>
  <c r="V9" i="16"/>
  <c r="F15" i="16"/>
  <c r="K114" i="16" s="1"/>
  <c r="K108" i="16"/>
  <c r="M108" i="16" s="1"/>
  <c r="O11" i="16"/>
  <c r="V11" i="16" s="1"/>
  <c r="S11" i="16"/>
  <c r="N15" i="16"/>
  <c r="O13" i="12"/>
  <c r="V13" i="12" s="1"/>
  <c r="S13" i="12"/>
  <c r="S26" i="12"/>
  <c r="O26" i="12"/>
  <c r="V26" i="12" s="1"/>
  <c r="O16" i="12"/>
  <c r="V16" i="12" s="1"/>
  <c r="S16" i="12"/>
  <c r="S12" i="12"/>
  <c r="O12" i="12"/>
  <c r="V12" i="12" s="1"/>
  <c r="O17" i="12"/>
  <c r="P15" i="12"/>
  <c r="W9" i="12"/>
  <c r="W15" i="12" s="1"/>
  <c r="C136" i="24"/>
  <c r="C150" i="24" s="1"/>
  <c r="C151" i="24" s="1"/>
  <c r="L35" i="24"/>
  <c r="T15" i="13"/>
  <c r="W20" i="13"/>
  <c r="W33" i="13" s="1"/>
  <c r="L15" i="13"/>
  <c r="O9" i="13"/>
  <c r="S9" i="13"/>
  <c r="I17" i="24"/>
  <c r="O19" i="13"/>
  <c r="V19" i="13" s="1"/>
  <c r="S19" i="13"/>
  <c r="L18" i="24"/>
  <c r="B140" i="24"/>
  <c r="S12" i="13"/>
  <c r="O12" i="13"/>
  <c r="V12" i="13" s="1"/>
  <c r="U20" i="13"/>
  <c r="W9" i="13"/>
  <c r="W15" i="13" s="1"/>
  <c r="P15" i="13"/>
  <c r="S10" i="13"/>
  <c r="O10" i="13"/>
  <c r="V10" i="13" s="1"/>
  <c r="O13" i="13"/>
  <c r="V13" i="13" s="1"/>
  <c r="S13" i="13"/>
  <c r="U9" i="13"/>
  <c r="U15" i="13" s="1"/>
  <c r="N15" i="13"/>
  <c r="L17" i="24"/>
  <c r="L14" i="24"/>
  <c r="L15" i="24"/>
  <c r="B139" i="24"/>
  <c r="O20" i="13"/>
  <c r="I18" i="24"/>
  <c r="S20" i="13"/>
  <c r="K110" i="13"/>
  <c r="M110" i="13" s="1"/>
  <c r="F15" i="13"/>
  <c r="L128" i="24"/>
  <c r="L127" i="24"/>
  <c r="U19" i="15"/>
  <c r="U32" i="15" s="1"/>
  <c r="N32" i="15"/>
  <c r="L78" i="24"/>
  <c r="S21" i="16"/>
  <c r="L34" i="16"/>
  <c r="U19" i="16"/>
  <c r="R34" i="16"/>
  <c r="P67" i="16"/>
  <c r="R67" i="16"/>
  <c r="O56" i="16"/>
  <c r="V56" i="16" s="1"/>
  <c r="S56" i="16"/>
  <c r="L105" i="24"/>
  <c r="L106" i="24"/>
  <c r="L99" i="24"/>
  <c r="L103" i="24"/>
  <c r="F136" i="24"/>
  <c r="L100" i="24"/>
  <c r="L101" i="24"/>
  <c r="L102" i="24"/>
  <c r="L104" i="24"/>
  <c r="M35" i="14"/>
  <c r="S53" i="16"/>
  <c r="O53" i="16"/>
  <c r="V53" i="16" s="1"/>
  <c r="S54" i="16"/>
  <c r="O54" i="16"/>
  <c r="V54" i="16" s="1"/>
  <c r="S52" i="16"/>
  <c r="O52" i="16"/>
  <c r="V52" i="16" s="1"/>
  <c r="O51" i="16"/>
  <c r="V51" i="16" s="1"/>
  <c r="S51" i="16"/>
  <c r="O50" i="16"/>
  <c r="V50" i="16" s="1"/>
  <c r="S50" i="16"/>
  <c r="O55" i="16"/>
  <c r="V55" i="16" s="1"/>
  <c r="S55" i="16"/>
  <c r="L85" i="24"/>
  <c r="I81" i="24"/>
  <c r="S19" i="16"/>
  <c r="O19" i="16"/>
  <c r="V19" i="16" s="1"/>
  <c r="I85" i="24"/>
  <c r="S23" i="16"/>
  <c r="O23" i="16"/>
  <c r="V23" i="16" s="1"/>
  <c r="L80" i="24"/>
  <c r="L83" i="24"/>
  <c r="L82" i="24"/>
  <c r="S22" i="16"/>
  <c r="I84" i="24"/>
  <c r="O22" i="16"/>
  <c r="V22" i="16" s="1"/>
  <c r="W20" i="16"/>
  <c r="W34" i="16" s="1"/>
  <c r="P34" i="16"/>
  <c r="L84" i="24"/>
  <c r="S17" i="16"/>
  <c r="O17" i="16"/>
  <c r="V17" i="16" s="1"/>
  <c r="S16" i="16"/>
  <c r="O16" i="16"/>
  <c r="V16" i="16" s="1"/>
  <c r="O24" i="16"/>
  <c r="V24" i="16" s="1"/>
  <c r="I86" i="24"/>
  <c r="S24" i="16"/>
  <c r="L81" i="24"/>
  <c r="S33" i="16"/>
  <c r="O33" i="16"/>
  <c r="V33" i="16" s="1"/>
  <c r="S26" i="16"/>
  <c r="O26" i="16"/>
  <c r="V26" i="16" s="1"/>
  <c r="S65" i="16"/>
  <c r="O65" i="16"/>
  <c r="V65" i="16" s="1"/>
  <c r="S59" i="16"/>
  <c r="O59" i="16"/>
  <c r="V59" i="16" s="1"/>
  <c r="Z67" i="16"/>
  <c r="AC67" i="16"/>
  <c r="S58" i="16"/>
  <c r="O58" i="16"/>
  <c r="V58" i="16" s="1"/>
  <c r="AB67" i="16"/>
  <c r="AD67" i="16" s="1"/>
  <c r="U57" i="16"/>
  <c r="U67" i="16" s="1"/>
  <c r="S57" i="16"/>
  <c r="O57" i="16"/>
  <c r="L67" i="16"/>
  <c r="S25" i="13"/>
  <c r="O25" i="13"/>
  <c r="V25" i="13" s="1"/>
  <c r="F144" i="24"/>
  <c r="L107" i="24"/>
  <c r="O25" i="16"/>
  <c r="V25" i="16" s="1"/>
  <c r="S25" i="16"/>
  <c r="O57" i="12"/>
  <c r="V57" i="12" s="1"/>
  <c r="S57" i="12"/>
  <c r="O55" i="12"/>
  <c r="V55" i="12" s="1"/>
  <c r="S55" i="12"/>
  <c r="L61" i="13" l="1"/>
  <c r="T61" i="13"/>
  <c r="P61" i="13"/>
  <c r="W61" i="13" s="1"/>
  <c r="O60" i="13"/>
  <c r="V60" i="13" s="1"/>
  <c r="P13" i="18"/>
  <c r="P15" i="18" s="1"/>
  <c r="M15" i="18"/>
  <c r="M109" i="13"/>
  <c r="L135" i="13"/>
  <c r="S67" i="13"/>
  <c r="K135" i="13"/>
  <c r="O34" i="27"/>
  <c r="I58" i="27" s="1"/>
  <c r="E58" i="27" s="1"/>
  <c r="N34" i="27"/>
  <c r="H58" i="27" s="1"/>
  <c r="D58" i="27" s="1"/>
  <c r="F150" i="24"/>
  <c r="F151" i="24" s="1"/>
  <c r="H88" i="16"/>
  <c r="K101" i="12"/>
  <c r="K103" i="12"/>
  <c r="S66" i="13"/>
  <c r="K131" i="13"/>
  <c r="M131" i="13" s="1"/>
  <c r="U32" i="12"/>
  <c r="E98" i="12"/>
  <c r="M114" i="16"/>
  <c r="H87" i="16"/>
  <c r="S32" i="12"/>
  <c r="O32" i="27"/>
  <c r="I56" i="27" s="1"/>
  <c r="E56" i="27" s="1"/>
  <c r="O33" i="27"/>
  <c r="I57" i="27" s="1"/>
  <c r="E57" i="27" s="1"/>
  <c r="H86" i="16"/>
  <c r="N32" i="27"/>
  <c r="H56" i="27" s="1"/>
  <c r="D56" i="27" s="1"/>
  <c r="N33" i="27"/>
  <c r="H57" i="27" s="1"/>
  <c r="D57" i="27" s="1"/>
  <c r="V23" i="13"/>
  <c r="O33" i="13"/>
  <c r="P71" i="24"/>
  <c r="K98" i="12"/>
  <c r="M98" i="12" s="1"/>
  <c r="S62" i="12"/>
  <c r="V34" i="16"/>
  <c r="S34" i="16"/>
  <c r="S48" i="16"/>
  <c r="V53" i="13"/>
  <c r="V66" i="13" s="1"/>
  <c r="O66" i="13"/>
  <c r="V50" i="12"/>
  <c r="V62" i="12" s="1"/>
  <c r="O62" i="12"/>
  <c r="S47" i="13"/>
  <c r="S15" i="16"/>
  <c r="S15" i="13"/>
  <c r="D136" i="24"/>
  <c r="O32" i="12"/>
  <c r="V20" i="12"/>
  <c r="V32" i="12" s="1"/>
  <c r="V42" i="13"/>
  <c r="V47" i="13" s="1"/>
  <c r="O47" i="13"/>
  <c r="S33" i="13"/>
  <c r="S15" i="12"/>
  <c r="T32" i="27"/>
  <c r="P114" i="24"/>
  <c r="N114" i="24"/>
  <c r="I19" i="18"/>
  <c r="P17" i="18"/>
  <c r="W17" i="18" s="1"/>
  <c r="J57" i="24"/>
  <c r="T17" i="18"/>
  <c r="L125" i="16"/>
  <c r="O67" i="13"/>
  <c r="S66" i="16"/>
  <c r="O66" i="16"/>
  <c r="V66" i="16" s="1"/>
  <c r="K125" i="16"/>
  <c r="V42" i="16"/>
  <c r="V48" i="16" s="1"/>
  <c r="O48" i="16"/>
  <c r="V67" i="13"/>
  <c r="V15" i="16"/>
  <c r="O15" i="16"/>
  <c r="O15" i="12"/>
  <c r="P28" i="24"/>
  <c r="N28" i="24"/>
  <c r="V15" i="12"/>
  <c r="P7" i="24"/>
  <c r="N7" i="24"/>
  <c r="V20" i="13"/>
  <c r="V9" i="13"/>
  <c r="V15" i="13" s="1"/>
  <c r="O15" i="13"/>
  <c r="B150" i="24"/>
  <c r="B151" i="24" s="1"/>
  <c r="L129" i="24"/>
  <c r="O34" i="16"/>
  <c r="E150" i="24"/>
  <c r="E151" i="24" s="1"/>
  <c r="P92" i="24"/>
  <c r="N92" i="24"/>
  <c r="S67" i="16"/>
  <c r="O67" i="16"/>
  <c r="V57" i="16"/>
  <c r="V67" i="16" s="1"/>
  <c r="S61" i="13" l="1"/>
  <c r="O61" i="13"/>
  <c r="V61" i="13" s="1"/>
  <c r="W13" i="18"/>
  <c r="W15" i="18" s="1"/>
  <c r="V33" i="13"/>
  <c r="M125" i="16"/>
  <c r="L57" i="24"/>
  <c r="D137" i="24"/>
  <c r="D150" i="24" s="1"/>
  <c r="D151" i="24" s="1"/>
  <c r="L56" i="24"/>
  <c r="N49" i="24" l="1"/>
  <c r="P49" i="24"/>
  <c r="R40" i="12" l="1"/>
  <c r="R44" i="12"/>
  <c r="R41" i="12"/>
  <c r="N44" i="12"/>
  <c r="U44" i="12" s="1"/>
  <c r="K45" i="12"/>
  <c r="R42" i="12"/>
  <c r="R39" i="12"/>
  <c r="N40" i="12"/>
  <c r="U40" i="12" s="1"/>
  <c r="L44" i="12"/>
  <c r="O44" i="12" s="1"/>
  <c r="V44" i="12" s="1"/>
  <c r="L40" i="12"/>
  <c r="O40" i="12" s="1"/>
  <c r="V40" i="12" s="1"/>
  <c r="L41" i="12"/>
  <c r="O41" i="12" s="1"/>
  <c r="V41" i="12" s="1"/>
  <c r="N41" i="12"/>
  <c r="U41" i="12" s="1"/>
  <c r="N43" i="12"/>
  <c r="U43" i="12" s="1"/>
  <c r="L43" i="12"/>
  <c r="O43" i="12" s="1"/>
  <c r="V43" i="12" s="1"/>
  <c r="R43" i="12"/>
  <c r="L39" i="12"/>
  <c r="S39" i="12" s="1"/>
  <c r="N39" i="12"/>
  <c r="U39" i="12" s="1"/>
  <c r="L42" i="12"/>
  <c r="S42" i="12" s="1"/>
  <c r="N42" i="12"/>
  <c r="U42" i="12" s="1"/>
  <c r="S41" i="12" l="1"/>
  <c r="R45" i="12"/>
  <c r="O39" i="12"/>
  <c r="V39" i="12" s="1"/>
  <c r="S44" i="12"/>
  <c r="U45" i="12"/>
  <c r="N45" i="12"/>
  <c r="S40" i="12"/>
  <c r="S43" i="12"/>
  <c r="L45" i="12"/>
  <c r="O42" i="12"/>
  <c r="V42" i="12" s="1"/>
  <c r="V45" i="12" s="1"/>
  <c r="S45" i="12" l="1"/>
  <c r="O45" i="12"/>
</calcChain>
</file>

<file path=xl/sharedStrings.xml><?xml version="1.0" encoding="utf-8"?>
<sst xmlns="http://schemas.openxmlformats.org/spreadsheetml/2006/main" count="2144" uniqueCount="411">
  <si>
    <t>Year</t>
  </si>
  <si>
    <t>Number at BON</t>
  </si>
  <si>
    <t>Adults (wild and hatchery) that migrated inriver as juveniles</t>
  </si>
  <si>
    <t>Adults (wild and hatchery) that were transported as juveniles</t>
  </si>
  <si>
    <t>Data Provided by:</t>
  </si>
  <si>
    <t>Note regarding McNary Detection Efficiencies:</t>
  </si>
  <si>
    <t xml:space="preserve">Notes: </t>
  </si>
  <si>
    <t>2. Stray rates for "inriver" migrants were also used for "transported" migrants as a base condition for assessing the effect of transportation on adult conversion.</t>
  </si>
  <si>
    <t xml:space="preserve">Stray rate estimates were summarized by David Klugston (COE) in October 2007 from: </t>
  </si>
  <si>
    <t>M.L. Keefer, C.A. Peery, J. Firehammer, and M.L. Moser.  2005  Straying Rates of known-origin adult Chinook salmon and steelhead within the Columbia River basin, 2000-2003.  Technical Report 2005-5.</t>
  </si>
  <si>
    <t>McNary adult PIT tag detectors became operational in 2002.  However, near 100% detection rates were not achieved until 2003.</t>
  </si>
  <si>
    <t>Unadjusted Conversion Rate</t>
  </si>
  <si>
    <t>Adjusted Conversion Rates</t>
  </si>
  <si>
    <t>BON to MCN (%)</t>
  </si>
  <si>
    <t>BON to LGR (%)</t>
  </si>
  <si>
    <t>PIT Tag Detections at BON and upstream redetections</t>
  </si>
  <si>
    <t>Adj. Conversion Rates</t>
  </si>
  <si>
    <t>Stray Rate</t>
  </si>
  <si>
    <t>SR Spring/Summer Chinook - Conversion Rate Estimates from Bonneville to McNary and Lower Granite Dams</t>
  </si>
  <si>
    <t>Based on PIT tag detections of known origin adults (excluding one-ocean jacks) that migrated inriver or were transported as juveniles.</t>
  </si>
  <si>
    <t>Adjusted conversion rates are calculated as (# at MCN or LGR / # at BON) / ([1-Harvest Rate]*[1-Stray Rate])</t>
  </si>
  <si>
    <t>BON to MCN per Project</t>
  </si>
  <si>
    <t>BON to LGR Per Project</t>
  </si>
  <si>
    <t>Adjustment Estimates</t>
  </si>
  <si>
    <t>Redet.    @ LGR</t>
  </si>
  <si>
    <t>BON to MCN   (3rd root)</t>
  </si>
  <si>
    <t>BON to LGR    (7th root)</t>
  </si>
  <si>
    <t>Redet.   @ MCN*</t>
  </si>
  <si>
    <t>*   McNary detectors became operational in 2002.  However, near 100% detection rates were not achieved until 2003.</t>
  </si>
  <si>
    <t>MCN to LGR (%)</t>
  </si>
  <si>
    <t>Mortality Estimates</t>
  </si>
  <si>
    <t>MCN to LGR Per Project</t>
  </si>
  <si>
    <t>Zone 6 Harvest Rate**</t>
  </si>
  <si>
    <t>BON to MCN</t>
  </si>
  <si>
    <t>BON to LGR</t>
  </si>
  <si>
    <t>SR Spring-Summer Chinook Mortality Estimates</t>
  </si>
  <si>
    <t>Mortality Estimates = (1-Survival)</t>
  </si>
  <si>
    <t xml:space="preserve">**  Assumes that harvest rates are the same for spring and summer Chinook salmon; radio-telemetry studies indicate that reported harvest rate estimates may be lower </t>
  </si>
  <si>
    <t>than actually occur.</t>
  </si>
  <si>
    <t>Adults (w+h) that migrated inriver as juveniles</t>
  </si>
  <si>
    <t>Adults (w+h) that were transported as juveniles</t>
  </si>
  <si>
    <t>The Zone 6 harvest estimate for 2007 was estimated as the average of the 2004-2006 estimates.</t>
  </si>
  <si>
    <t>UCR Spring Chinook - Conversion Rate Estimates from Bonneville to McNary Dams</t>
  </si>
  <si>
    <t>SR Fall Chinook - Conversion Rate Estimates from Bonneville to McNary and Lower Granite Dams</t>
  </si>
  <si>
    <t>SR Fall Chinook Mortality Estimates</t>
  </si>
  <si>
    <t>UCR Spring Chinook Mortality Estimates</t>
  </si>
  <si>
    <t>Avg per Project Mortality Est.</t>
  </si>
  <si>
    <t>3. The Zone 6 harvest estimate for 2007 was estimated as the average of the 2004-2006 estimates.</t>
  </si>
  <si>
    <t>UCR Steelhead - Conversion Rate Estimates from Bonneville to McNary Dams</t>
  </si>
  <si>
    <t>UCR Steelhead Mortality Estimates</t>
  </si>
  <si>
    <t>SR Steelhead - Conversion Rate Estimates from Bonneville to McNary and Lower Granite Dams</t>
  </si>
  <si>
    <t>SR Steelhead Mortality Estimates</t>
  </si>
  <si>
    <t>Adults (hatchery) that migrated inriver as juveniles</t>
  </si>
  <si>
    <t>SR Sockeye</t>
  </si>
  <si>
    <t>SR Sockeye - Conversion Rate Estimates from Bonneville to McNary and Lower Granite Dams</t>
  </si>
  <si>
    <t>SR Sockeye Mortality Estimates</t>
  </si>
  <si>
    <t>Est. of BON to LGR %</t>
  </si>
  <si>
    <t>4. MCN to LGR conversion estimates are calculated indirectly as (BON to LGR # / BON to MCN #)</t>
  </si>
  <si>
    <t>1. Shaded data were not used in the calculation of averages due to small (n&lt;20) sample sizes, low MCN detection efficiencies, or incomplete returns.</t>
  </si>
  <si>
    <t>MCN to LGR     (4th root)</t>
  </si>
  <si>
    <t>2002*</t>
  </si>
  <si>
    <t>Also, there are also some unaccounted losses upstream of McNary Dam - possibly due to harvest of an unknown magnitude.</t>
  </si>
  <si>
    <t>Above MCN Harvest Rate**</t>
  </si>
  <si>
    <t>Additional, unreported but significant harvest, is known to occur between MCN and LGR in some years.</t>
  </si>
  <si>
    <t>Adults (h) that migrated inriver as juveniles</t>
  </si>
  <si>
    <t>NOTE:  Harvest estimate was assumed to be equal to that of A&amp;B-run hatchery SR steelhead.</t>
  </si>
  <si>
    <t>equals .986^3</t>
  </si>
  <si>
    <t>SR Spr-Sum Chinook</t>
  </si>
  <si>
    <t>SR Fall Chinook</t>
  </si>
  <si>
    <t>SR Steelhead</t>
  </si>
  <si>
    <t>UCR Steelhead</t>
  </si>
  <si>
    <t xml:space="preserve"> - Because no sockeye habitat or populations exist downstream of MCN, no stray rate is assumed in this analysis.</t>
  </si>
  <si>
    <t>2002-2007 PIT Tag detections at BON and redetections at MCN and LGR were provided by Charlie Paulsen (BPA Contractor) in January 2008.</t>
  </si>
  <si>
    <t>2002-2007 PIT Tag detections of sockeye salmon at BON and redetections at MCN were provided by Paul Ocher (Corps of Engineers) in Oct. 2008.</t>
  </si>
  <si>
    <t>2002-2007 Harvest rate estimates were provided by Stuart Ellis (CRITFC) - member of the U.S. v Oregon Technical Advisory Committee in Jan 2008.</t>
  </si>
  <si>
    <t>2008 PIT Tag detections at BON and redetections at MCN and LGR were provided by Charlie Paulsen (BPA Contractor) in April 2009.</t>
  </si>
  <si>
    <t>2002-2007</t>
  </si>
  <si>
    <t>2008 Harvest rate estimates were provided by Stuart Ellis (CRITFC) - member of the U.S. v Oregon Technical Advisory Committee in Apr 2009.</t>
  </si>
  <si>
    <t>3 dams</t>
  </si>
  <si>
    <t>Reach</t>
  </si>
  <si>
    <t>average</t>
  </si>
  <si>
    <t>BiOp Avg</t>
  </si>
  <si>
    <t>Biop Avg</t>
  </si>
  <si>
    <t>5.2008 Zone 6 harvest rate was estimated from reported Tribal harvest plus average sport harvest 2002-2007</t>
  </si>
  <si>
    <t>6. 2008 Above MCN Harvest is estimated as the 2002-2007 average</t>
  </si>
  <si>
    <t>2008 Zone 6 harvest rate was estimated from reported Tribal harvest plus average sport harvest 2002-2007</t>
  </si>
  <si>
    <t>2008 Above MCN Harvest is estimated as the 2002-2007 average</t>
  </si>
  <si>
    <t>Red values represent changes from values used in the 2008 FCRPS BiOp</t>
  </si>
  <si>
    <t>It should also be noted that some steelhead overwinter in the Columbia River below McNary or in the Snake River below Lower Granite and do not pass over Lower Granite until the following spring.</t>
  </si>
  <si>
    <t xml:space="preserve"> There is some harvest and incidental handling of Fall Chinook in the Snake River that is not accounted for 2005-2008</t>
  </si>
  <si>
    <t>All tagged fish in this analysis are of hatchery origin.</t>
  </si>
  <si>
    <t>Important - For 2006-2009 This analysis uses Sockeye Salmon PIT-tagged at BON (likely of Lake Wenatchee and Okanogan River origin) as surrogates for SR sockeye survival.</t>
  </si>
  <si>
    <t>2010*</t>
  </si>
  <si>
    <t>*Snake River Stocks used to calculate survival</t>
  </si>
  <si>
    <t>2010-First year when sufficient numbers of PIT tagged SR Sockeye passed Bonneville to allow them to be used to make a reliable estimate of survival</t>
  </si>
  <si>
    <t>BON to LGR %</t>
  </si>
  <si>
    <t>Preliminary harvest estimates for 2010</t>
  </si>
  <si>
    <t>Preliminary harvest estimates for 2011</t>
  </si>
  <si>
    <t>2010 preliminary harvest estimate</t>
  </si>
  <si>
    <t>Preliminary 2010 Harvest rates</t>
  </si>
  <si>
    <t>2010 prelimnary harvest estimate</t>
  </si>
  <si>
    <t>Revised 2009 estimate</t>
  </si>
  <si>
    <t>revised 2009 estimate</t>
  </si>
  <si>
    <t>revised</t>
  </si>
  <si>
    <t>2009-2011</t>
  </si>
  <si>
    <t>2009-2011 PIT Tag detections at BON and redetections at MCN and LGR were provided by Blane Bellerud (NMFS).</t>
  </si>
  <si>
    <t>2009-2011 Harvest rate estimates were taken from US vs Oregon Technical Advisory Committee Reports.</t>
  </si>
  <si>
    <t xml:space="preserve">NOTE: TAC Report estimates may be biased low for the zone 6 (BON to MCN) reach as they are estimated based on </t>
  </si>
  <si>
    <t>return to the Columbia River mouth population estimates.  NMFS is reviewing this information to assess the likely magnitude of this bias.</t>
  </si>
  <si>
    <t>2011*</t>
  </si>
  <si>
    <t>MCN to LGR (%) (4th root)</t>
  </si>
  <si>
    <t>Estimate from Stuart Ellis (CRITFC) - 6-20-2012</t>
  </si>
  <si>
    <t>5 Year rolling avg</t>
  </si>
  <si>
    <t>Redet.   @ RIS</t>
  </si>
  <si>
    <t>Results of Survival analysis using CJS methodology</t>
  </si>
  <si>
    <t>Bon to MCN</t>
  </si>
  <si>
    <t>MCN to LGR</t>
  </si>
  <si>
    <t>Cormack Jolly Seber</t>
  </si>
  <si>
    <t>Unadjusted Conversion rate</t>
  </si>
  <si>
    <t>UC. Surv</t>
  </si>
  <si>
    <t>UC.SE</t>
  </si>
  <si>
    <t>SR.Surv</t>
  </si>
  <si>
    <t>SR.SE</t>
  </si>
  <si>
    <t>Surv.Diff</t>
  </si>
  <si>
    <t>Diff.log</t>
  </si>
  <si>
    <t>SE.diff.log</t>
  </si>
  <si>
    <t>z.stat</t>
  </si>
  <si>
    <t>P-value</t>
  </si>
  <si>
    <t>BON_MCN</t>
  </si>
  <si>
    <t>Comparison of Snake River and Upper Columbia Sockeye unadjusted conversion rates</t>
  </si>
  <si>
    <t>2010 and 2011 UC and SR Bon to MCN Survival rates not significantly different, 2012 SR Sockeye survival significantly lower.</t>
  </si>
  <si>
    <t>2012*</t>
  </si>
  <si>
    <t>Adult Conversion Rate Estimates based on known origin PIT-tagged fish that migrated inriver as juveniles.</t>
  </si>
  <si>
    <t>SR FALL CHINOOK</t>
  </si>
  <si>
    <t>YEAR</t>
  </si>
  <si>
    <t>SR STEELHEAD</t>
  </si>
  <si>
    <t>N at BON</t>
  </si>
  <si>
    <t>UNADJUSTED BON to MCN (%)</t>
  </si>
  <si>
    <t>UNADJUSTED MCN to LGR (%)</t>
  </si>
  <si>
    <t>UNADJUSTED BON to LGR (%)</t>
  </si>
  <si>
    <t>2008 BiOp (2002-2007 Average)</t>
  </si>
  <si>
    <t>5-Year Average</t>
  </si>
  <si>
    <t>ADJUSTED BON to MCN (%)</t>
  </si>
  <si>
    <t>ADJUSTED MCN to LGR (%)</t>
  </si>
  <si>
    <t>ADJUSTED BON to LGR (%)</t>
  </si>
  <si>
    <t>N at MCN</t>
  </si>
  <si>
    <t>N at LGR</t>
  </si>
  <si>
    <t>UNADJUSTED ESTIMATES</t>
  </si>
  <si>
    <t>ADJUSTED ESTIMATES</t>
  </si>
  <si>
    <t>AVERAGES (ADJUSTED)</t>
  </si>
  <si>
    <t>SR SPR/SUM CHINOOK</t>
  </si>
  <si>
    <t>SR SOCKEYE</t>
  </si>
  <si>
    <t>UCR STEELHEAD</t>
  </si>
  <si>
    <t>2008 BiOp (2002-2006 Average)</t>
  </si>
  <si>
    <t>ACTUAL BIOP AVEREGE</t>
  </si>
  <si>
    <t>2002-2007 Avg</t>
  </si>
  <si>
    <t xml:space="preserve">Average Reported in 2008 BIOP </t>
  </si>
  <si>
    <t>Difference as Multiplier (5-Year avg / 2002-2007 avg)</t>
  </si>
  <si>
    <t>Difference as Multiplier (5-Year avg / avg reported in 2008 BiOp)</t>
  </si>
  <si>
    <t>Difference as Multiplier (5-Year avg / 2002-2006 avg)</t>
  </si>
  <si>
    <r>
      <t xml:space="preserve">Key: </t>
    </r>
    <r>
      <rPr>
        <b/>
        <sz val="10"/>
        <color theme="4" tint="-0.249977111117893"/>
        <rFont val="Arial"/>
        <family val="2"/>
      </rPr>
      <t>blue</t>
    </r>
    <r>
      <rPr>
        <sz val="10"/>
        <rFont val="Arial"/>
        <family val="2"/>
      </rPr>
      <t xml:space="preserve"> = years used in 2008 BiOp analysis; </t>
    </r>
    <r>
      <rPr>
        <b/>
        <sz val="10"/>
        <color rgb="FFFF0000"/>
        <rFont val="Arial"/>
        <family val="2"/>
      </rPr>
      <t>red</t>
    </r>
    <r>
      <rPr>
        <sz val="10"/>
        <rFont val="Arial"/>
        <family val="2"/>
      </rPr>
      <t xml:space="preserve"> = final estimates that differ from 2008 BiOp analysis by &gt;1.0 %; </t>
    </r>
    <r>
      <rPr>
        <b/>
        <sz val="10"/>
        <rFont val="Arial"/>
        <family val="2"/>
      </rPr>
      <t>black</t>
    </r>
    <r>
      <rPr>
        <sz val="10"/>
        <rFont val="Arial"/>
        <family val="2"/>
      </rPr>
      <t xml:space="preserve"> = new #s since 2008 BiOp; </t>
    </r>
    <r>
      <rPr>
        <b/>
        <sz val="10"/>
        <color theme="9" tint="-0.249977111117893"/>
        <rFont val="Arial"/>
        <family val="2"/>
      </rPr>
      <t>orange</t>
    </r>
    <r>
      <rPr>
        <sz val="10"/>
        <rFont val="Arial"/>
        <family val="2"/>
      </rPr>
      <t xml:space="preserve"> = preliminary numbers for 2012.</t>
    </r>
  </si>
  <si>
    <t>UCR Spring Chinook</t>
  </si>
  <si>
    <t>BiOp Average</t>
  </si>
  <si>
    <t>Average</t>
  </si>
  <si>
    <t>Difference</t>
  </si>
  <si>
    <t>SUMMARY FOR GRAPHICS</t>
  </si>
  <si>
    <t>IR/trans diff</t>
  </si>
  <si>
    <t>MCN to RIS (%)</t>
  </si>
  <si>
    <t>4. Est. of BON to LGR % adjusted conversion rate is estimated as the BON to MCN (3rd root) estimate per project conversion rate to the 7th power***.</t>
  </si>
  <si>
    <t>*** From 2010 on this value is calculated directly because sufficient numbers of tagged Snake River Sockeye are available.</t>
  </si>
  <si>
    <t>LGR</t>
  </si>
  <si>
    <t>BON</t>
  </si>
  <si>
    <t>MCN</t>
  </si>
  <si>
    <t>Bon</t>
  </si>
  <si>
    <t>p</t>
  </si>
  <si>
    <t>Fa</t>
  </si>
  <si>
    <t>Fb</t>
  </si>
  <si>
    <t>Binomial 95%C.I. calculation</t>
  </si>
  <si>
    <t>RIS</t>
  </si>
  <si>
    <t xml:space="preserve"> Bon to MCN CI.lower</t>
  </si>
  <si>
    <t>Bon to MCN CI.upper</t>
  </si>
  <si>
    <t>MCN to LGR CI.lower</t>
  </si>
  <si>
    <t>MCN to LGR CI.upper</t>
  </si>
  <si>
    <t>Bon to LGR CI.lower</t>
  </si>
  <si>
    <t>Bon to LGR CI.upper</t>
  </si>
  <si>
    <t>Bon to MCN CI.lower</t>
  </si>
  <si>
    <t>MCN to RIS CI.lower</t>
  </si>
  <si>
    <t>MCN to RIS CI.upper</t>
  </si>
  <si>
    <t>Bon to RIS CI.lower</t>
  </si>
  <si>
    <t>Bon to RIS CI.upper</t>
  </si>
  <si>
    <t>0.677 (0.0331)</t>
  </si>
  <si>
    <t>0.650 (0.0408)</t>
  </si>
  <si>
    <t>0.440 (0.0345)</t>
  </si>
  <si>
    <t>Snake River Spring Summer Chinook</t>
  </si>
  <si>
    <t>Snake River Steelhead</t>
  </si>
  <si>
    <t>Redet.   @ RIS*</t>
  </si>
  <si>
    <t>2013 prelim harvest=5 year average harvest%</t>
  </si>
  <si>
    <t xml:space="preserve"> </t>
  </si>
  <si>
    <t>for 2014 only sockeye that migrated downstream- in-river were included because of high straying/fallback of transported fish</t>
  </si>
  <si>
    <t>2013*</t>
  </si>
  <si>
    <t>2014*</t>
  </si>
  <si>
    <t>stray rate estimated by number of observations of fish off the migration route which were not later detected at LGR</t>
  </si>
  <si>
    <t>IR only</t>
  </si>
  <si>
    <t>2014 harvest</t>
  </si>
  <si>
    <t>2013 harvest</t>
  </si>
  <si>
    <t>2015 TAC fall chinook report table 5</t>
  </si>
  <si>
    <t>Sport</t>
  </si>
  <si>
    <t>Tribal</t>
  </si>
  <si>
    <t>wild</t>
  </si>
  <si>
    <t>hatchery</t>
  </si>
  <si>
    <t>Table 6</t>
  </si>
  <si>
    <t>Table 16</t>
  </si>
  <si>
    <t>Hanford reach</t>
  </si>
  <si>
    <t>UCR SPRING CHINOOK</t>
  </si>
  <si>
    <t>summer</t>
  </si>
  <si>
    <t>Z6 harvest</t>
  </si>
  <si>
    <t>Mid Columbia Steelhead- originating from Yakima and Walla Walla Subbasins</t>
  </si>
  <si>
    <t>NA</t>
  </si>
  <si>
    <t>2011-2015 avg Harvest</t>
  </si>
  <si>
    <t xml:space="preserve">IR </t>
  </si>
  <si>
    <t>trans</t>
  </si>
  <si>
    <t>IR-trans</t>
  </si>
  <si>
    <t>IR</t>
  </si>
  <si>
    <t>post biop avg</t>
  </si>
  <si>
    <t>95% CI</t>
  </si>
  <si>
    <t xml:space="preserve">trans </t>
  </si>
  <si>
    <t>2008-2016</t>
  </si>
  <si>
    <t>In-River vs. Transported smolts uncorrected survival estimates</t>
  </si>
  <si>
    <t>Snake River Fall Chinook</t>
  </si>
  <si>
    <t>2008-2015</t>
  </si>
  <si>
    <t>MinOfFirst Year YYYY</t>
  </si>
  <si>
    <t>SumOfBON</t>
  </si>
  <si>
    <t>SumOfTDA</t>
  </si>
  <si>
    <t>SumOfMCN</t>
  </si>
  <si>
    <t>SumOfLMO</t>
  </si>
  <si>
    <t>SumOfLGO</t>
  </si>
  <si>
    <t>SumOfLGR</t>
  </si>
  <si>
    <t>MCN to ICE</t>
  </si>
  <si>
    <t>LGO to LGR</t>
  </si>
  <si>
    <t>Transp</t>
  </si>
  <si>
    <t>ICE to LGR</t>
  </si>
  <si>
    <t>Harvest estimates from 2008-2017 recalculated based on information from 2017 TAC report</t>
  </si>
  <si>
    <t xml:space="preserve">2 dam </t>
  </si>
  <si>
    <t>3 dam</t>
  </si>
  <si>
    <t>2 dams</t>
  </si>
  <si>
    <t>Preliminary estimate</t>
  </si>
  <si>
    <t>COMBINED uc/Snake river</t>
  </si>
  <si>
    <t>harvest</t>
  </si>
  <si>
    <t>sr diff</t>
  </si>
  <si>
    <t>Note: Since summer steelhead run crosses calendar years, Steelhead are assigned to spawn year -1</t>
  </si>
  <si>
    <t>2019 harvest</t>
  </si>
  <si>
    <t>treaty</t>
  </si>
  <si>
    <t>non  treaty</t>
  </si>
  <si>
    <t>total</t>
  </si>
  <si>
    <t>BON count</t>
  </si>
  <si>
    <t>(TAC 2020 table 15)</t>
  </si>
  <si>
    <t xml:space="preserve">spring </t>
  </si>
  <si>
    <t>mortality</t>
  </si>
  <si>
    <t>2015-2019</t>
  </si>
  <si>
    <t>max</t>
  </si>
  <si>
    <t>min</t>
  </si>
  <si>
    <t>survival</t>
  </si>
  <si>
    <t>mortlaity</t>
  </si>
  <si>
    <t xml:space="preserve">average </t>
  </si>
  <si>
    <t>2014-2018</t>
  </si>
  <si>
    <t>1 dam</t>
  </si>
  <si>
    <t>Survival</t>
  </si>
  <si>
    <t>Min</t>
  </si>
  <si>
    <t>Mortality</t>
  </si>
  <si>
    <t>Mid Columbia Steelhead</t>
  </si>
  <si>
    <t>Yakima and Walla Walla River Populations</t>
  </si>
  <si>
    <t>Corrected Survival</t>
  </si>
  <si>
    <t>5 year average</t>
  </si>
  <si>
    <t>McNary pool</t>
  </si>
  <si>
    <t>John Day pool</t>
  </si>
  <si>
    <t>Dalles Pool</t>
  </si>
  <si>
    <t>10 Year average</t>
  </si>
  <si>
    <t>lower pool estimates are derived  from whole reach</t>
  </si>
  <si>
    <t>avg</t>
  </si>
  <si>
    <t>2013-2017 bon to LGR</t>
  </si>
  <si>
    <t>Bon to lGR</t>
  </si>
  <si>
    <t>Transported</t>
  </si>
  <si>
    <t>Transport</t>
  </si>
  <si>
    <t>1 project</t>
  </si>
  <si>
    <t>use for  LCR fall chin and CR Chum</t>
  </si>
  <si>
    <t>2012-2014 and 2016-2017 avg</t>
  </si>
  <si>
    <t>average for BiOp incidental take table</t>
  </si>
  <si>
    <t>2010-2019</t>
  </si>
  <si>
    <t>2020 BiOp</t>
  </si>
  <si>
    <t>2010-2014, 2016,2017</t>
  </si>
  <si>
    <t>2020 Biop</t>
  </si>
  <si>
    <t>2010-2018</t>
  </si>
  <si>
    <t>max(</t>
  </si>
  <si>
    <t xml:space="preserve">LCR Fall and Chum </t>
  </si>
  <si>
    <t>mortaltiy</t>
  </si>
  <si>
    <t>LCR steelhead</t>
  </si>
  <si>
    <t>2020 biop</t>
  </si>
  <si>
    <t>Surrogates</t>
  </si>
  <si>
    <t>note: 2015 excluded because of high temps</t>
  </si>
  <si>
    <t>2018 and 2019 insufficient returns to calculate</t>
  </si>
  <si>
    <t xml:space="preserve">to LGR, Bon to MCN use UC sockeye as </t>
  </si>
  <si>
    <t>surrogates</t>
  </si>
  <si>
    <t>overall average</t>
  </si>
  <si>
    <t>without 2015</t>
  </si>
  <si>
    <t>copy this</t>
  </si>
  <si>
    <t>detailed reach survival</t>
  </si>
  <si>
    <t>In-river</t>
  </si>
  <si>
    <t>Species Name</t>
  </si>
  <si>
    <t>ESU</t>
  </si>
  <si>
    <t>SumOfJDA</t>
  </si>
  <si>
    <t>SumOfICE</t>
  </si>
  <si>
    <t>SumOflgo</t>
  </si>
  <si>
    <t>SumOfGRA</t>
  </si>
  <si>
    <t>SumOfPRD</t>
  </si>
  <si>
    <t>SumOfRIS</t>
  </si>
  <si>
    <t>SumOfRReach</t>
  </si>
  <si>
    <t>SumOfWells</t>
  </si>
  <si>
    <t>Chinook</t>
  </si>
  <si>
    <t>Snake River</t>
  </si>
  <si>
    <t>Note: These values may differ from earlier survival estimates because they were calculated at a later date</t>
  </si>
  <si>
    <t>Upper Columbia</t>
  </si>
  <si>
    <t>Detailed reach survival</t>
  </si>
  <si>
    <t>Note: may naot exactly match survivals in column above because they were calculated at a later date</t>
  </si>
  <si>
    <t>Jack survival</t>
  </si>
  <si>
    <t>Jacks</t>
  </si>
  <si>
    <t>In-River</t>
  </si>
  <si>
    <t>Bon to MCN survival</t>
  </si>
  <si>
    <t>in river</t>
  </si>
  <si>
    <t>T</t>
  </si>
  <si>
    <t>% transported</t>
  </si>
  <si>
    <t>Adults</t>
  </si>
  <si>
    <t>PIT tagged SRSS Chinook observed at Bonneveille</t>
  </si>
  <si>
    <t>Migration Year YYYY</t>
  </si>
  <si>
    <t>trans_status</t>
  </si>
  <si>
    <t>CountOfTag Code</t>
  </si>
  <si>
    <t/>
  </si>
  <si>
    <t>Mini Jacks</t>
  </si>
  <si>
    <t>TR</t>
  </si>
  <si>
    <t>%tr</t>
  </si>
  <si>
    <t>(from minijack database)</t>
  </si>
  <si>
    <t>MiniJacks</t>
  </si>
  <si>
    <t>Est % transported</t>
  </si>
  <si>
    <t>NWFSC</t>
  </si>
  <si>
    <t>spawnminusone</t>
  </si>
  <si>
    <t>SumOflgr</t>
  </si>
  <si>
    <t>PRD</t>
  </si>
  <si>
    <t>Bon to TDA</t>
  </si>
  <si>
    <t>TDA to JDA</t>
  </si>
  <si>
    <t>JDA to MCN</t>
  </si>
  <si>
    <t>ICE to LMN</t>
  </si>
  <si>
    <t>LMN to LGO</t>
  </si>
  <si>
    <t>Bon to LGR</t>
  </si>
  <si>
    <t>PRD to RIS</t>
  </si>
  <si>
    <t>MCN to PRD</t>
  </si>
  <si>
    <t>BON to RIS</t>
  </si>
  <si>
    <t>Detailed reach survival  note: estimates may vary from those presented above</t>
  </si>
  <si>
    <t>Release Site Basin Name</t>
  </si>
  <si>
    <t>Yakima</t>
  </si>
  <si>
    <t>Middle Columbia</t>
  </si>
  <si>
    <t>Yakima only</t>
  </si>
  <si>
    <t>Straying</t>
  </si>
  <si>
    <t>First Year YYYY</t>
  </si>
  <si>
    <t>SumOfice</t>
  </si>
  <si>
    <t>SumOfUSE</t>
  </si>
  <si>
    <t>SumOfUSI</t>
  </si>
  <si>
    <t>SumOfSawtooth</t>
  </si>
  <si>
    <t>SumOfUSal</t>
  </si>
  <si>
    <t>Salmon</t>
  </si>
  <si>
    <t>survival estiamtes</t>
  </si>
  <si>
    <t>Raw survival estimate</t>
  </si>
  <si>
    <t>Raw survival estiamtes</t>
  </si>
  <si>
    <t>LGR to USE</t>
  </si>
  <si>
    <t>LGR to Salmon</t>
  </si>
  <si>
    <t>Detection at any Salmon River site</t>
  </si>
  <si>
    <t>Fish which were transported as Juveniles</t>
  </si>
  <si>
    <t>Bon to MCN 95% CI</t>
  </si>
  <si>
    <t>SumOfBONc</t>
  </si>
  <si>
    <t>SumOfTDAc</t>
  </si>
  <si>
    <t>SumOfJDAc</t>
  </si>
  <si>
    <t>SumOfMCNc</t>
  </si>
  <si>
    <t>SumOficec</t>
  </si>
  <si>
    <t>SumOfLMOc</t>
  </si>
  <si>
    <t>SumOfLGOc</t>
  </si>
  <si>
    <t>SumOfLGRcc</t>
  </si>
  <si>
    <t>SumOfUSEc</t>
  </si>
  <si>
    <t>SumOfUSIc</t>
  </si>
  <si>
    <t>SumOfSawtoothc</t>
  </si>
  <si>
    <t>SumOfUSALc</t>
  </si>
  <si>
    <t>Upper Columbia Sockeye</t>
  </si>
  <si>
    <t>SumOfCountOfBON</t>
  </si>
  <si>
    <t>SumOfCountOfTDA</t>
  </si>
  <si>
    <t>SumOfCountOfJDA</t>
  </si>
  <si>
    <t>SumOfCountOfMCN</t>
  </si>
  <si>
    <t>SumOfCountOfICE</t>
  </si>
  <si>
    <t>SumOfCountOfLMO</t>
  </si>
  <si>
    <t>SumOfCountOfLGO</t>
  </si>
  <si>
    <t>SumOfCountOfLGR</t>
  </si>
  <si>
    <t>In River</t>
  </si>
  <si>
    <t>Reach survivals</t>
  </si>
  <si>
    <t>pooled</t>
  </si>
  <si>
    <t>SumOfPRA</t>
  </si>
  <si>
    <t>S</t>
  </si>
  <si>
    <t>Deschutes</t>
  </si>
  <si>
    <t>Lower Columbia</t>
  </si>
  <si>
    <t>MinOfFirst Year YYYY1</t>
  </si>
  <si>
    <t>SumOfCountOfPRD</t>
  </si>
  <si>
    <t>SumOfCountOfRIS</t>
  </si>
  <si>
    <t>SumOfCountOfRRF</t>
  </si>
  <si>
    <t>SumOfCountOfWells</t>
  </si>
  <si>
    <t>99</t>
  </si>
  <si>
    <t>Bon to 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</si>
</sst>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m/d/yyyy;@"/>
    <numFmt numFmtId="166" formatCode="0.0000"/>
    <numFmt numFmtId="167" formatCode="0.00000000"/>
    <numFmt numFmtId="168" formatCode="_(* #,##0_);_(* \(#,##0\);_(* &quot;-&quot;??_);_(@_)"/>
    <numFmt numFmtId="169" formatCode="0.0"/>
    <numFmt numFmtId="170" formatCode="0.000000000000000%"/>
    <numFmt numFmtId="171" formatCode="0.0000000000000000%"/>
    <numFmt numFmtId="178" formatCode="0.00000000000"/>
  </numFmts>
  <fonts count="43">
    <font>
      <sz val="10"/>
      <name val="Arial"/>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b/>
      <i/>
      <sz val="10"/>
      <name val="Arial"/>
      <family val="2"/>
    </font>
    <font>
      <sz val="8"/>
      <name val="Arial"/>
      <family val="2"/>
    </font>
    <font>
      <sz val="10"/>
      <name val="Arial"/>
      <family val="2"/>
    </font>
    <font>
      <sz val="12"/>
      <name val="Arial"/>
      <family val="2"/>
    </font>
    <font>
      <b/>
      <i/>
      <sz val="12"/>
      <name val="Arial"/>
      <family val="2"/>
    </font>
    <font>
      <sz val="10"/>
      <name val="Arial"/>
      <family val="2"/>
    </font>
    <font>
      <sz val="10"/>
      <color indexed="10"/>
      <name val="Arial"/>
      <family val="2"/>
    </font>
    <font>
      <sz val="10"/>
      <name val="Arial Unicode MS"/>
      <family val="2"/>
    </font>
    <font>
      <b/>
      <sz val="10"/>
      <color indexed="10"/>
      <name val="Arial"/>
      <family val="2"/>
    </font>
    <font>
      <sz val="10"/>
      <color indexed="10"/>
      <name val="Arial"/>
      <family val="2"/>
    </font>
    <font>
      <b/>
      <sz val="10"/>
      <color indexed="12"/>
      <name val="Arial"/>
      <family val="2"/>
    </font>
    <font>
      <sz val="10"/>
      <color rgb="FFFF0000"/>
      <name val="Arial"/>
      <family val="2"/>
    </font>
    <font>
      <b/>
      <sz val="10"/>
      <color theme="1"/>
      <name val="Arial"/>
      <family val="2"/>
    </font>
    <font>
      <sz val="10"/>
      <color theme="1"/>
      <name val="Arial"/>
      <family val="2"/>
    </font>
    <font>
      <sz val="11"/>
      <name val="Calibri"/>
      <family val="2"/>
      <scheme val="minor"/>
    </font>
    <font>
      <sz val="10"/>
      <color rgb="FFFF0000"/>
      <name val="Arial Unicode MS"/>
      <family val="2"/>
    </font>
    <font>
      <b/>
      <sz val="10"/>
      <color rgb="FFFF0000"/>
      <name val="Arial"/>
      <family val="2"/>
    </font>
    <font>
      <sz val="10"/>
      <color rgb="FF7030A0"/>
      <name val="Arial"/>
      <family val="2"/>
    </font>
    <font>
      <sz val="10"/>
      <name val="Arial"/>
      <family val="2"/>
    </font>
    <font>
      <b/>
      <sz val="9"/>
      <name val="Arial"/>
      <family val="2"/>
    </font>
    <font>
      <b/>
      <sz val="14"/>
      <name val="Arial"/>
      <family val="2"/>
    </font>
    <font>
      <sz val="10"/>
      <color theme="3"/>
      <name val="Arial"/>
      <family val="2"/>
    </font>
    <font>
      <b/>
      <sz val="12"/>
      <color theme="0"/>
      <name val="Arial"/>
      <family val="2"/>
    </font>
    <font>
      <b/>
      <sz val="10"/>
      <color theme="0"/>
      <name val="Arial"/>
      <family val="2"/>
    </font>
    <font>
      <b/>
      <sz val="10"/>
      <color theme="3"/>
      <name val="Arial"/>
      <family val="2"/>
    </font>
    <font>
      <sz val="10"/>
      <color theme="9" tint="-0.249977111117893"/>
      <name val="Arial"/>
      <family val="2"/>
    </font>
    <font>
      <sz val="10"/>
      <color rgb="FFFFC000"/>
      <name val="Arial"/>
      <family val="2"/>
    </font>
    <font>
      <sz val="10"/>
      <color theme="4" tint="-0.249977111117893"/>
      <name val="Arial"/>
      <family val="2"/>
    </font>
    <font>
      <b/>
      <sz val="10"/>
      <color theme="4" tint="-0.249977111117893"/>
      <name val="Arial"/>
      <family val="2"/>
    </font>
    <font>
      <b/>
      <sz val="10"/>
      <color theme="9" tint="-0.249977111117893"/>
      <name val="Arial"/>
      <family val="2"/>
    </font>
    <font>
      <sz val="8"/>
      <color theme="1"/>
      <name val="MS Shell Dlg 2"/>
    </font>
    <font>
      <sz val="11"/>
      <color indexed="8"/>
      <name val="Calibri"/>
      <family val="2"/>
    </font>
    <font>
      <sz val="10"/>
      <color indexed="8"/>
      <name val="Arial"/>
      <family val="2"/>
    </font>
    <font>
      <sz val="11"/>
      <color indexed="8"/>
      <name val="Calibri"/>
      <family val="2"/>
    </font>
    <font>
      <sz val="10"/>
      <color indexed="8"/>
      <name val="Arial"/>
      <family val="2"/>
    </font>
    <font>
      <sz val="11"/>
      <color indexed="8"/>
      <name val="Calibri"/>
      <family val="2"/>
    </font>
    <font>
      <sz val="10"/>
      <color indexed="8"/>
      <name val="Arial"/>
      <family val="2"/>
    </font>
  </fonts>
  <fills count="35">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indexed="22"/>
        <bgColor indexed="0"/>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8" tint="0.79998168889431442"/>
        <bgColor indexed="64"/>
      </patternFill>
    </fill>
    <fill>
      <patternFill patternType="solid">
        <fgColor rgb="FFFFFF00"/>
        <bgColor indexed="0"/>
      </patternFill>
    </fill>
    <fill>
      <patternFill patternType="solid">
        <fgColor theme="3" tint="0.79998168889431442"/>
        <bgColor indexed="0"/>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thin">
        <color rgb="FF000000"/>
      </left>
      <right style="thin">
        <color rgb="FF000000"/>
      </right>
      <top style="thin">
        <color rgb="FF000000"/>
      </top>
      <bottom style="thin">
        <color rgb="FFC0C0C0"/>
      </bottom>
      <diagonal/>
    </border>
    <border>
      <left style="thin">
        <color rgb="FF000000"/>
      </left>
      <right style="thin">
        <color rgb="FFC0C0C0"/>
      </right>
      <top style="thin">
        <color rgb="FF000000"/>
      </top>
      <bottom style="thin">
        <color rgb="FFC0C0C0"/>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8"/>
      </left>
      <right/>
      <top/>
      <bottom/>
      <diagonal/>
    </border>
  </borders>
  <cellStyleXfs count="20">
    <xf numFmtId="0" fontId="0"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3" fillId="0" borderId="0"/>
    <xf numFmtId="9" fontId="3" fillId="0" borderId="0" applyFont="0" applyFill="0" applyBorder="0" applyAlignment="0" applyProtection="0"/>
    <xf numFmtId="43" fontId="24" fillId="0" borderId="0" applyFont="0" applyFill="0" applyBorder="0" applyAlignment="0" applyProtection="0"/>
    <xf numFmtId="0" fontId="38" fillId="0" borderId="0"/>
    <xf numFmtId="0" fontId="40" fillId="0" borderId="0"/>
    <xf numFmtId="0" fontId="40" fillId="0" borderId="0"/>
    <xf numFmtId="0" fontId="40" fillId="0" borderId="0"/>
    <xf numFmtId="0" fontId="40" fillId="0" borderId="0"/>
    <xf numFmtId="0" fontId="40" fillId="0" borderId="0"/>
    <xf numFmtId="0" fontId="38" fillId="0" borderId="0"/>
    <xf numFmtId="0" fontId="40" fillId="0" borderId="0"/>
    <xf numFmtId="0" fontId="40" fillId="0" borderId="0"/>
    <xf numFmtId="0" fontId="42" fillId="0" borderId="0"/>
    <xf numFmtId="0" fontId="42" fillId="0" borderId="0"/>
    <xf numFmtId="0" fontId="42" fillId="0" borderId="0"/>
    <xf numFmtId="0" fontId="42" fillId="0" borderId="0"/>
  </cellStyleXfs>
  <cellXfs count="704">
    <xf numFmtId="0" fontId="0" fillId="0" borderId="0" xfId="0"/>
    <xf numFmtId="0" fontId="0" fillId="0" borderId="0" xfId="0" applyAlignment="1">
      <alignment horizontal="left"/>
    </xf>
    <xf numFmtId="0" fontId="5" fillId="0" borderId="0" xfId="0" applyFont="1" applyAlignment="1">
      <alignment horizontal="left"/>
    </xf>
    <xf numFmtId="0" fontId="6" fillId="0" borderId="0" xfId="0" applyFont="1" applyAlignment="1">
      <alignment horizontal="left"/>
    </xf>
    <xf numFmtId="0" fontId="11" fillId="0" borderId="0" xfId="0" applyFont="1" applyAlignment="1">
      <alignment horizontal="left"/>
    </xf>
    <xf numFmtId="0" fontId="10" fillId="0" borderId="0" xfId="0" applyFont="1" applyAlignment="1">
      <alignment horizontal="left"/>
    </xf>
    <xf numFmtId="0" fontId="11" fillId="0" borderId="0" xfId="0" applyFont="1"/>
    <xf numFmtId="0" fontId="13" fillId="0" borderId="0" xfId="0" applyFont="1"/>
    <xf numFmtId="0" fontId="13" fillId="0" borderId="0" xfId="0" applyFont="1" applyAlignment="1">
      <alignment wrapText="1"/>
    </xf>
    <xf numFmtId="0" fontId="11" fillId="0" borderId="0" xfId="0" applyFont="1" applyBorder="1" applyAlignment="1">
      <alignment horizontal="center"/>
    </xf>
    <xf numFmtId="0" fontId="5" fillId="0" borderId="0" xfId="0" applyFont="1" applyBorder="1" applyAlignment="1">
      <alignment horizontal="left"/>
    </xf>
    <xf numFmtId="0" fontId="0" fillId="0" borderId="0" xfId="0" applyBorder="1"/>
    <xf numFmtId="0" fontId="0" fillId="0" borderId="6" xfId="0" applyBorder="1"/>
    <xf numFmtId="164" fontId="0" fillId="0" borderId="9" xfId="1" applyNumberFormat="1" applyFont="1" applyBorder="1"/>
    <xf numFmtId="164" fontId="0" fillId="0" borderId="0" xfId="1" applyNumberFormat="1" applyFont="1" applyBorder="1"/>
    <xf numFmtId="0" fontId="11" fillId="0" borderId="10" xfId="0" applyFont="1" applyBorder="1" applyAlignment="1">
      <alignment horizontal="center"/>
    </xf>
    <xf numFmtId="0" fontId="11" fillId="0" borderId="11" xfId="0" applyFont="1" applyBorder="1" applyAlignment="1">
      <alignment horizontal="center"/>
    </xf>
    <xf numFmtId="0" fontId="0" fillId="0" borderId="18" xfId="0" applyBorder="1"/>
    <xf numFmtId="0" fontId="5" fillId="0" borderId="20" xfId="0" applyFont="1" applyFill="1" applyBorder="1" applyAlignment="1">
      <alignment horizontal="center" vertical="center" wrapText="1"/>
    </xf>
    <xf numFmtId="0" fontId="0" fillId="0" borderId="1" xfId="0" applyFill="1" applyBorder="1"/>
    <xf numFmtId="0" fontId="0" fillId="0" borderId="0" xfId="0" applyFill="1" applyBorder="1"/>
    <xf numFmtId="0" fontId="0" fillId="0" borderId="2" xfId="0" applyFill="1" applyBorder="1"/>
    <xf numFmtId="0" fontId="5" fillId="0" borderId="21" xfId="0" applyFont="1" applyFill="1" applyBorder="1" applyAlignment="1">
      <alignment horizontal="center" vertical="center" wrapText="1"/>
    </xf>
    <xf numFmtId="0" fontId="0" fillId="0" borderId="5" xfId="0" applyFill="1" applyBorder="1"/>
    <xf numFmtId="0" fontId="0" fillId="0" borderId="22" xfId="0" applyFill="1" applyBorder="1"/>
    <xf numFmtId="0" fontId="0" fillId="0" borderId="7" xfId="0" applyFill="1" applyBorder="1"/>
    <xf numFmtId="164" fontId="0" fillId="0" borderId="22" xfId="1" applyNumberFormat="1" applyFont="1" applyFill="1" applyBorder="1"/>
    <xf numFmtId="164" fontId="0" fillId="0" borderId="0" xfId="1" applyNumberFormat="1" applyFont="1" applyFill="1" applyBorder="1"/>
    <xf numFmtId="0" fontId="5" fillId="0" borderId="23" xfId="0" applyFont="1" applyFill="1" applyBorder="1" applyAlignment="1">
      <alignment horizontal="center" vertical="center" wrapText="1"/>
    </xf>
    <xf numFmtId="164" fontId="0" fillId="0" borderId="14" xfId="1" applyNumberFormat="1" applyFont="1" applyFill="1" applyBorder="1"/>
    <xf numFmtId="0" fontId="5" fillId="0" borderId="24" xfId="0" applyFont="1" applyFill="1" applyBorder="1" applyAlignment="1">
      <alignment horizontal="center" vertical="center" wrapText="1"/>
    </xf>
    <xf numFmtId="0" fontId="11" fillId="0" borderId="25" xfId="0" applyFont="1" applyBorder="1" applyAlignment="1">
      <alignment horizontal="left"/>
    </xf>
    <xf numFmtId="0" fontId="0" fillId="0" borderId="25" xfId="0" applyBorder="1"/>
    <xf numFmtId="0" fontId="4" fillId="0" borderId="0" xfId="0" applyFont="1" applyBorder="1" applyAlignment="1">
      <alignment horizontal="left"/>
    </xf>
    <xf numFmtId="0" fontId="11" fillId="0" borderId="0" xfId="0" applyFont="1" applyBorder="1" applyAlignment="1">
      <alignment vertical="center" wrapText="1"/>
    </xf>
    <xf numFmtId="0" fontId="5" fillId="0" borderId="0" xfId="0" applyFont="1"/>
    <xf numFmtId="164" fontId="0" fillId="0" borderId="9" xfId="1" applyNumberFormat="1" applyFont="1" applyFill="1" applyBorder="1"/>
    <xf numFmtId="0" fontId="0" fillId="0" borderId="6" xfId="0" applyFill="1" applyBorder="1"/>
    <xf numFmtId="0" fontId="11" fillId="0" borderId="25" xfId="0" applyFont="1" applyBorder="1" applyAlignment="1">
      <alignment horizontal="center"/>
    </xf>
    <xf numFmtId="0" fontId="0" fillId="0" borderId="10" xfId="0" applyBorder="1"/>
    <xf numFmtId="0" fontId="0" fillId="0" borderId="11" xfId="0" applyBorder="1"/>
    <xf numFmtId="164" fontId="0" fillId="0" borderId="9" xfId="0" applyNumberFormat="1" applyBorder="1"/>
    <xf numFmtId="164" fontId="0" fillId="0" borderId="0" xfId="0" applyNumberFormat="1" applyBorder="1"/>
    <xf numFmtId="164" fontId="5" fillId="0" borderId="0" xfId="1" applyNumberFormat="1" applyFont="1" applyFill="1" applyBorder="1"/>
    <xf numFmtId="164" fontId="5" fillId="0" borderId="0" xfId="1" applyNumberFormat="1" applyFont="1" applyBorder="1"/>
    <xf numFmtId="0" fontId="11" fillId="0" borderId="0" xfId="0" applyFont="1" applyFill="1" applyBorder="1"/>
    <xf numFmtId="0" fontId="14" fillId="0" borderId="20" xfId="0" applyFont="1" applyFill="1" applyBorder="1" applyAlignment="1">
      <alignment horizontal="center" vertical="center" wrapText="1"/>
    </xf>
    <xf numFmtId="164" fontId="15" fillId="0" borderId="0" xfId="1" applyNumberFormat="1" applyFont="1" applyFill="1" applyBorder="1"/>
    <xf numFmtId="164" fontId="14" fillId="0" borderId="0" xfId="1" applyNumberFormat="1" applyFont="1" applyFill="1" applyBorder="1"/>
    <xf numFmtId="164" fontId="15" fillId="0" borderId="0" xfId="0" applyNumberFormat="1" applyFont="1" applyBorder="1"/>
    <xf numFmtId="164" fontId="15" fillId="0" borderId="0" xfId="1" applyNumberFormat="1" applyFont="1" applyBorder="1"/>
    <xf numFmtId="164" fontId="0" fillId="0" borderId="0" xfId="0" applyNumberFormat="1" applyFill="1" applyBorder="1"/>
    <xf numFmtId="0" fontId="5" fillId="0" borderId="0" xfId="0" applyFont="1" applyFill="1" applyBorder="1" applyAlignment="1">
      <alignment horizontal="center" vertical="center" wrapText="1"/>
    </xf>
    <xf numFmtId="164" fontId="12" fillId="0" borderId="0" xfId="1" applyNumberFormat="1" applyFont="1" applyFill="1" applyBorder="1"/>
    <xf numFmtId="0" fontId="4" fillId="0" borderId="0" xfId="0" applyFont="1" applyBorder="1" applyAlignment="1">
      <alignment horizontal="left" vertical="center"/>
    </xf>
    <xf numFmtId="164" fontId="15" fillId="0" borderId="0" xfId="0" applyNumberFormat="1"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5" fillId="0" borderId="0" xfId="0" applyFont="1" applyFill="1" applyBorder="1" applyAlignment="1">
      <alignment horizontal="left"/>
    </xf>
    <xf numFmtId="0" fontId="14" fillId="0" borderId="0" xfId="0" applyFont="1" applyFill="1" applyBorder="1" applyAlignment="1">
      <alignment horizontal="center" vertical="center" wrapText="1"/>
    </xf>
    <xf numFmtId="165" fontId="0" fillId="0" borderId="0" xfId="0" applyNumberFormat="1"/>
    <xf numFmtId="164" fontId="0" fillId="2" borderId="9" xfId="1" applyNumberFormat="1" applyFont="1" applyFill="1" applyBorder="1"/>
    <xf numFmtId="164" fontId="15" fillId="2" borderId="0" xfId="1" applyNumberFormat="1" applyFont="1" applyFill="1" applyBorder="1"/>
    <xf numFmtId="164" fontId="0" fillId="2" borderId="0" xfId="1" applyNumberFormat="1" applyFont="1" applyFill="1" applyBorder="1"/>
    <xf numFmtId="164" fontId="0" fillId="2" borderId="22" xfId="1" applyNumberFormat="1" applyFont="1" applyFill="1" applyBorder="1"/>
    <xf numFmtId="0" fontId="0" fillId="2" borderId="0" xfId="0" applyFill="1" applyBorder="1"/>
    <xf numFmtId="0" fontId="0" fillId="0" borderId="0" xfId="0" applyFill="1"/>
    <xf numFmtId="0" fontId="11" fillId="0" borderId="26" xfId="0" applyFont="1" applyBorder="1" applyAlignment="1">
      <alignment horizontal="left"/>
    </xf>
    <xf numFmtId="0" fontId="11" fillId="0" borderId="14" xfId="0" applyFont="1" applyBorder="1" applyAlignment="1">
      <alignment horizontal="center"/>
    </xf>
    <xf numFmtId="0" fontId="5" fillId="0" borderId="0" xfId="0" quotePrefix="1" applyFont="1" applyFill="1" applyBorder="1"/>
    <xf numFmtId="0" fontId="15" fillId="0" borderId="0" xfId="0" applyFont="1" applyFill="1" applyBorder="1" applyAlignment="1">
      <alignment horizontal="left"/>
    </xf>
    <xf numFmtId="0" fontId="5" fillId="4" borderId="20" xfId="0" applyFont="1" applyFill="1" applyBorder="1" applyAlignment="1">
      <alignment horizontal="center" vertical="center" wrapText="1"/>
    </xf>
    <xf numFmtId="164" fontId="0" fillId="4" borderId="0" xfId="1" applyNumberFormat="1" applyFont="1" applyFill="1" applyBorder="1"/>
    <xf numFmtId="0" fontId="0" fillId="0" borderId="14" xfId="0" applyBorder="1"/>
    <xf numFmtId="0" fontId="0" fillId="0" borderId="31" xfId="0" applyBorder="1"/>
    <xf numFmtId="0" fontId="8" fillId="0" borderId="0" xfId="0" applyFont="1" applyAlignment="1">
      <alignment horizontal="left"/>
    </xf>
    <xf numFmtId="0" fontId="6" fillId="0" borderId="0" xfId="0" applyFont="1"/>
    <xf numFmtId="0" fontId="0" fillId="0" borderId="2" xfId="0" applyBorder="1"/>
    <xf numFmtId="0" fontId="0" fillId="0" borderId="7" xfId="0" applyBorder="1"/>
    <xf numFmtId="164" fontId="0" fillId="0" borderId="4" xfId="1" applyNumberFormat="1" applyFont="1" applyFill="1" applyBorder="1"/>
    <xf numFmtId="164" fontId="0" fillId="0" borderId="5" xfId="1" applyNumberFormat="1" applyFont="1" applyFill="1" applyBorder="1"/>
    <xf numFmtId="164" fontId="15" fillId="0" borderId="1" xfId="1" applyNumberFormat="1" applyFont="1" applyFill="1" applyBorder="1"/>
    <xf numFmtId="164" fontId="0" fillId="0" borderId="4" xfId="0" applyNumberFormat="1" applyFill="1" applyBorder="1"/>
    <xf numFmtId="164" fontId="15" fillId="0" borderId="1" xfId="0" applyNumberFormat="1" applyFont="1" applyFill="1" applyBorder="1"/>
    <xf numFmtId="164" fontId="0" fillId="0" borderId="5" xfId="0" applyNumberFormat="1" applyFill="1" applyBorder="1"/>
    <xf numFmtId="164" fontId="0" fillId="0" borderId="22" xfId="1" applyNumberFormat="1" applyFont="1" applyBorder="1"/>
    <xf numFmtId="164" fontId="5" fillId="0" borderId="9" xfId="1" applyNumberFormat="1" applyFont="1" applyBorder="1"/>
    <xf numFmtId="0" fontId="0" fillId="0" borderId="1" xfId="0" applyBorder="1"/>
    <xf numFmtId="0" fontId="11" fillId="0" borderId="26" xfId="0" applyFont="1" applyBorder="1" applyAlignment="1">
      <alignment horizontal="center"/>
    </xf>
    <xf numFmtId="164" fontId="0" fillId="0" borderId="4" xfId="0" applyNumberFormat="1" applyBorder="1"/>
    <xf numFmtId="164" fontId="15" fillId="0" borderId="1" xfId="0" applyNumberFormat="1" applyFont="1" applyBorder="1"/>
    <xf numFmtId="164" fontId="0" fillId="0" borderId="5" xfId="0" applyNumberFormat="1" applyBorder="1"/>
    <xf numFmtId="0" fontId="5" fillId="5" borderId="13" xfId="0" applyFont="1" applyFill="1" applyBorder="1" applyAlignment="1">
      <alignment horizontal="left"/>
    </xf>
    <xf numFmtId="0" fontId="5" fillId="5" borderId="26" xfId="0" applyFont="1" applyFill="1" applyBorder="1" applyAlignment="1">
      <alignment horizontal="left"/>
    </xf>
    <xf numFmtId="0" fontId="5" fillId="5" borderId="12" xfId="0" applyFont="1" applyFill="1" applyBorder="1" applyAlignment="1">
      <alignment horizontal="center" vertical="center" wrapText="1"/>
    </xf>
    <xf numFmtId="0" fontId="11" fillId="5" borderId="3" xfId="0" applyFont="1" applyFill="1" applyBorder="1" applyAlignment="1">
      <alignment horizontal="center"/>
    </xf>
    <xf numFmtId="0" fontId="11" fillId="5" borderId="27" xfId="0" applyFont="1" applyFill="1" applyBorder="1" applyAlignment="1">
      <alignment horizontal="center"/>
    </xf>
    <xf numFmtId="0" fontId="17" fillId="5" borderId="27" xfId="0" applyFont="1" applyFill="1" applyBorder="1" applyAlignment="1">
      <alignment horizontal="center"/>
    </xf>
    <xf numFmtId="0" fontId="0" fillId="5" borderId="26" xfId="0" applyFill="1" applyBorder="1"/>
    <xf numFmtId="0" fontId="11" fillId="5" borderId="0" xfId="0" applyFont="1" applyFill="1" applyBorder="1" applyAlignment="1">
      <alignment horizontal="center"/>
    </xf>
    <xf numFmtId="0" fontId="11" fillId="5" borderId="14" xfId="0" applyFont="1" applyFill="1" applyBorder="1" applyAlignment="1">
      <alignment horizontal="center"/>
    </xf>
    <xf numFmtId="0" fontId="11" fillId="5" borderId="25" xfId="0" applyFont="1" applyFill="1" applyBorder="1" applyAlignment="1">
      <alignment horizontal="center"/>
    </xf>
    <xf numFmtId="0" fontId="0" fillId="5" borderId="10" xfId="0" applyFill="1" applyBorder="1"/>
    <xf numFmtId="0" fontId="0" fillId="5" borderId="11" xfId="0" applyFill="1" applyBorder="1"/>
    <xf numFmtId="0" fontId="5" fillId="6" borderId="16" xfId="0" applyFont="1" applyFill="1" applyBorder="1" applyAlignment="1">
      <alignment horizontal="left"/>
    </xf>
    <xf numFmtId="0" fontId="5" fillId="6" borderId="13" xfId="0" applyFont="1" applyFill="1" applyBorder="1" applyAlignment="1">
      <alignment horizontal="left"/>
    </xf>
    <xf numFmtId="0" fontId="5" fillId="6" borderId="12" xfId="0" applyFont="1" applyFill="1" applyBorder="1" applyAlignment="1">
      <alignment horizontal="center" vertical="center" wrapText="1"/>
    </xf>
    <xf numFmtId="0" fontId="0" fillId="6" borderId="26" xfId="0" applyFill="1" applyBorder="1"/>
    <xf numFmtId="0" fontId="11" fillId="6" borderId="3" xfId="0" applyFont="1" applyFill="1" applyBorder="1" applyAlignment="1">
      <alignment horizontal="center"/>
    </xf>
    <xf numFmtId="0" fontId="11" fillId="6" borderId="27" xfId="0" applyFont="1" applyFill="1" applyBorder="1" applyAlignment="1">
      <alignment horizontal="center"/>
    </xf>
    <xf numFmtId="0" fontId="11" fillId="6" borderId="8" xfId="0" applyFont="1" applyFill="1" applyBorder="1" applyAlignment="1">
      <alignment horizontal="center"/>
    </xf>
    <xf numFmtId="0" fontId="0" fillId="6" borderId="0" xfId="0" applyFill="1"/>
    <xf numFmtId="0" fontId="16" fillId="0" borderId="2" xfId="0" applyFont="1" applyBorder="1"/>
    <xf numFmtId="164" fontId="16" fillId="0" borderId="6" xfId="1" applyNumberFormat="1" applyFont="1" applyBorder="1"/>
    <xf numFmtId="164" fontId="0" fillId="0" borderId="22" xfId="0" applyNumberFormat="1" applyBorder="1"/>
    <xf numFmtId="0" fontId="5" fillId="6" borderId="32" xfId="0" applyFont="1" applyFill="1" applyBorder="1" applyAlignment="1">
      <alignment horizontal="center" vertical="center" wrapText="1"/>
    </xf>
    <xf numFmtId="0" fontId="0" fillId="0" borderId="17" xfId="0" applyBorder="1"/>
    <xf numFmtId="0" fontId="17" fillId="0" borderId="0" xfId="0" applyFont="1"/>
    <xf numFmtId="0" fontId="0" fillId="8" borderId="0" xfId="0" applyFill="1"/>
    <xf numFmtId="0" fontId="0" fillId="9" borderId="0" xfId="0" applyFill="1"/>
    <xf numFmtId="164" fontId="0" fillId="10" borderId="0" xfId="1" applyNumberFormat="1" applyFont="1" applyFill="1" applyBorder="1"/>
    <xf numFmtId="164" fontId="12" fillId="10" borderId="0" xfId="1" applyNumberFormat="1" applyFont="1" applyFill="1" applyBorder="1"/>
    <xf numFmtId="164" fontId="17" fillId="10" borderId="0" xfId="1" applyNumberFormat="1" applyFont="1" applyFill="1" applyBorder="1"/>
    <xf numFmtId="0" fontId="0" fillId="10" borderId="0" xfId="0" applyFill="1"/>
    <xf numFmtId="164" fontId="3" fillId="10" borderId="0" xfId="1" applyNumberFormat="1" applyFont="1" applyFill="1" applyBorder="1"/>
    <xf numFmtId="0" fontId="3" fillId="6" borderId="33" xfId="0" applyFont="1" applyFill="1" applyBorder="1" applyAlignment="1">
      <alignment horizontal="center"/>
    </xf>
    <xf numFmtId="0" fontId="3" fillId="0" borderId="4" xfId="0" applyFont="1" applyFill="1" applyBorder="1"/>
    <xf numFmtId="0" fontId="3" fillId="0" borderId="1" xfId="0" applyFont="1" applyFill="1" applyBorder="1"/>
    <xf numFmtId="0" fontId="3" fillId="0" borderId="5" xfId="0" applyFont="1" applyFill="1" applyBorder="1"/>
    <xf numFmtId="164" fontId="3" fillId="0" borderId="0" xfId="1" applyNumberFormat="1" applyFont="1" applyFill="1" applyBorder="1"/>
    <xf numFmtId="164" fontId="3" fillId="0" borderId="5" xfId="1" applyNumberFormat="1" applyFont="1" applyFill="1" applyBorder="1"/>
    <xf numFmtId="164" fontId="3" fillId="0" borderId="4" xfId="1" applyNumberFormat="1" applyFont="1" applyFill="1" applyBorder="1"/>
    <xf numFmtId="164" fontId="3" fillId="0" borderId="1" xfId="1" applyNumberFormat="1" applyFont="1" applyFill="1" applyBorder="1"/>
    <xf numFmtId="0" fontId="3" fillId="6" borderId="1" xfId="0" applyFont="1" applyFill="1" applyBorder="1" applyAlignment="1">
      <alignment horizontal="center"/>
    </xf>
    <xf numFmtId="164" fontId="3" fillId="0" borderId="4" xfId="0" applyNumberFormat="1" applyFont="1" applyFill="1" applyBorder="1"/>
    <xf numFmtId="164" fontId="3" fillId="0" borderId="1" xfId="0" applyNumberFormat="1" applyFont="1" applyFill="1" applyBorder="1"/>
    <xf numFmtId="164" fontId="3" fillId="0" borderId="5" xfId="0" applyNumberFormat="1" applyFont="1" applyFill="1" applyBorder="1"/>
    <xf numFmtId="0" fontId="3" fillId="6" borderId="26" xfId="0" applyFont="1" applyFill="1" applyBorder="1" applyAlignment="1">
      <alignment horizontal="center"/>
    </xf>
    <xf numFmtId="0" fontId="3" fillId="0" borderId="9" xfId="0" applyFont="1" applyBorder="1"/>
    <xf numFmtId="0" fontId="3" fillId="0" borderId="0" xfId="0" applyFont="1" applyFill="1" applyBorder="1"/>
    <xf numFmtId="0" fontId="3" fillId="0" borderId="22" xfId="0" applyFont="1" applyFill="1" applyBorder="1"/>
    <xf numFmtId="164" fontId="3" fillId="0" borderId="22" xfId="1" applyNumberFormat="1" applyFont="1" applyFill="1" applyBorder="1"/>
    <xf numFmtId="164" fontId="3" fillId="0" borderId="9" xfId="1" applyNumberFormat="1" applyFont="1" applyFill="1" applyBorder="1"/>
    <xf numFmtId="0" fontId="3" fillId="6" borderId="0" xfId="0" applyFont="1" applyFill="1" applyBorder="1" applyAlignment="1">
      <alignment horizontal="center"/>
    </xf>
    <xf numFmtId="164" fontId="3" fillId="0" borderId="9" xfId="1" applyNumberFormat="1" applyFont="1" applyBorder="1"/>
    <xf numFmtId="164" fontId="3" fillId="0" borderId="0" xfId="1" applyNumberFormat="1" applyFont="1" applyBorder="1"/>
    <xf numFmtId="164" fontId="3" fillId="0" borderId="22" xfId="1" applyNumberFormat="1" applyFont="1" applyBorder="1"/>
    <xf numFmtId="0" fontId="3" fillId="10" borderId="0" xfId="0" applyFont="1" applyFill="1" applyBorder="1"/>
    <xf numFmtId="0" fontId="3" fillId="6" borderId="2" xfId="0" applyFont="1" applyFill="1" applyBorder="1" applyAlignment="1">
      <alignment horizontal="center"/>
    </xf>
    <xf numFmtId="164" fontId="3" fillId="0" borderId="2" xfId="1" applyNumberFormat="1" applyFont="1" applyFill="1" applyBorder="1"/>
    <xf numFmtId="164" fontId="3" fillId="0" borderId="7" xfId="1" applyNumberFormat="1" applyFont="1" applyFill="1" applyBorder="1"/>
    <xf numFmtId="164" fontId="3" fillId="0" borderId="6" xfId="1" applyNumberFormat="1" applyFont="1" applyFill="1" applyBorder="1"/>
    <xf numFmtId="164" fontId="3" fillId="0" borderId="6" xfId="1" applyNumberFormat="1" applyFont="1" applyBorder="1"/>
    <xf numFmtId="164" fontId="3" fillId="0" borderId="2" xfId="1" applyNumberFormat="1" applyFont="1" applyBorder="1"/>
    <xf numFmtId="164" fontId="3" fillId="0" borderId="7" xfId="1" applyNumberFormat="1" applyFont="1" applyBorder="1"/>
    <xf numFmtId="0" fontId="3" fillId="6" borderId="30" xfId="0" applyFont="1" applyFill="1" applyBorder="1" applyAlignment="1">
      <alignment horizontal="center"/>
    </xf>
    <xf numFmtId="0" fontId="3" fillId="0" borderId="31" xfId="0" applyFont="1" applyBorder="1"/>
    <xf numFmtId="0" fontId="3" fillId="0" borderId="31" xfId="0" applyFont="1" applyFill="1" applyBorder="1"/>
    <xf numFmtId="164" fontId="3" fillId="0" borderId="31" xfId="1" applyNumberFormat="1" applyFont="1" applyFill="1" applyBorder="1"/>
    <xf numFmtId="164" fontId="3" fillId="0" borderId="29" xfId="1" applyNumberFormat="1" applyFont="1" applyFill="1" applyBorder="1"/>
    <xf numFmtId="0" fontId="0" fillId="0" borderId="31" xfId="0" applyFill="1" applyBorder="1"/>
    <xf numFmtId="164" fontId="0" fillId="0" borderId="35" xfId="1" applyNumberFormat="1" applyFont="1" applyFill="1" applyBorder="1"/>
    <xf numFmtId="0" fontId="18" fillId="5" borderId="12" xfId="0" applyFont="1" applyFill="1" applyBorder="1" applyAlignment="1">
      <alignment horizontal="center" vertical="center" wrapText="1"/>
    </xf>
    <xf numFmtId="0" fontId="18" fillId="0" borderId="24"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21"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0" borderId="23" xfId="0" applyFont="1" applyFill="1" applyBorder="1" applyAlignment="1">
      <alignment horizontal="center" vertical="center" wrapText="1"/>
    </xf>
    <xf numFmtId="0" fontId="19" fillId="5" borderId="13" xfId="0" applyFont="1" applyFill="1" applyBorder="1" applyAlignment="1">
      <alignment horizontal="center"/>
    </xf>
    <xf numFmtId="0" fontId="19" fillId="2" borderId="4" xfId="0" applyFont="1" applyFill="1" applyBorder="1"/>
    <xf numFmtId="0" fontId="19" fillId="2" borderId="1" xfId="0" applyFont="1" applyFill="1" applyBorder="1"/>
    <xf numFmtId="0" fontId="19" fillId="2" borderId="5" xfId="0" applyFont="1" applyFill="1" applyBorder="1"/>
    <xf numFmtId="164" fontId="19" fillId="2" borderId="9" xfId="1" applyNumberFormat="1" applyFont="1" applyFill="1" applyBorder="1"/>
    <xf numFmtId="164" fontId="19" fillId="2" borderId="0" xfId="1" applyNumberFormat="1" applyFont="1" applyFill="1" applyBorder="1"/>
    <xf numFmtId="164" fontId="19" fillId="2" borderId="22" xfId="1" applyNumberFormat="1" applyFont="1" applyFill="1" applyBorder="1"/>
    <xf numFmtId="164" fontId="19" fillId="10" borderId="4" xfId="1" applyNumberFormat="1" applyFont="1" applyFill="1" applyBorder="1"/>
    <xf numFmtId="164" fontId="19" fillId="10" borderId="0" xfId="1" applyNumberFormat="1" applyFont="1" applyFill="1" applyBorder="1"/>
    <xf numFmtId="164" fontId="19" fillId="2" borderId="14" xfId="1" applyNumberFormat="1" applyFont="1" applyFill="1" applyBorder="1"/>
    <xf numFmtId="164" fontId="19" fillId="2" borderId="9" xfId="0" applyNumberFormat="1" applyFont="1" applyFill="1" applyBorder="1"/>
    <xf numFmtId="164" fontId="19" fillId="2" borderId="0" xfId="0" applyNumberFormat="1" applyFont="1" applyFill="1" applyBorder="1"/>
    <xf numFmtId="164" fontId="19" fillId="2" borderId="14" xfId="0" applyNumberFormat="1" applyFont="1" applyFill="1" applyBorder="1"/>
    <xf numFmtId="0" fontId="19" fillId="5" borderId="15" xfId="0" applyFont="1" applyFill="1" applyBorder="1" applyAlignment="1">
      <alignment horizontal="center"/>
    </xf>
    <xf numFmtId="0" fontId="19" fillId="2" borderId="9" xfId="0" applyFont="1" applyFill="1" applyBorder="1"/>
    <xf numFmtId="0" fontId="19" fillId="2" borderId="0" xfId="0" applyFont="1" applyFill="1" applyBorder="1"/>
    <xf numFmtId="0" fontId="19" fillId="2" borderId="22" xfId="0" applyFont="1" applyFill="1" applyBorder="1"/>
    <xf numFmtId="164" fontId="19" fillId="10" borderId="9" xfId="1" applyNumberFormat="1" applyFont="1" applyFill="1" applyBorder="1"/>
    <xf numFmtId="0" fontId="19" fillId="0" borderId="9" xfId="0" applyFont="1" applyFill="1" applyBorder="1"/>
    <xf numFmtId="0" fontId="19" fillId="0" borderId="0" xfId="0" applyFont="1" applyFill="1" applyBorder="1"/>
    <xf numFmtId="0" fontId="19" fillId="0" borderId="22" xfId="0" applyFont="1" applyFill="1" applyBorder="1"/>
    <xf numFmtId="164" fontId="19" fillId="0" borderId="9" xfId="1" applyNumberFormat="1" applyFont="1" applyFill="1" applyBorder="1"/>
    <xf numFmtId="164" fontId="19" fillId="0" borderId="0" xfId="1" applyNumberFormat="1" applyFont="1" applyFill="1" applyBorder="1"/>
    <xf numFmtId="164" fontId="19" fillId="0" borderId="22" xfId="1" applyNumberFormat="1" applyFont="1" applyFill="1" applyBorder="1"/>
    <xf numFmtId="164" fontId="19" fillId="0" borderId="14" xfId="1" applyNumberFormat="1" applyFont="1" applyFill="1" applyBorder="1"/>
    <xf numFmtId="164" fontId="19" fillId="0" borderId="9" xfId="1" applyNumberFormat="1" applyFont="1" applyBorder="1"/>
    <xf numFmtId="164" fontId="19" fillId="0" borderId="0" xfId="1" applyNumberFormat="1" applyFont="1" applyBorder="1"/>
    <xf numFmtId="164" fontId="19" fillId="0" borderId="14" xfId="1" applyNumberFormat="1" applyFont="1" applyBorder="1"/>
    <xf numFmtId="0" fontId="19" fillId="10" borderId="0" xfId="0" applyFont="1" applyFill="1" applyBorder="1"/>
    <xf numFmtId="0" fontId="19" fillId="5" borderId="34" xfId="0" applyFont="1" applyFill="1" applyBorder="1" applyAlignment="1">
      <alignment horizontal="center"/>
    </xf>
    <xf numFmtId="0" fontId="19" fillId="0" borderId="31" xfId="0" applyFont="1" applyFill="1" applyBorder="1"/>
    <xf numFmtId="164" fontId="19" fillId="0" borderId="35" xfId="1" applyNumberFormat="1" applyFont="1" applyFill="1" applyBorder="1"/>
    <xf numFmtId="164" fontId="19" fillId="0" borderId="36" xfId="1" applyNumberFormat="1" applyFont="1" applyFill="1" applyBorder="1"/>
    <xf numFmtId="0" fontId="19" fillId="5" borderId="16" xfId="0" applyFont="1" applyFill="1" applyBorder="1" applyAlignment="1">
      <alignment horizontal="center"/>
    </xf>
    <xf numFmtId="164" fontId="19" fillId="0" borderId="6" xfId="1" applyNumberFormat="1" applyFont="1" applyFill="1" applyBorder="1"/>
    <xf numFmtId="164" fontId="19" fillId="0" borderId="2" xfId="1" applyNumberFormat="1" applyFont="1" applyFill="1" applyBorder="1"/>
    <xf numFmtId="164" fontId="19" fillId="0" borderId="7" xfId="1" applyNumberFormat="1" applyFont="1" applyFill="1" applyBorder="1"/>
    <xf numFmtId="164" fontId="19" fillId="10" borderId="6" xfId="1" applyNumberFormat="1" applyFont="1" applyFill="1" applyBorder="1"/>
    <xf numFmtId="164" fontId="19" fillId="0" borderId="17" xfId="1" applyNumberFormat="1" applyFont="1" applyFill="1" applyBorder="1"/>
    <xf numFmtId="164" fontId="19" fillId="0" borderId="6" xfId="1" applyNumberFormat="1" applyFont="1" applyBorder="1"/>
    <xf numFmtId="164" fontId="19" fillId="0" borderId="2" xfId="1" applyNumberFormat="1" applyFont="1" applyBorder="1"/>
    <xf numFmtId="164" fontId="19" fillId="0" borderId="17" xfId="1" applyNumberFormat="1" applyFont="1" applyBorder="1"/>
    <xf numFmtId="164" fontId="17" fillId="0" borderId="9" xfId="1" applyNumberFormat="1" applyFont="1" applyFill="1" applyBorder="1"/>
    <xf numFmtId="164" fontId="17" fillId="10" borderId="1" xfId="1" applyNumberFormat="1" applyFont="1" applyFill="1" applyBorder="1"/>
    <xf numFmtId="164" fontId="3" fillId="10" borderId="9" xfId="1" applyNumberFormat="1" applyFont="1" applyFill="1" applyBorder="1"/>
    <xf numFmtId="164" fontId="3" fillId="10" borderId="6" xfId="1" applyNumberFormat="1" applyFont="1" applyFill="1" applyBorder="1"/>
    <xf numFmtId="0" fontId="3" fillId="6" borderId="15" xfId="0" applyFont="1" applyFill="1" applyBorder="1" applyAlignment="1">
      <alignment horizontal="center"/>
    </xf>
    <xf numFmtId="0" fontId="3" fillId="6" borderId="34" xfId="0" applyFont="1" applyFill="1" applyBorder="1" applyAlignment="1">
      <alignment horizontal="center"/>
    </xf>
    <xf numFmtId="0" fontId="3" fillId="6" borderId="13" xfId="0" applyFont="1" applyFill="1" applyBorder="1" applyAlignment="1">
      <alignment horizontal="center"/>
    </xf>
    <xf numFmtId="0" fontId="3" fillId="0" borderId="4" xfId="0" applyFont="1" applyBorder="1"/>
    <xf numFmtId="164" fontId="3" fillId="0" borderId="14" xfId="1" applyNumberFormat="1" applyFont="1" applyFill="1" applyBorder="1"/>
    <xf numFmtId="164" fontId="3" fillId="0" borderId="9" xfId="0" applyNumberFormat="1" applyFont="1" applyFill="1" applyBorder="1"/>
    <xf numFmtId="164" fontId="3" fillId="0" borderId="0" xfId="0" applyNumberFormat="1" applyFont="1" applyFill="1" applyBorder="1"/>
    <xf numFmtId="164" fontId="3" fillId="0" borderId="35" xfId="1" applyNumberFormat="1" applyFont="1" applyFill="1" applyBorder="1"/>
    <xf numFmtId="0" fontId="3" fillId="6" borderId="16" xfId="0" applyFont="1" applyFill="1" applyBorder="1" applyAlignment="1">
      <alignment horizontal="center"/>
    </xf>
    <xf numFmtId="0" fontId="3" fillId="6" borderId="0" xfId="0" applyFont="1" applyFill="1"/>
    <xf numFmtId="164" fontId="3" fillId="10" borderId="2" xfId="1" applyNumberFormat="1" applyFont="1" applyFill="1" applyBorder="1"/>
    <xf numFmtId="164" fontId="3" fillId="0" borderId="17" xfId="1" applyNumberFormat="1" applyFont="1" applyFill="1" applyBorder="1"/>
    <xf numFmtId="0" fontId="19" fillId="0" borderId="1" xfId="0" applyFont="1" applyFill="1" applyBorder="1"/>
    <xf numFmtId="0" fontId="19" fillId="0" borderId="5" xfId="0" applyFont="1" applyFill="1" applyBorder="1"/>
    <xf numFmtId="0" fontId="19" fillId="6" borderId="34" xfId="0" applyFont="1" applyFill="1" applyBorder="1" applyAlignment="1">
      <alignment horizontal="center"/>
    </xf>
    <xf numFmtId="0" fontId="19" fillId="0" borderId="0" xfId="0" applyFont="1" applyBorder="1"/>
    <xf numFmtId="0" fontId="3" fillId="5" borderId="13" xfId="0" applyFont="1" applyFill="1" applyBorder="1" applyAlignment="1">
      <alignment horizontal="center"/>
    </xf>
    <xf numFmtId="164" fontId="3" fillId="0" borderId="9" xfId="0" applyNumberFormat="1" applyFont="1" applyBorder="1"/>
    <xf numFmtId="164" fontId="3" fillId="0" borderId="0" xfId="0" applyNumberFormat="1" applyFont="1" applyBorder="1"/>
    <xf numFmtId="0" fontId="3" fillId="5" borderId="15" xfId="0" applyFont="1" applyFill="1" applyBorder="1" applyAlignment="1">
      <alignment horizontal="center"/>
    </xf>
    <xf numFmtId="0" fontId="3" fillId="0" borderId="9" xfId="0" applyFont="1" applyFill="1" applyBorder="1"/>
    <xf numFmtId="164" fontId="3" fillId="0" borderId="35" xfId="1" applyNumberFormat="1" applyFont="1" applyBorder="1"/>
    <xf numFmtId="0" fontId="3" fillId="5" borderId="16" xfId="0" applyFont="1" applyFill="1" applyBorder="1" applyAlignment="1">
      <alignment horizontal="center"/>
    </xf>
    <xf numFmtId="0" fontId="3" fillId="6" borderId="27" xfId="0" applyFont="1" applyFill="1" applyBorder="1" applyAlignment="1">
      <alignment horizontal="center"/>
    </xf>
    <xf numFmtId="164" fontId="15" fillId="0" borderId="31" xfId="1" applyNumberFormat="1" applyFont="1" applyFill="1" applyBorder="1"/>
    <xf numFmtId="164" fontId="0" fillId="0" borderId="37" xfId="1" applyNumberFormat="1" applyFont="1" applyFill="1" applyBorder="1"/>
    <xf numFmtId="164" fontId="0" fillId="0" borderId="31" xfId="1" applyNumberFormat="1" applyFont="1" applyFill="1" applyBorder="1"/>
    <xf numFmtId="164" fontId="0" fillId="0" borderId="31" xfId="1" applyNumberFormat="1" applyFont="1" applyBorder="1"/>
    <xf numFmtId="164" fontId="15" fillId="0" borderId="31" xfId="1" applyNumberFormat="1" applyFont="1" applyBorder="1"/>
    <xf numFmtId="164" fontId="0" fillId="0" borderId="29" xfId="1" applyNumberFormat="1" applyFont="1" applyBorder="1"/>
    <xf numFmtId="164" fontId="3" fillId="10" borderId="31" xfId="1" applyNumberFormat="1" applyFont="1" applyFill="1" applyBorder="1"/>
    <xf numFmtId="0" fontId="18" fillId="6" borderId="12" xfId="0" applyFont="1" applyFill="1" applyBorder="1" applyAlignment="1">
      <alignment horizontal="center" vertical="center" wrapText="1"/>
    </xf>
    <xf numFmtId="0" fontId="19" fillId="6" borderId="3" xfId="0" applyFont="1" applyFill="1" applyBorder="1" applyAlignment="1">
      <alignment horizontal="center"/>
    </xf>
    <xf numFmtId="0" fontId="19" fillId="0" borderId="1" xfId="0" applyFont="1" applyBorder="1"/>
    <xf numFmtId="164" fontId="19" fillId="0" borderId="4" xfId="1" applyNumberFormat="1" applyFont="1" applyFill="1" applyBorder="1"/>
    <xf numFmtId="164" fontId="19" fillId="0" borderId="1" xfId="1" applyNumberFormat="1" applyFont="1" applyFill="1" applyBorder="1"/>
    <xf numFmtId="164" fontId="19" fillId="0" borderId="5" xfId="1" applyNumberFormat="1" applyFont="1" applyFill="1" applyBorder="1"/>
    <xf numFmtId="164" fontId="19" fillId="4" borderId="0" xfId="1" applyNumberFormat="1" applyFont="1" applyFill="1" applyBorder="1"/>
    <xf numFmtId="164" fontId="19" fillId="0" borderId="0" xfId="0" applyNumberFormat="1" applyFont="1" applyBorder="1"/>
    <xf numFmtId="164" fontId="19" fillId="0" borderId="4" xfId="0" applyNumberFormat="1" applyFont="1" applyBorder="1"/>
    <xf numFmtId="164" fontId="19" fillId="0" borderId="1" xfId="0" applyNumberFormat="1" applyFont="1" applyBorder="1"/>
    <xf numFmtId="164" fontId="19" fillId="0" borderId="5" xfId="0" applyNumberFormat="1" applyFont="1" applyBorder="1"/>
    <xf numFmtId="0" fontId="19" fillId="6" borderId="27" xfId="0" applyFont="1" applyFill="1" applyBorder="1" applyAlignment="1">
      <alignment horizontal="center"/>
    </xf>
    <xf numFmtId="164" fontId="19" fillId="0" borderId="22" xfId="1" applyNumberFormat="1" applyFont="1" applyBorder="1"/>
    <xf numFmtId="0" fontId="17" fillId="5" borderId="34" xfId="0" applyFont="1" applyFill="1" applyBorder="1" applyAlignment="1">
      <alignment horizontal="center"/>
    </xf>
    <xf numFmtId="0" fontId="3" fillId="5" borderId="38" xfId="0" applyFont="1" applyFill="1" applyBorder="1" applyAlignment="1">
      <alignment horizontal="center"/>
    </xf>
    <xf numFmtId="164" fontId="0" fillId="0" borderId="29" xfId="1" applyNumberFormat="1" applyFont="1" applyFill="1" applyBorder="1"/>
    <xf numFmtId="0" fontId="3" fillId="6" borderId="8" xfId="0" applyFont="1" applyFill="1" applyBorder="1" applyAlignment="1">
      <alignment horizontal="center"/>
    </xf>
    <xf numFmtId="0" fontId="3" fillId="6" borderId="38" xfId="0" applyFont="1" applyFill="1" applyBorder="1" applyAlignment="1">
      <alignment horizontal="center"/>
    </xf>
    <xf numFmtId="0" fontId="3" fillId="6" borderId="0" xfId="0" applyFont="1" applyFill="1" applyBorder="1" applyAlignment="1">
      <alignment horizontal="center" wrapText="1"/>
    </xf>
    <xf numFmtId="0" fontId="3" fillId="6" borderId="26" xfId="0" applyFont="1" applyFill="1" applyBorder="1" applyAlignment="1">
      <alignment horizontal="center" wrapText="1"/>
    </xf>
    <xf numFmtId="164" fontId="12" fillId="10" borderId="31" xfId="1" applyNumberFormat="1" applyFont="1" applyFill="1" applyBorder="1"/>
    <xf numFmtId="164" fontId="3" fillId="0" borderId="37" xfId="1" applyNumberFormat="1" applyFont="1" applyFill="1" applyBorder="1"/>
    <xf numFmtId="0" fontId="3" fillId="5" borderId="34" xfId="0" applyFont="1" applyFill="1" applyBorder="1" applyAlignment="1">
      <alignment horizontal="center"/>
    </xf>
    <xf numFmtId="0" fontId="3" fillId="5" borderId="26" xfId="0" applyFont="1" applyFill="1" applyBorder="1" applyAlignment="1">
      <alignment horizontal="center" wrapText="1"/>
    </xf>
    <xf numFmtId="164" fontId="19" fillId="6" borderId="35" xfId="1" applyNumberFormat="1" applyFont="1" applyFill="1" applyBorder="1"/>
    <xf numFmtId="0" fontId="3" fillId="0" borderId="0" xfId="0" applyFont="1" applyFill="1" applyBorder="1" applyAlignment="1">
      <alignment horizontal="left"/>
    </xf>
    <xf numFmtId="0" fontId="17" fillId="0" borderId="0" xfId="0" applyFont="1" applyFill="1" applyBorder="1" applyAlignment="1">
      <alignment horizontal="left"/>
    </xf>
    <xf numFmtId="0" fontId="3" fillId="0" borderId="0" xfId="0" applyFont="1"/>
    <xf numFmtId="0" fontId="11" fillId="6" borderId="0" xfId="0" applyFont="1" applyFill="1" applyBorder="1" applyAlignment="1">
      <alignment horizontal="center"/>
    </xf>
    <xf numFmtId="0" fontId="19" fillId="6" borderId="0" xfId="0" applyFont="1" applyFill="1" applyBorder="1" applyAlignment="1">
      <alignment horizontal="center"/>
    </xf>
    <xf numFmtId="0" fontId="3" fillId="5" borderId="26" xfId="0" applyFont="1" applyFill="1" applyBorder="1" applyAlignment="1">
      <alignment horizontal="center"/>
    </xf>
    <xf numFmtId="0" fontId="3" fillId="5" borderId="0" xfId="0" applyFont="1" applyFill="1" applyBorder="1" applyAlignment="1">
      <alignment horizontal="center"/>
    </xf>
    <xf numFmtId="0" fontId="3" fillId="0" borderId="0" xfId="0" applyFont="1" applyFill="1"/>
    <xf numFmtId="0" fontId="19" fillId="0" borderId="0" xfId="0" applyFont="1" applyFill="1"/>
    <xf numFmtId="164" fontId="0" fillId="7" borderId="0" xfId="1" applyNumberFormat="1" applyFont="1" applyFill="1" applyBorder="1"/>
    <xf numFmtId="0" fontId="0" fillId="0" borderId="0" xfId="0" applyAlignment="1">
      <alignment horizontal="center"/>
    </xf>
    <xf numFmtId="164" fontId="0" fillId="0" borderId="32" xfId="0" applyNumberFormat="1" applyBorder="1"/>
    <xf numFmtId="0" fontId="3" fillId="0" borderId="32" xfId="0" applyFont="1" applyBorder="1"/>
    <xf numFmtId="0" fontId="0" fillId="0" borderId="32" xfId="0" applyBorder="1"/>
    <xf numFmtId="0" fontId="9" fillId="0" borderId="0" xfId="0" applyFont="1" applyFill="1" applyBorder="1" applyAlignment="1">
      <alignment vertical="center"/>
    </xf>
    <xf numFmtId="164" fontId="3" fillId="11" borderId="0" xfId="1" applyNumberFormat="1" applyFont="1" applyFill="1" applyBorder="1"/>
    <xf numFmtId="0" fontId="0" fillId="11" borderId="0" xfId="0" applyFill="1"/>
    <xf numFmtId="164" fontId="3" fillId="11" borderId="0" xfId="0" applyNumberFormat="1" applyFont="1" applyFill="1" applyBorder="1"/>
    <xf numFmtId="0" fontId="11" fillId="11" borderId="0" xfId="0" applyFont="1" applyFill="1" applyBorder="1" applyAlignment="1">
      <alignment horizontal="center"/>
    </xf>
    <xf numFmtId="164" fontId="12" fillId="11" borderId="0" xfId="1" applyNumberFormat="1" applyFont="1" applyFill="1" applyBorder="1"/>
    <xf numFmtId="0" fontId="5" fillId="11" borderId="0" xfId="0" applyFont="1" applyFill="1" applyBorder="1" applyAlignment="1">
      <alignment horizontal="center" vertical="center" wrapText="1"/>
    </xf>
    <xf numFmtId="0" fontId="0" fillId="8" borderId="32" xfId="0" applyFill="1" applyBorder="1" applyAlignment="1">
      <alignment horizontal="center"/>
    </xf>
    <xf numFmtId="0" fontId="3" fillId="7" borderId="0" xfId="0" applyFont="1" applyFill="1"/>
    <xf numFmtId="0" fontId="2" fillId="7" borderId="0" xfId="2" applyFill="1" applyAlignment="1">
      <alignment horizontal="center"/>
    </xf>
    <xf numFmtId="0" fontId="20" fillId="7" borderId="22" xfId="2" applyFont="1" applyFill="1" applyBorder="1" applyAlignment="1">
      <alignment horizontal="center" vertical="center"/>
    </xf>
    <xf numFmtId="0" fontId="3" fillId="7" borderId="9" xfId="4" applyFont="1" applyFill="1" applyBorder="1" applyAlignment="1">
      <alignment horizontal="center"/>
    </xf>
    <xf numFmtId="0" fontId="3" fillId="7" borderId="0" xfId="4" applyFont="1" applyFill="1" applyBorder="1" applyAlignment="1">
      <alignment horizontal="center"/>
    </xf>
    <xf numFmtId="0" fontId="3" fillId="0" borderId="0" xfId="0" applyFont="1" applyAlignment="1">
      <alignment horizontal="left"/>
    </xf>
    <xf numFmtId="0" fontId="21" fillId="0" borderId="0" xfId="0" applyFont="1"/>
    <xf numFmtId="0" fontId="3" fillId="5" borderId="2" xfId="0" applyFont="1" applyFill="1" applyBorder="1" applyAlignment="1">
      <alignment horizontal="center"/>
    </xf>
    <xf numFmtId="1" fontId="22" fillId="0" borderId="0" xfId="0" applyNumberFormat="1" applyFont="1" applyFill="1" applyBorder="1" applyAlignment="1">
      <alignment horizontal="center" vertical="center" wrapText="1"/>
    </xf>
    <xf numFmtId="164" fontId="17" fillId="0" borderId="0" xfId="1" applyNumberFormat="1" applyFont="1" applyFill="1" applyBorder="1"/>
    <xf numFmtId="164" fontId="17" fillId="11" borderId="0" xfId="1" applyNumberFormat="1" applyFont="1" applyFill="1" applyBorder="1"/>
    <xf numFmtId="0" fontId="17" fillId="6" borderId="0" xfId="0" applyFont="1" applyFill="1" applyBorder="1" applyAlignment="1">
      <alignment horizontal="center"/>
    </xf>
    <xf numFmtId="0" fontId="11" fillId="0" borderId="0" xfId="0" applyFont="1" applyBorder="1" applyAlignment="1">
      <alignment horizontal="left"/>
    </xf>
    <xf numFmtId="0" fontId="5" fillId="6" borderId="40" xfId="0" applyFont="1" applyFill="1" applyBorder="1" applyAlignment="1">
      <alignment horizontal="center" vertical="center" wrapText="1"/>
    </xf>
    <xf numFmtId="1" fontId="0" fillId="0" borderId="32" xfId="0" applyNumberFormat="1" applyBorder="1"/>
    <xf numFmtId="1" fontId="0" fillId="0" borderId="32" xfId="0" applyNumberFormat="1" applyBorder="1" applyAlignment="1">
      <alignment horizontal="right"/>
    </xf>
    <xf numFmtId="0" fontId="0" fillId="12" borderId="32" xfId="0" applyFill="1" applyBorder="1"/>
    <xf numFmtId="166" fontId="0" fillId="0" borderId="32" xfId="0" applyNumberFormat="1" applyBorder="1"/>
    <xf numFmtId="167" fontId="0" fillId="0" borderId="32" xfId="0" applyNumberFormat="1" applyBorder="1"/>
    <xf numFmtId="0" fontId="17" fillId="0" borderId="32" xfId="0" applyFont="1" applyBorder="1"/>
    <xf numFmtId="0" fontId="26" fillId="0" borderId="0" xfId="0" applyFont="1"/>
    <xf numFmtId="0" fontId="29" fillId="13" borderId="0" xfId="0" applyFont="1" applyFill="1" applyAlignment="1">
      <alignment horizontal="center" vertical="center" wrapText="1"/>
    </xf>
    <xf numFmtId="0" fontId="28" fillId="13" borderId="0" xfId="0" applyFont="1" applyFill="1" applyAlignment="1">
      <alignment horizontal="left" vertical="center"/>
    </xf>
    <xf numFmtId="0" fontId="5" fillId="14" borderId="0" xfId="0" applyFont="1" applyFill="1" applyAlignment="1">
      <alignment horizontal="center" vertical="center" wrapText="1"/>
    </xf>
    <xf numFmtId="0" fontId="5" fillId="14" borderId="9" xfId="0" applyFont="1" applyFill="1" applyBorder="1" applyAlignment="1">
      <alignment horizontal="center" vertical="center" wrapText="1"/>
    </xf>
    <xf numFmtId="0" fontId="27" fillId="0" borderId="0" xfId="0" applyFont="1" applyAlignment="1">
      <alignment horizontal="center" vertical="center"/>
    </xf>
    <xf numFmtId="168" fontId="27" fillId="0" borderId="0" xfId="6" applyNumberFormat="1" applyFont="1" applyAlignment="1">
      <alignment horizontal="center" vertical="center"/>
    </xf>
    <xf numFmtId="164" fontId="27" fillId="0" borderId="9" xfId="1" applyNumberFormat="1" applyFont="1" applyBorder="1" applyAlignment="1">
      <alignment horizontal="center" vertical="center"/>
    </xf>
    <xf numFmtId="164" fontId="27" fillId="0" borderId="0" xfId="1" applyNumberFormat="1" applyFont="1" applyAlignment="1">
      <alignment horizontal="center" vertical="center"/>
    </xf>
    <xf numFmtId="0" fontId="0" fillId="0" borderId="0" xfId="0" applyAlignment="1">
      <alignment horizontal="center" vertical="center"/>
    </xf>
    <xf numFmtId="168" fontId="0" fillId="0" borderId="0" xfId="6" applyNumberFormat="1" applyFont="1" applyAlignment="1">
      <alignment horizontal="center" vertical="center"/>
    </xf>
    <xf numFmtId="164" fontId="0" fillId="0" borderId="9" xfId="1" applyNumberFormat="1" applyFont="1" applyBorder="1" applyAlignment="1">
      <alignment horizontal="center" vertical="center"/>
    </xf>
    <xf numFmtId="164" fontId="0" fillId="0" borderId="0" xfId="1" applyNumberFormat="1" applyFont="1" applyAlignment="1">
      <alignment horizontal="center" vertical="center"/>
    </xf>
    <xf numFmtId="0" fontId="27" fillId="0" borderId="2" xfId="0" applyFont="1" applyBorder="1" applyAlignment="1">
      <alignment horizontal="center" vertical="center"/>
    </xf>
    <xf numFmtId="168" fontId="27" fillId="0" borderId="2" xfId="6" applyNumberFormat="1" applyFont="1" applyBorder="1" applyAlignment="1">
      <alignment horizontal="center" vertical="center"/>
    </xf>
    <xf numFmtId="164" fontId="27" fillId="0" borderId="6" xfId="1" applyNumberFormat="1" applyFont="1" applyBorder="1" applyAlignment="1">
      <alignment horizontal="center" vertical="center"/>
    </xf>
    <xf numFmtId="164" fontId="27" fillId="0" borderId="2" xfId="1" applyNumberFormat="1" applyFont="1" applyBorder="1" applyAlignment="1">
      <alignment horizontal="center" vertical="center"/>
    </xf>
    <xf numFmtId="164" fontId="17" fillId="0" borderId="9" xfId="1" applyNumberFormat="1" applyFont="1" applyBorder="1" applyAlignment="1">
      <alignment horizontal="center" vertical="center"/>
    </xf>
    <xf numFmtId="164" fontId="17" fillId="0" borderId="0" xfId="1" applyNumberFormat="1" applyFont="1" applyAlignment="1">
      <alignment horizontal="center" vertical="center"/>
    </xf>
    <xf numFmtId="168" fontId="27" fillId="15" borderId="0" xfId="6" applyNumberFormat="1" applyFont="1" applyFill="1" applyAlignment="1">
      <alignment horizontal="center" vertical="center"/>
    </xf>
    <xf numFmtId="168" fontId="27" fillId="15" borderId="2" xfId="6" applyNumberFormat="1" applyFont="1" applyFill="1" applyBorder="1" applyAlignment="1">
      <alignment horizontal="center" vertical="center"/>
    </xf>
    <xf numFmtId="168" fontId="0" fillId="15" borderId="0" xfId="6" applyNumberFormat="1" applyFont="1" applyFill="1" applyAlignment="1">
      <alignment horizontal="center" vertical="center"/>
    </xf>
    <xf numFmtId="164" fontId="27" fillId="15" borderId="0" xfId="1" applyNumberFormat="1" applyFont="1" applyFill="1" applyAlignment="1">
      <alignment horizontal="center" vertical="center"/>
    </xf>
    <xf numFmtId="164" fontId="27" fillId="15" borderId="2" xfId="1" applyNumberFormat="1" applyFont="1" applyFill="1" applyBorder="1" applyAlignment="1">
      <alignment horizontal="center" vertical="center"/>
    </xf>
    <xf numFmtId="164" fontId="0" fillId="15" borderId="0" xfId="1" applyNumberFormat="1" applyFont="1" applyFill="1" applyAlignment="1">
      <alignment horizontal="center" vertical="center"/>
    </xf>
    <xf numFmtId="164" fontId="27" fillId="0" borderId="0" xfId="1" applyNumberFormat="1" applyFont="1" applyFill="1" applyAlignment="1">
      <alignment horizontal="center" vertical="center"/>
    </xf>
    <xf numFmtId="164" fontId="27" fillId="0" borderId="2" xfId="1" applyNumberFormat="1" applyFont="1" applyFill="1" applyBorder="1" applyAlignment="1">
      <alignment horizontal="center" vertical="center"/>
    </xf>
    <xf numFmtId="164" fontId="0" fillId="0" borderId="0" xfId="1" applyNumberFormat="1" applyFont="1" applyFill="1" applyAlignment="1">
      <alignment horizontal="center" vertical="center"/>
    </xf>
    <xf numFmtId="164" fontId="17" fillId="0" borderId="2" xfId="1" applyNumberFormat="1" applyFont="1" applyBorder="1" applyAlignment="1">
      <alignment horizontal="center" vertical="center"/>
    </xf>
    <xf numFmtId="164" fontId="3" fillId="0" borderId="0" xfId="1" applyNumberFormat="1" applyFont="1" applyAlignment="1">
      <alignment horizontal="center" vertical="center"/>
    </xf>
    <xf numFmtId="0" fontId="31" fillId="0" borderId="0" xfId="0" applyFont="1" applyAlignment="1">
      <alignment horizontal="center" vertical="center"/>
    </xf>
    <xf numFmtId="168" fontId="31" fillId="0" borderId="0" xfId="6" applyNumberFormat="1" applyFont="1" applyAlignment="1">
      <alignment horizontal="center" vertical="center"/>
    </xf>
    <xf numFmtId="164" fontId="31" fillId="0" borderId="9" xfId="1" applyNumberFormat="1" applyFont="1" applyBorder="1" applyAlignment="1">
      <alignment horizontal="center" vertical="center"/>
    </xf>
    <xf numFmtId="164" fontId="31" fillId="0" borderId="0" xfId="1" applyNumberFormat="1" applyFont="1" applyAlignment="1">
      <alignment horizontal="center" vertical="center"/>
    </xf>
    <xf numFmtId="164" fontId="3" fillId="0" borderId="2" xfId="1" applyNumberFormat="1" applyFont="1" applyBorder="1" applyAlignment="1">
      <alignment horizontal="center" vertical="center"/>
    </xf>
    <xf numFmtId="164" fontId="27" fillId="0" borderId="0" xfId="1" applyNumberFormat="1" applyFont="1" applyFill="1" applyBorder="1" applyAlignment="1">
      <alignment horizontal="center" vertical="center"/>
    </xf>
    <xf numFmtId="0" fontId="3" fillId="0" borderId="0" xfId="0" applyFont="1" applyBorder="1" applyAlignment="1">
      <alignment horizontal="center" vertical="center"/>
    </xf>
    <xf numFmtId="168" fontId="3" fillId="0" borderId="0" xfId="6" applyNumberFormat="1" applyFont="1" applyBorder="1" applyAlignment="1">
      <alignment horizontal="center" vertical="center"/>
    </xf>
    <xf numFmtId="164" fontId="3" fillId="0" borderId="0" xfId="1" applyNumberFormat="1" applyFont="1" applyBorder="1" applyAlignment="1">
      <alignment horizontal="center" vertical="center"/>
    </xf>
    <xf numFmtId="164" fontId="3" fillId="0" borderId="4" xfId="1" applyNumberFormat="1" applyFont="1" applyBorder="1" applyAlignment="1">
      <alignment horizontal="center" vertical="center"/>
    </xf>
    <xf numFmtId="0" fontId="3" fillId="0" borderId="0" xfId="0" applyFont="1" applyFill="1" applyAlignment="1">
      <alignment horizontal="left" vertical="center" wrapText="1"/>
    </xf>
    <xf numFmtId="0" fontId="29" fillId="0" borderId="0" xfId="0" applyFont="1" applyFill="1" applyAlignment="1">
      <alignment horizontal="center" vertical="center" wrapText="1"/>
    </xf>
    <xf numFmtId="0" fontId="5" fillId="0" borderId="0" xfId="0" applyFont="1" applyFill="1" applyAlignment="1">
      <alignment horizontal="center" vertical="center" wrapText="1"/>
    </xf>
    <xf numFmtId="164" fontId="19" fillId="0" borderId="0" xfId="1" applyNumberFormat="1" applyFont="1" applyFill="1" applyAlignment="1">
      <alignment horizontal="center" vertical="center"/>
    </xf>
    <xf numFmtId="0" fontId="0" fillId="0" borderId="0" xfId="0" applyFill="1" applyAlignment="1">
      <alignment horizontal="center" vertical="center"/>
    </xf>
    <xf numFmtId="164" fontId="3" fillId="0" borderId="0" xfId="1" applyNumberFormat="1" applyFont="1" applyFill="1" applyAlignment="1">
      <alignment horizontal="center" vertical="center"/>
    </xf>
    <xf numFmtId="164" fontId="3" fillId="0" borderId="9" xfId="1" applyNumberFormat="1" applyFont="1" applyBorder="1" applyAlignment="1">
      <alignment horizontal="center" vertical="center"/>
    </xf>
    <xf numFmtId="164" fontId="3" fillId="0" borderId="6" xfId="1" applyNumberFormat="1" applyFont="1" applyBorder="1" applyAlignment="1">
      <alignment horizontal="center" vertical="center"/>
    </xf>
    <xf numFmtId="164" fontId="17" fillId="0" borderId="6" xfId="1" applyNumberFormat="1" applyFont="1" applyBorder="1" applyAlignment="1">
      <alignment horizontal="center" vertical="center"/>
    </xf>
    <xf numFmtId="164" fontId="5" fillId="17" borderId="0" xfId="0" applyNumberFormat="1" applyFont="1" applyFill="1" applyAlignment="1">
      <alignment horizontal="center" vertical="center"/>
    </xf>
    <xf numFmtId="164" fontId="5" fillId="17" borderId="0" xfId="1" applyNumberFormat="1" applyFont="1" applyFill="1" applyAlignment="1">
      <alignment horizontal="center" vertical="center"/>
    </xf>
    <xf numFmtId="0" fontId="25" fillId="0" borderId="0" xfId="0" applyFont="1" applyAlignment="1">
      <alignment horizontal="center" vertical="center" wrapText="1"/>
    </xf>
    <xf numFmtId="0" fontId="0" fillId="19" borderId="0" xfId="0" applyFill="1"/>
    <xf numFmtId="0" fontId="0" fillId="20" borderId="0" xfId="0" applyFill="1"/>
    <xf numFmtId="164" fontId="5" fillId="20" borderId="0" xfId="0" applyNumberFormat="1" applyFont="1" applyFill="1" applyAlignment="1">
      <alignment horizontal="center" vertical="center"/>
    </xf>
    <xf numFmtId="164" fontId="5" fillId="19" borderId="0" xfId="0" applyNumberFormat="1" applyFont="1" applyFill="1" applyAlignment="1">
      <alignment horizontal="center" vertical="center"/>
    </xf>
    <xf numFmtId="164" fontId="5" fillId="19" borderId="0" xfId="1" applyNumberFormat="1" applyFont="1" applyFill="1" applyAlignment="1">
      <alignment horizontal="center" vertical="center"/>
    </xf>
    <xf numFmtId="164" fontId="33" fillId="0" borderId="9" xfId="1" applyNumberFormat="1" applyFont="1" applyFill="1" applyBorder="1" applyAlignment="1">
      <alignment horizontal="center" vertical="center"/>
    </xf>
    <xf numFmtId="164" fontId="33" fillId="0" borderId="6" xfId="1" applyNumberFormat="1" applyFont="1" applyFill="1" applyBorder="1" applyAlignment="1">
      <alignment horizontal="center" vertical="center"/>
    </xf>
    <xf numFmtId="164" fontId="17" fillId="0" borderId="9" xfId="1" applyNumberFormat="1" applyFont="1" applyFill="1" applyBorder="1" applyAlignment="1">
      <alignment horizontal="center" vertical="center"/>
    </xf>
    <xf numFmtId="164" fontId="17" fillId="0" borderId="6" xfId="1" applyNumberFormat="1" applyFont="1" applyFill="1" applyBorder="1" applyAlignment="1">
      <alignment horizontal="center" vertical="center"/>
    </xf>
    <xf numFmtId="164" fontId="30" fillId="0" borderId="0" xfId="1" applyNumberFormat="1" applyFont="1" applyFill="1" applyAlignment="1">
      <alignment horizontal="center" vertical="center"/>
    </xf>
    <xf numFmtId="168" fontId="31" fillId="15" borderId="0" xfId="6" applyNumberFormat="1" applyFont="1" applyFill="1" applyAlignment="1">
      <alignment horizontal="center" vertical="center"/>
    </xf>
    <xf numFmtId="164" fontId="31" fillId="15" borderId="0" xfId="1" applyNumberFormat="1" applyFont="1" applyFill="1" applyAlignment="1">
      <alignment horizontal="center" vertical="center"/>
    </xf>
    <xf numFmtId="168" fontId="3" fillId="15" borderId="0" xfId="6" applyNumberFormat="1" applyFont="1" applyFill="1" applyBorder="1" applyAlignment="1">
      <alignment horizontal="center" vertical="center"/>
    </xf>
    <xf numFmtId="164" fontId="3" fillId="15" borderId="0" xfId="1" applyNumberFormat="1" applyFont="1" applyFill="1" applyBorder="1" applyAlignment="1">
      <alignment horizontal="center" vertical="center"/>
    </xf>
    <xf numFmtId="164" fontId="22" fillId="19" borderId="0" xfId="0" applyNumberFormat="1" applyFont="1" applyFill="1" applyAlignment="1">
      <alignment horizontal="center" vertical="center"/>
    </xf>
    <xf numFmtId="0" fontId="17" fillId="19" borderId="0" xfId="0" applyFont="1" applyFill="1"/>
    <xf numFmtId="164" fontId="33" fillId="0" borderId="9" xfId="1" applyNumberFormat="1" applyFont="1" applyBorder="1" applyAlignment="1">
      <alignment horizontal="center" vertical="center"/>
    </xf>
    <xf numFmtId="0" fontId="32" fillId="20" borderId="0" xfId="0" applyFont="1" applyFill="1"/>
    <xf numFmtId="164" fontId="0" fillId="0" borderId="0" xfId="0" applyNumberFormat="1"/>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41"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0" fillId="0" borderId="32" xfId="0" applyFill="1" applyBorder="1"/>
    <xf numFmtId="164" fontId="0" fillId="0" borderId="32" xfId="1" applyNumberFormat="1" applyFont="1" applyFill="1" applyBorder="1"/>
    <xf numFmtId="164" fontId="15" fillId="0" borderId="32" xfId="1" applyNumberFormat="1" applyFont="1" applyFill="1" applyBorder="1"/>
    <xf numFmtId="164" fontId="23" fillId="10" borderId="32" xfId="1" applyNumberFormat="1" applyFont="1" applyFill="1" applyBorder="1"/>
    <xf numFmtId="0" fontId="11" fillId="6" borderId="32" xfId="0" applyFont="1" applyFill="1" applyBorder="1" applyAlignment="1">
      <alignment horizontal="center"/>
    </xf>
    <xf numFmtId="164" fontId="15" fillId="0" borderId="32" xfId="0" applyNumberFormat="1" applyFont="1" applyBorder="1"/>
    <xf numFmtId="164" fontId="0" fillId="0" borderId="32" xfId="1" applyNumberFormat="1" applyFont="1" applyBorder="1"/>
    <xf numFmtId="164" fontId="15" fillId="0" borderId="32" xfId="1" applyNumberFormat="1" applyFont="1" applyBorder="1"/>
    <xf numFmtId="164" fontId="0" fillId="10" borderId="32" xfId="1" applyNumberFormat="1" applyFont="1" applyFill="1" applyBorder="1"/>
    <xf numFmtId="164" fontId="0" fillId="4" borderId="32" xfId="1" applyNumberFormat="1" applyFont="1" applyFill="1" applyBorder="1"/>
    <xf numFmtId="164" fontId="0" fillId="3" borderId="32" xfId="1" applyNumberFormat="1" applyFont="1" applyFill="1" applyBorder="1"/>
    <xf numFmtId="164" fontId="3" fillId="6" borderId="32" xfId="1" applyNumberFormat="1" applyFont="1" applyFill="1" applyBorder="1"/>
    <xf numFmtId="0" fontId="0" fillId="10" borderId="32" xfId="0" applyFill="1" applyBorder="1" applyAlignment="1">
      <alignment horizontal="center"/>
    </xf>
    <xf numFmtId="0" fontId="0" fillId="0" borderId="32" xfId="0" applyFill="1" applyBorder="1" applyAlignment="1">
      <alignment horizontal="center"/>
    </xf>
    <xf numFmtId="164" fontId="19" fillId="0" borderId="32" xfId="1" applyNumberFormat="1" applyFont="1" applyFill="1" applyBorder="1"/>
    <xf numFmtId="164" fontId="19" fillId="11" borderId="32" xfId="1" applyNumberFormat="1" applyFont="1" applyFill="1" applyBorder="1"/>
    <xf numFmtId="164" fontId="19" fillId="3" borderId="32" xfId="1" applyNumberFormat="1" applyFont="1" applyFill="1" applyBorder="1"/>
    <xf numFmtId="0" fontId="19" fillId="6" borderId="32" xfId="0" applyFont="1" applyFill="1" applyBorder="1" applyAlignment="1">
      <alignment horizontal="center"/>
    </xf>
    <xf numFmtId="164" fontId="19" fillId="0" borderId="32" xfId="1" applyNumberFormat="1" applyFont="1" applyBorder="1"/>
    <xf numFmtId="1" fontId="3" fillId="0" borderId="32" xfId="0" applyNumberFormat="1" applyFont="1" applyFill="1" applyBorder="1" applyAlignment="1">
      <alignment horizontal="center" vertical="center" wrapText="1"/>
    </xf>
    <xf numFmtId="1" fontId="22" fillId="0" borderId="32" xfId="0" applyNumberFormat="1" applyFont="1" applyFill="1" applyBorder="1" applyAlignment="1">
      <alignment horizontal="center" vertical="center" wrapText="1"/>
    </xf>
    <xf numFmtId="164" fontId="17" fillId="0" borderId="32" xfId="1" applyNumberFormat="1" applyFont="1" applyFill="1" applyBorder="1"/>
    <xf numFmtId="164" fontId="17" fillId="11" borderId="32" xfId="1" applyNumberFormat="1" applyFont="1" applyFill="1" applyBorder="1"/>
    <xf numFmtId="164" fontId="17" fillId="3" borderId="32" xfId="1" applyNumberFormat="1" applyFont="1" applyFill="1" applyBorder="1"/>
    <xf numFmtId="0" fontId="17" fillId="6" borderId="32" xfId="0" applyFont="1" applyFill="1" applyBorder="1" applyAlignment="1">
      <alignment horizontal="center"/>
    </xf>
    <xf numFmtId="164" fontId="17" fillId="0" borderId="32" xfId="1" applyNumberFormat="1" applyFont="1" applyBorder="1"/>
    <xf numFmtId="0" fontId="3" fillId="6" borderId="32" xfId="0" applyFont="1" applyFill="1" applyBorder="1" applyAlignment="1">
      <alignment horizontal="center" wrapText="1"/>
    </xf>
    <xf numFmtId="0" fontId="27" fillId="0" borderId="0" xfId="0" applyFont="1" applyBorder="1" applyAlignment="1">
      <alignment horizontal="center" vertical="center"/>
    </xf>
    <xf numFmtId="168" fontId="27" fillId="0" borderId="0" xfId="6" applyNumberFormat="1" applyFont="1" applyBorder="1" applyAlignment="1">
      <alignment horizontal="center" vertical="center"/>
    </xf>
    <xf numFmtId="164" fontId="27" fillId="0" borderId="0" xfId="1" applyNumberFormat="1" applyFont="1" applyBorder="1" applyAlignment="1">
      <alignment horizontal="center" vertical="center"/>
    </xf>
    <xf numFmtId="0" fontId="3" fillId="0" borderId="0" xfId="0" applyFont="1" applyBorder="1" applyAlignment="1">
      <alignment vertical="center"/>
    </xf>
    <xf numFmtId="168" fontId="3" fillId="0" borderId="0" xfId="6" applyNumberFormat="1" applyFont="1" applyBorder="1" applyAlignment="1">
      <alignment vertical="center"/>
    </xf>
    <xf numFmtId="164" fontId="3" fillId="0" borderId="4" xfId="1" applyNumberFormat="1" applyFont="1" applyBorder="1" applyAlignment="1">
      <alignment vertical="center"/>
    </xf>
    <xf numFmtId="164" fontId="3" fillId="0" borderId="0" xfId="1" applyNumberFormat="1" applyFont="1" applyBorder="1" applyAlignment="1">
      <alignment vertical="center"/>
    </xf>
    <xf numFmtId="164" fontId="27" fillId="0" borderId="4" xfId="1" applyNumberFormat="1" applyFont="1" applyBorder="1" applyAlignment="1">
      <alignment vertical="center"/>
    </xf>
    <xf numFmtId="164" fontId="27" fillId="0" borderId="0" xfId="1" applyNumberFormat="1" applyFont="1" applyFill="1" applyBorder="1" applyAlignment="1">
      <alignment vertical="center"/>
    </xf>
    <xf numFmtId="0" fontId="0" fillId="0" borderId="0" xfId="0" applyAlignment="1"/>
    <xf numFmtId="164" fontId="3" fillId="0" borderId="9" xfId="1" applyNumberFormat="1" applyFont="1" applyBorder="1" applyAlignment="1">
      <alignment vertical="center"/>
    </xf>
    <xf numFmtId="164" fontId="27" fillId="0" borderId="9" xfId="1" applyNumberFormat="1" applyFont="1" applyBorder="1" applyAlignment="1">
      <alignment vertical="center"/>
    </xf>
    <xf numFmtId="168" fontId="27" fillId="15" borderId="0" xfId="6" applyNumberFormat="1" applyFont="1" applyFill="1" applyBorder="1" applyAlignment="1">
      <alignment horizontal="center" vertical="center"/>
    </xf>
    <xf numFmtId="164" fontId="27" fillId="15" borderId="0" xfId="1" applyNumberFormat="1" applyFont="1" applyFill="1" applyBorder="1" applyAlignment="1">
      <alignment horizontal="center" vertical="center"/>
    </xf>
    <xf numFmtId="169" fontId="5" fillId="0" borderId="0" xfId="1" applyNumberFormat="1" applyFont="1" applyFill="1" applyBorder="1"/>
    <xf numFmtId="2" fontId="3" fillId="0" borderId="9" xfId="0" applyNumberFormat="1" applyFont="1" applyBorder="1"/>
    <xf numFmtId="0" fontId="12" fillId="0" borderId="0" xfId="0" applyFont="1" applyFill="1" applyBorder="1" applyAlignment="1">
      <alignment horizontal="left"/>
    </xf>
    <xf numFmtId="0" fontId="5" fillId="0" borderId="32" xfId="0" applyFont="1" applyFill="1" applyBorder="1" applyAlignment="1">
      <alignment horizontal="center" vertical="center" wrapText="1"/>
    </xf>
    <xf numFmtId="0" fontId="9" fillId="6" borderId="20" xfId="0" applyFont="1" applyFill="1" applyBorder="1" applyAlignment="1">
      <alignment vertical="center"/>
    </xf>
    <xf numFmtId="0" fontId="9" fillId="6" borderId="23" xfId="0" applyFont="1" applyFill="1" applyBorder="1" applyAlignment="1">
      <alignment vertical="center"/>
    </xf>
    <xf numFmtId="0" fontId="0" fillId="7" borderId="32" xfId="0" applyFill="1" applyBorder="1"/>
    <xf numFmtId="0" fontId="0" fillId="0" borderId="32" xfId="0" applyBorder="1" applyAlignment="1">
      <alignment wrapText="1"/>
    </xf>
    <xf numFmtId="0" fontId="36" fillId="22" borderId="42" xfId="0" applyFont="1" applyFill="1" applyBorder="1" applyAlignment="1">
      <alignment horizontal="center" vertical="center" wrapText="1"/>
    </xf>
    <xf numFmtId="0" fontId="36" fillId="22" borderId="43" xfId="0" applyFont="1" applyFill="1" applyBorder="1" applyAlignment="1">
      <alignment horizontal="center" vertical="center" wrapText="1"/>
    </xf>
    <xf numFmtId="10" fontId="0" fillId="0" borderId="32" xfId="0" applyNumberFormat="1" applyBorder="1"/>
    <xf numFmtId="0" fontId="4" fillId="6" borderId="24" xfId="0" applyFont="1" applyFill="1" applyBorder="1" applyAlignment="1">
      <alignment vertical="center" wrapText="1"/>
    </xf>
    <xf numFmtId="0" fontId="4" fillId="5" borderId="24" xfId="0" applyFont="1" applyFill="1" applyBorder="1" applyAlignment="1">
      <alignment vertical="center" wrapText="1"/>
    </xf>
    <xf numFmtId="0" fontId="9" fillId="5" borderId="20" xfId="0" applyFont="1" applyFill="1" applyBorder="1" applyAlignment="1">
      <alignment vertical="center"/>
    </xf>
    <xf numFmtId="0" fontId="9" fillId="5" borderId="23" xfId="0" applyFont="1" applyFill="1" applyBorder="1" applyAlignment="1">
      <alignment vertical="center"/>
    </xf>
    <xf numFmtId="0" fontId="0" fillId="7" borderId="0" xfId="0" applyFill="1" applyBorder="1"/>
    <xf numFmtId="164" fontId="3" fillId="23" borderId="0" xfId="1" applyNumberFormat="1" applyFont="1" applyFill="1" applyBorder="1"/>
    <xf numFmtId="164" fontId="3" fillId="23" borderId="0" xfId="0" applyNumberFormat="1" applyFont="1" applyFill="1" applyBorder="1"/>
    <xf numFmtId="0" fontId="20" fillId="7" borderId="0" xfId="2" applyFont="1" applyFill="1" applyBorder="1" applyAlignment="1">
      <alignment horizontal="center" vertical="center"/>
    </xf>
    <xf numFmtId="0" fontId="0" fillId="0" borderId="22" xfId="0" applyBorder="1"/>
    <xf numFmtId="0" fontId="2" fillId="7" borderId="0" xfId="2" applyFill="1" applyBorder="1" applyAlignment="1">
      <alignment horizontal="center"/>
    </xf>
    <xf numFmtId="0" fontId="0" fillId="0" borderId="27" xfId="0" applyFill="1" applyBorder="1"/>
    <xf numFmtId="0" fontId="11" fillId="10" borderId="0" xfId="0" applyFont="1" applyFill="1" applyBorder="1" applyAlignment="1">
      <alignment horizontal="center"/>
    </xf>
    <xf numFmtId="164" fontId="17" fillId="10" borderId="32" xfId="1" applyNumberFormat="1" applyFont="1" applyFill="1" applyBorder="1"/>
    <xf numFmtId="9" fontId="0" fillId="0" borderId="32" xfId="1" applyFont="1" applyBorder="1"/>
    <xf numFmtId="164" fontId="0" fillId="0" borderId="0" xfId="1" applyNumberFormat="1" applyFont="1"/>
    <xf numFmtId="0" fontId="3" fillId="24" borderId="0" xfId="0" applyFont="1" applyFill="1" applyBorder="1" applyAlignment="1">
      <alignment horizontal="center"/>
    </xf>
    <xf numFmtId="0" fontId="5" fillId="24" borderId="0" xfId="0" applyFont="1" applyFill="1" applyBorder="1" applyAlignment="1">
      <alignment horizontal="left"/>
    </xf>
    <xf numFmtId="0" fontId="4" fillId="24" borderId="0" xfId="0" applyFont="1" applyFill="1" applyBorder="1" applyAlignment="1">
      <alignment vertical="center" wrapText="1"/>
    </xf>
    <xf numFmtId="0" fontId="9" fillId="24" borderId="0" xfId="0" applyFont="1" applyFill="1" applyBorder="1" applyAlignment="1">
      <alignment vertical="center"/>
    </xf>
    <xf numFmtId="1" fontId="3" fillId="0" borderId="22" xfId="1" applyNumberFormat="1" applyFont="1" applyFill="1" applyBorder="1"/>
    <xf numFmtId="1" fontId="3" fillId="0" borderId="32" xfId="0" applyNumberFormat="1" applyFont="1" applyBorder="1"/>
    <xf numFmtId="164" fontId="3" fillId="0" borderId="32" xfId="1" applyNumberFormat="1" applyFont="1" applyBorder="1"/>
    <xf numFmtId="1" fontId="3" fillId="0" borderId="9" xfId="0" applyNumberFormat="1" applyFont="1" applyBorder="1"/>
    <xf numFmtId="0" fontId="5" fillId="0" borderId="0" xfId="0" applyFont="1" applyFill="1" applyBorder="1" applyAlignment="1">
      <alignment horizontal="left"/>
    </xf>
    <xf numFmtId="0" fontId="5" fillId="0" borderId="0" xfId="0" applyFont="1" applyFill="1" applyBorder="1" applyAlignment="1">
      <alignment horizontal="center" vertical="center" wrapText="1"/>
    </xf>
    <xf numFmtId="164" fontId="3" fillId="0" borderId="9" xfId="1" applyNumberFormat="1" applyFont="1" applyBorder="1" applyAlignment="1">
      <alignment wrapText="1"/>
    </xf>
    <xf numFmtId="164" fontId="17" fillId="0" borderId="27" xfId="1" applyNumberFormat="1" applyFont="1" applyFill="1" applyBorder="1"/>
    <xf numFmtId="0" fontId="0" fillId="7" borderId="27" xfId="0" applyFill="1" applyBorder="1"/>
    <xf numFmtId="2" fontId="3" fillId="0" borderId="32" xfId="1" applyNumberFormat="1" applyFont="1" applyBorder="1"/>
    <xf numFmtId="170" fontId="11" fillId="0" borderId="10" xfId="0" applyNumberFormat="1" applyFont="1" applyBorder="1" applyAlignment="1">
      <alignment horizontal="center"/>
    </xf>
    <xf numFmtId="0" fontId="17" fillId="0" borderId="0" xfId="0" applyFont="1" applyBorder="1" applyAlignment="1">
      <alignment horizontal="center"/>
    </xf>
    <xf numFmtId="164" fontId="17" fillId="23" borderId="0" xfId="0" applyNumberFormat="1" applyFont="1" applyFill="1" applyBorder="1"/>
    <xf numFmtId="164" fontId="22" fillId="11" borderId="0" xfId="1" applyNumberFormat="1" applyFont="1" applyFill="1" applyBorder="1"/>
    <xf numFmtId="164" fontId="0" fillId="0" borderId="0" xfId="1" applyNumberFormat="1" applyFont="1" applyBorder="1" applyAlignment="1">
      <alignment horizontal="center" vertical="center"/>
    </xf>
    <xf numFmtId="0" fontId="0" fillId="18" borderId="0" xfId="0" applyFill="1" applyBorder="1" applyAlignment="1">
      <alignment horizontal="center" vertical="center"/>
    </xf>
    <xf numFmtId="0" fontId="0" fillId="18" borderId="0" xfId="0" applyFill="1" applyBorder="1"/>
    <xf numFmtId="0" fontId="0" fillId="18" borderId="0" xfId="0" applyFill="1" applyBorder="1" applyAlignment="1">
      <alignment horizontal="center" vertical="top" wrapText="1"/>
    </xf>
    <xf numFmtId="0" fontId="0" fillId="16" borderId="0" xfId="0" applyFill="1" applyBorder="1" applyAlignment="1">
      <alignment horizontal="center" vertical="top" wrapText="1"/>
    </xf>
    <xf numFmtId="0" fontId="5" fillId="21" borderId="0" xfId="0" applyFont="1" applyFill="1" applyBorder="1" applyAlignment="1">
      <alignment horizontal="center" vertical="center"/>
    </xf>
    <xf numFmtId="164" fontId="5" fillId="21" borderId="0" xfId="1" applyNumberFormat="1" applyFont="1" applyFill="1" applyBorder="1" applyAlignment="1">
      <alignment horizontal="center" vertical="center"/>
    </xf>
    <xf numFmtId="0" fontId="5" fillId="0" borderId="0" xfId="0" applyFont="1" applyBorder="1" applyAlignment="1">
      <alignment horizontal="center" vertical="center"/>
    </xf>
    <xf numFmtId="164" fontId="5" fillId="0" borderId="0" xfId="0" applyNumberFormat="1" applyFont="1" applyBorder="1" applyAlignment="1">
      <alignment horizontal="center" vertical="center"/>
    </xf>
    <xf numFmtId="164" fontId="0" fillId="0" borderId="0" xfId="0" applyNumberFormat="1" applyBorder="1" applyAlignment="1">
      <alignment horizontal="center" vertical="center"/>
    </xf>
    <xf numFmtId="0" fontId="3" fillId="0" borderId="24" xfId="0" applyFont="1" applyBorder="1"/>
    <xf numFmtId="0" fontId="0" fillId="0" borderId="24" xfId="0" applyBorder="1"/>
    <xf numFmtId="0" fontId="3" fillId="0" borderId="21" xfId="0" applyFont="1" applyBorder="1"/>
    <xf numFmtId="164" fontId="0" fillId="0" borderId="21" xfId="0" applyNumberFormat="1" applyBorder="1"/>
    <xf numFmtId="0" fontId="0" fillId="0" borderId="21" xfId="0" applyBorder="1"/>
    <xf numFmtId="0" fontId="0" fillId="0" borderId="3" xfId="0" applyBorder="1"/>
    <xf numFmtId="0" fontId="0" fillId="0" borderId="27" xfId="0" applyBorder="1"/>
    <xf numFmtId="0" fontId="0" fillId="0" borderId="8" xfId="0" applyBorder="1"/>
    <xf numFmtId="164" fontId="0" fillId="0" borderId="24" xfId="1" applyNumberFormat="1" applyFont="1" applyBorder="1"/>
    <xf numFmtId="9" fontId="0" fillId="0" borderId="0" xfId="1" applyFont="1"/>
    <xf numFmtId="0" fontId="37" fillId="0" borderId="45" xfId="7" applyFont="1" applyFill="1" applyBorder="1" applyAlignment="1">
      <alignment horizontal="right" wrapText="1"/>
    </xf>
    <xf numFmtId="164" fontId="0" fillId="7" borderId="32" xfId="0" applyNumberFormat="1" applyFill="1" applyBorder="1"/>
    <xf numFmtId="164" fontId="0" fillId="7" borderId="32" xfId="1" applyNumberFormat="1" applyFont="1" applyFill="1" applyBorder="1"/>
    <xf numFmtId="164" fontId="0" fillId="7" borderId="24" xfId="1" applyNumberFormat="1" applyFont="1" applyFill="1" applyBorder="1"/>
    <xf numFmtId="164" fontId="0" fillId="7" borderId="21" xfId="0" applyNumberFormat="1" applyFill="1" applyBorder="1"/>
    <xf numFmtId="0" fontId="0" fillId="26" borderId="0" xfId="0" applyFill="1"/>
    <xf numFmtId="164" fontId="0" fillId="26" borderId="0" xfId="1" applyNumberFormat="1" applyFont="1" applyFill="1"/>
    <xf numFmtId="164" fontId="3" fillId="0" borderId="0" xfId="1" applyNumberFormat="1" applyFont="1"/>
    <xf numFmtId="1" fontId="3" fillId="0" borderId="0" xfId="1" applyNumberFormat="1" applyFont="1" applyFill="1" applyBorder="1"/>
    <xf numFmtId="164" fontId="11" fillId="0" borderId="0" xfId="0" applyNumberFormat="1" applyFont="1" applyBorder="1" applyAlignment="1">
      <alignment horizontal="center"/>
    </xf>
    <xf numFmtId="164" fontId="9" fillId="0" borderId="0" xfId="0" applyNumberFormat="1" applyFont="1" applyFill="1" applyBorder="1" applyAlignment="1">
      <alignment vertical="center"/>
    </xf>
    <xf numFmtId="1" fontId="3" fillId="0" borderId="0" xfId="0" applyNumberFormat="1" applyFont="1" applyBorder="1"/>
    <xf numFmtId="170" fontId="3" fillId="0" borderId="0" xfId="1" applyNumberFormat="1" applyFont="1" applyBorder="1"/>
    <xf numFmtId="171" fontId="3" fillId="0" borderId="0" xfId="1" applyNumberFormat="1" applyFont="1" applyBorder="1"/>
    <xf numFmtId="169" fontId="5" fillId="7" borderId="0" xfId="1" applyNumberFormat="1" applyFont="1" applyFill="1" applyBorder="1"/>
    <xf numFmtId="0" fontId="2" fillId="0" borderId="0" xfId="2" applyFill="1" applyBorder="1" applyAlignment="1">
      <alignment horizontal="center"/>
    </xf>
    <xf numFmtId="0" fontId="2" fillId="0" borderId="0" xfId="2" applyFill="1" applyAlignment="1">
      <alignment horizontal="center"/>
    </xf>
    <xf numFmtId="0" fontId="20" fillId="0" borderId="0" xfId="2" applyFont="1" applyFill="1" applyBorder="1" applyAlignment="1">
      <alignment horizontal="center" vertical="center"/>
    </xf>
    <xf numFmtId="0" fontId="0" fillId="21" borderId="0" xfId="0" applyFill="1"/>
    <xf numFmtId="0" fontId="0" fillId="0" borderId="26" xfId="0" applyBorder="1"/>
    <xf numFmtId="0" fontId="0" fillId="0" borderId="28" xfId="0" applyBorder="1"/>
    <xf numFmtId="0" fontId="0" fillId="0" borderId="19" xfId="0" applyBorder="1"/>
    <xf numFmtId="1" fontId="22" fillId="28" borderId="0" xfId="0" applyNumberFormat="1" applyFont="1" applyFill="1" applyBorder="1" applyAlignment="1">
      <alignment horizontal="center" vertical="center" wrapText="1"/>
    </xf>
    <xf numFmtId="0" fontId="19" fillId="9" borderId="0" xfId="0" applyFont="1" applyFill="1" applyBorder="1" applyAlignment="1">
      <alignment horizontal="center"/>
    </xf>
    <xf numFmtId="0" fontId="1" fillId="9" borderId="0" xfId="2" applyFont="1" applyFill="1" applyBorder="1" applyAlignment="1">
      <alignment horizontal="center"/>
    </xf>
    <xf numFmtId="0" fontId="1" fillId="9" borderId="0" xfId="2" applyFont="1" applyFill="1" applyAlignment="1">
      <alignment horizontal="center"/>
    </xf>
    <xf numFmtId="0" fontId="1" fillId="9" borderId="0" xfId="2" applyFont="1" applyFill="1" applyBorder="1" applyAlignment="1">
      <alignment horizontal="center" vertical="center"/>
    </xf>
    <xf numFmtId="164" fontId="19" fillId="9" borderId="0" xfId="1" applyNumberFormat="1" applyFont="1" applyFill="1" applyBorder="1"/>
    <xf numFmtId="0" fontId="19" fillId="9" borderId="22" xfId="0" applyFont="1" applyFill="1" applyBorder="1"/>
    <xf numFmtId="0" fontId="19" fillId="9" borderId="27" xfId="0" applyFont="1" applyFill="1" applyBorder="1"/>
    <xf numFmtId="0" fontId="19" fillId="9" borderId="0" xfId="0" applyFont="1" applyFill="1" applyBorder="1"/>
    <xf numFmtId="0" fontId="19" fillId="9" borderId="0" xfId="0" applyFont="1" applyFill="1"/>
    <xf numFmtId="2" fontId="3" fillId="0" borderId="22" xfId="1" applyNumberFormat="1" applyFont="1" applyFill="1" applyBorder="1"/>
    <xf numFmtId="10" fontId="3" fillId="0" borderId="22" xfId="1" applyNumberFormat="1" applyFont="1" applyFill="1" applyBorder="1"/>
    <xf numFmtId="164" fontId="5" fillId="0" borderId="0" xfId="0" applyNumberFormat="1" applyFont="1" applyFill="1" applyBorder="1" applyAlignment="1">
      <alignment wrapText="1"/>
    </xf>
    <xf numFmtId="164" fontId="0" fillId="0" borderId="14" xfId="0" applyNumberFormat="1" applyBorder="1"/>
    <xf numFmtId="0" fontId="5" fillId="0" borderId="0" xfId="0" applyFont="1" applyFill="1" applyBorder="1" applyAlignment="1">
      <alignment wrapText="1"/>
    </xf>
    <xf numFmtId="0" fontId="0" fillId="0" borderId="0" xfId="0" applyFill="1" applyBorder="1" applyAlignment="1">
      <alignment wrapText="1"/>
    </xf>
    <xf numFmtId="0" fontId="5" fillId="0" borderId="0" xfId="0" applyFont="1" applyFill="1"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horizontal="center"/>
    </xf>
    <xf numFmtId="0" fontId="4" fillId="0" borderId="0" xfId="0" applyFont="1" applyFill="1" applyBorder="1" applyAlignment="1">
      <alignment horizontal="left" vertical="center" wrapText="1"/>
    </xf>
    <xf numFmtId="0" fontId="9" fillId="0" borderId="0" xfId="0" applyFont="1" applyFill="1" applyBorder="1" applyAlignment="1">
      <alignment horizontal="left" vertical="center"/>
    </xf>
    <xf numFmtId="0" fontId="22" fillId="27" borderId="0" xfId="0" applyFont="1" applyFill="1" applyBorder="1" applyAlignment="1">
      <alignment horizontal="center"/>
    </xf>
    <xf numFmtId="0" fontId="11" fillId="18" borderId="0" xfId="0" applyFont="1" applyFill="1" applyBorder="1" applyAlignment="1">
      <alignment horizontal="center"/>
    </xf>
    <xf numFmtId="0" fontId="2" fillId="18" borderId="0" xfId="2" applyFill="1" applyAlignment="1">
      <alignment horizontal="center"/>
    </xf>
    <xf numFmtId="0" fontId="20" fillId="18" borderId="22" xfId="2" applyFont="1" applyFill="1" applyBorder="1" applyAlignment="1">
      <alignment horizontal="center" vertical="center"/>
    </xf>
    <xf numFmtId="164" fontId="0" fillId="18" borderId="9" xfId="1" applyNumberFormat="1" applyFont="1" applyFill="1" applyBorder="1"/>
    <xf numFmtId="164" fontId="15" fillId="18" borderId="0" xfId="1" applyNumberFormat="1" applyFont="1" applyFill="1" applyBorder="1"/>
    <xf numFmtId="164" fontId="0" fillId="18" borderId="0" xfId="1" applyNumberFormat="1" applyFont="1" applyFill="1" applyBorder="1"/>
    <xf numFmtId="164" fontId="12" fillId="18" borderId="0" xfId="1" applyNumberFormat="1" applyFont="1" applyFill="1" applyBorder="1"/>
    <xf numFmtId="0" fontId="0" fillId="18" borderId="32" xfId="0" applyFill="1" applyBorder="1"/>
    <xf numFmtId="0" fontId="0" fillId="18" borderId="0" xfId="0" applyFill="1"/>
    <xf numFmtId="0" fontId="3" fillId="18" borderId="0" xfId="0" applyFont="1" applyFill="1" applyBorder="1" applyAlignment="1">
      <alignment horizontal="center"/>
    </xf>
    <xf numFmtId="0" fontId="0" fillId="18" borderId="32" xfId="0" applyFill="1" applyBorder="1" applyAlignment="1">
      <alignment horizontal="center"/>
    </xf>
    <xf numFmtId="164" fontId="3" fillId="18" borderId="2" xfId="1" applyNumberFormat="1" applyFont="1" applyFill="1" applyBorder="1"/>
    <xf numFmtId="164" fontId="3" fillId="18" borderId="0" xfId="1" applyNumberFormat="1" applyFont="1" applyFill="1" applyBorder="1"/>
    <xf numFmtId="0" fontId="3" fillId="18" borderId="0" xfId="0" applyFont="1" applyFill="1" applyBorder="1"/>
    <xf numFmtId="164" fontId="3" fillId="18" borderId="7" xfId="1" applyNumberFormat="1" applyFont="1" applyFill="1" applyBorder="1"/>
    <xf numFmtId="164" fontId="3" fillId="18" borderId="6" xfId="1" applyNumberFormat="1" applyFont="1" applyFill="1" applyBorder="1"/>
    <xf numFmtId="164" fontId="19" fillId="9" borderId="32" xfId="1" applyNumberFormat="1" applyFont="1" applyFill="1" applyBorder="1"/>
    <xf numFmtId="164" fontId="17" fillId="9" borderId="32" xfId="1" applyNumberFormat="1" applyFont="1" applyFill="1" applyBorder="1"/>
    <xf numFmtId="0" fontId="0" fillId="11" borderId="25" xfId="0" applyFill="1" applyBorder="1"/>
    <xf numFmtId="0" fontId="0" fillId="11" borderId="10" xfId="0" applyFill="1" applyBorder="1"/>
    <xf numFmtId="0" fontId="0" fillId="11" borderId="11" xfId="0" applyFill="1" applyBorder="1"/>
    <xf numFmtId="0" fontId="0" fillId="11" borderId="26" xfId="0" applyFill="1" applyBorder="1"/>
    <xf numFmtId="0" fontId="0" fillId="11" borderId="0" xfId="0" applyFill="1" applyBorder="1"/>
    <xf numFmtId="0" fontId="0" fillId="11" borderId="14" xfId="0" applyFill="1" applyBorder="1"/>
    <xf numFmtId="164" fontId="0" fillId="11" borderId="0" xfId="0" applyNumberFormat="1" applyFill="1" applyBorder="1"/>
    <xf numFmtId="0" fontId="0" fillId="11" borderId="28" xfId="0" applyFill="1" applyBorder="1"/>
    <xf numFmtId="0" fontId="0" fillId="11" borderId="18" xfId="0" applyFill="1" applyBorder="1"/>
    <xf numFmtId="0" fontId="0" fillId="11" borderId="19" xfId="0" applyFill="1" applyBorder="1"/>
    <xf numFmtId="0" fontId="3" fillId="11" borderId="0" xfId="0" applyFont="1" applyFill="1" applyBorder="1"/>
    <xf numFmtId="0" fontId="3" fillId="11" borderId="14" xfId="0" applyFont="1" applyFill="1" applyBorder="1"/>
    <xf numFmtId="0" fontId="3" fillId="11" borderId="26" xfId="0" applyFont="1" applyFill="1" applyBorder="1"/>
    <xf numFmtId="164" fontId="0" fillId="11" borderId="14" xfId="0" applyNumberFormat="1" applyFill="1" applyBorder="1"/>
    <xf numFmtId="0" fontId="3" fillId="11" borderId="10" xfId="0" applyFont="1" applyFill="1" applyBorder="1"/>
    <xf numFmtId="0" fontId="0" fillId="7" borderId="26" xfId="0" applyFill="1" applyBorder="1"/>
    <xf numFmtId="0" fontId="3" fillId="7" borderId="0" xfId="0" applyFont="1" applyFill="1" applyBorder="1"/>
    <xf numFmtId="0" fontId="0" fillId="7" borderId="14" xfId="0" applyFill="1" applyBorder="1"/>
    <xf numFmtId="164" fontId="0" fillId="7" borderId="0" xfId="0" applyNumberFormat="1" applyFill="1" applyBorder="1"/>
    <xf numFmtId="0" fontId="0" fillId="7" borderId="25" xfId="0" applyFill="1" applyBorder="1"/>
    <xf numFmtId="0" fontId="0" fillId="7" borderId="10" xfId="0" applyFill="1" applyBorder="1"/>
    <xf numFmtId="0" fontId="0" fillId="7" borderId="11" xfId="0" applyFill="1" applyBorder="1"/>
    <xf numFmtId="0" fontId="3" fillId="7" borderId="26" xfId="0" applyFont="1" applyFill="1" applyBorder="1"/>
    <xf numFmtId="0" fontId="0" fillId="7" borderId="28" xfId="0" applyFill="1" applyBorder="1"/>
    <xf numFmtId="0" fontId="0" fillId="7" borderId="18" xfId="0" applyFill="1" applyBorder="1"/>
    <xf numFmtId="0" fontId="0" fillId="7" borderId="19" xfId="0" applyFill="1" applyBorder="1"/>
    <xf numFmtId="164" fontId="0" fillId="11" borderId="19" xfId="0" applyNumberFormat="1" applyFill="1" applyBorder="1"/>
    <xf numFmtId="164" fontId="0" fillId="0" borderId="0" xfId="0" applyNumberFormat="1" applyFill="1"/>
    <xf numFmtId="0" fontId="5" fillId="11" borderId="10" xfId="0" applyFont="1" applyFill="1" applyBorder="1"/>
    <xf numFmtId="0" fontId="5" fillId="11" borderId="25" xfId="0" applyFont="1" applyFill="1" applyBorder="1"/>
    <xf numFmtId="0" fontId="5" fillId="11" borderId="11" xfId="0" applyFont="1" applyFill="1" applyBorder="1"/>
    <xf numFmtId="0" fontId="0" fillId="11" borderId="26" xfId="0" applyFont="1" applyFill="1" applyBorder="1"/>
    <xf numFmtId="0" fontId="3" fillId="11" borderId="0" xfId="0" applyFont="1" applyFill="1"/>
    <xf numFmtId="0" fontId="5" fillId="29" borderId="32" xfId="0" applyFont="1" applyFill="1" applyBorder="1" applyAlignment="1">
      <alignment horizontal="center" vertical="center" wrapText="1"/>
    </xf>
    <xf numFmtId="0" fontId="0" fillId="29" borderId="32" xfId="0" applyFill="1" applyBorder="1"/>
    <xf numFmtId="0" fontId="0" fillId="29" borderId="32" xfId="0" applyFill="1" applyBorder="1" applyAlignment="1">
      <alignment wrapText="1"/>
    </xf>
    <xf numFmtId="0" fontId="39" fillId="25" borderId="44" xfId="8" applyFont="1" applyFill="1" applyBorder="1" applyAlignment="1">
      <alignment horizontal="center"/>
    </xf>
    <xf numFmtId="0" fontId="39" fillId="0" borderId="45" xfId="8" applyFont="1" applyFill="1" applyBorder="1" applyAlignment="1">
      <alignment wrapText="1"/>
    </xf>
    <xf numFmtId="0" fontId="39" fillId="0" borderId="45" xfId="8" applyFont="1" applyFill="1" applyBorder="1" applyAlignment="1">
      <alignment horizontal="right" wrapText="1"/>
    </xf>
    <xf numFmtId="0" fontId="39" fillId="25" borderId="44" xfId="9" applyFont="1" applyFill="1" applyBorder="1" applyAlignment="1">
      <alignment horizontal="center"/>
    </xf>
    <xf numFmtId="0" fontId="39" fillId="0" borderId="45" xfId="9" applyFont="1" applyFill="1" applyBorder="1" applyAlignment="1">
      <alignment wrapText="1"/>
    </xf>
    <xf numFmtId="0" fontId="39" fillId="0" borderId="45" xfId="9" applyFont="1" applyFill="1" applyBorder="1" applyAlignment="1">
      <alignment horizontal="right" wrapText="1"/>
    </xf>
    <xf numFmtId="0" fontId="39" fillId="0" borderId="47" xfId="8" applyFont="1" applyFill="1" applyBorder="1" applyAlignment="1">
      <alignment horizontal="right" wrapText="1"/>
    </xf>
    <xf numFmtId="0" fontId="39" fillId="25" borderId="46" xfId="8" applyFont="1" applyFill="1" applyBorder="1" applyAlignment="1">
      <alignment horizontal="center"/>
    </xf>
    <xf numFmtId="0" fontId="39" fillId="25" borderId="44" xfId="10" applyFont="1" applyFill="1" applyBorder="1" applyAlignment="1">
      <alignment horizontal="center"/>
    </xf>
    <xf numFmtId="0" fontId="39" fillId="0" borderId="45" xfId="10" applyFont="1" applyFill="1" applyBorder="1" applyAlignment="1">
      <alignment wrapText="1"/>
    </xf>
    <xf numFmtId="0" fontId="39" fillId="0" borderId="45" xfId="10" applyFont="1" applyFill="1" applyBorder="1" applyAlignment="1">
      <alignment horizontal="right" wrapText="1"/>
    </xf>
    <xf numFmtId="0" fontId="39" fillId="25" borderId="46" xfId="10" applyFont="1" applyFill="1" applyBorder="1" applyAlignment="1">
      <alignment horizontal="center"/>
    </xf>
    <xf numFmtId="164" fontId="0" fillId="30" borderId="0" xfId="1" applyNumberFormat="1" applyFont="1" applyFill="1"/>
    <xf numFmtId="0" fontId="39" fillId="25" borderId="44" xfId="11" applyFont="1" applyFill="1" applyBorder="1" applyAlignment="1">
      <alignment horizontal="center"/>
    </xf>
    <xf numFmtId="0" fontId="39" fillId="0" borderId="45" xfId="11" applyFont="1" applyFill="1" applyBorder="1" applyAlignment="1">
      <alignment wrapText="1"/>
    </xf>
    <xf numFmtId="0" fontId="39" fillId="0" borderId="45" xfId="11" applyFont="1" applyFill="1" applyBorder="1" applyAlignment="1">
      <alignment horizontal="right" wrapText="1"/>
    </xf>
    <xf numFmtId="9" fontId="3" fillId="0" borderId="9" xfId="1" applyFont="1" applyBorder="1"/>
    <xf numFmtId="0" fontId="39" fillId="25" borderId="44" xfId="12" applyFont="1" applyFill="1" applyBorder="1" applyAlignment="1">
      <alignment horizontal="center"/>
    </xf>
    <xf numFmtId="0" fontId="39" fillId="0" borderId="45" xfId="12" applyFont="1" applyFill="1" applyBorder="1" applyAlignment="1">
      <alignment wrapText="1"/>
    </xf>
    <xf numFmtId="0" fontId="39" fillId="0" borderId="45" xfId="12" applyFont="1" applyFill="1" applyBorder="1" applyAlignment="1">
      <alignment horizontal="right" wrapText="1"/>
    </xf>
    <xf numFmtId="2" fontId="3" fillId="0" borderId="9" xfId="1" applyNumberFormat="1" applyFont="1" applyBorder="1"/>
    <xf numFmtId="0" fontId="39" fillId="21" borderId="45" xfId="12" applyFont="1" applyFill="1" applyBorder="1" applyAlignment="1">
      <alignment horizontal="right" wrapText="1"/>
    </xf>
    <xf numFmtId="164" fontId="0" fillId="21" borderId="0" xfId="1" applyNumberFormat="1" applyFont="1" applyFill="1" applyBorder="1"/>
    <xf numFmtId="0" fontId="19" fillId="5" borderId="26" xfId="0" applyFont="1" applyFill="1" applyBorder="1" applyAlignment="1">
      <alignment horizontal="center"/>
    </xf>
    <xf numFmtId="0" fontId="37" fillId="25" borderId="44" xfId="13" applyFont="1" applyFill="1" applyBorder="1" applyAlignment="1">
      <alignment horizontal="center"/>
    </xf>
    <xf numFmtId="0" fontId="37" fillId="0" borderId="45" xfId="13" applyFont="1" applyFill="1" applyBorder="1" applyAlignment="1">
      <alignment horizontal="right" wrapText="1"/>
    </xf>
    <xf numFmtId="0" fontId="37" fillId="0" borderId="45" xfId="13" applyFont="1" applyFill="1" applyBorder="1" applyAlignment="1">
      <alignment wrapText="1"/>
    </xf>
    <xf numFmtId="0" fontId="37" fillId="25" borderId="46" xfId="10" applyFont="1" applyFill="1" applyBorder="1" applyAlignment="1">
      <alignment horizontal="center"/>
    </xf>
    <xf numFmtId="164" fontId="0" fillId="0" borderId="0" xfId="1" applyNumberFormat="1" applyFont="1" applyFill="1"/>
    <xf numFmtId="0" fontId="39" fillId="25" borderId="46" xfId="9" applyFont="1" applyFill="1" applyBorder="1" applyAlignment="1">
      <alignment horizontal="center"/>
    </xf>
    <xf numFmtId="0" fontId="39" fillId="0" borderId="0" xfId="9" applyFont="1" applyFill="1" applyBorder="1" applyAlignment="1">
      <alignment horizontal="right" wrapText="1"/>
    </xf>
    <xf numFmtId="164" fontId="0" fillId="31" borderId="0" xfId="1" applyNumberFormat="1" applyFont="1" applyFill="1"/>
    <xf numFmtId="0" fontId="37" fillId="25" borderId="51" xfId="12" applyFont="1" applyFill="1" applyBorder="1" applyAlignment="1">
      <alignment horizontal="center"/>
    </xf>
    <xf numFmtId="0" fontId="39" fillId="30" borderId="45" xfId="12" applyFont="1" applyFill="1" applyBorder="1" applyAlignment="1">
      <alignment horizontal="right" wrapText="1"/>
    </xf>
    <xf numFmtId="10" fontId="0" fillId="0" borderId="5" xfId="1" applyNumberFormat="1" applyFont="1" applyFill="1" applyBorder="1"/>
    <xf numFmtId="0" fontId="39" fillId="25" borderId="44" xfId="14" applyFont="1" applyFill="1" applyBorder="1" applyAlignment="1">
      <alignment horizontal="center"/>
    </xf>
    <xf numFmtId="0" fontId="39" fillId="0" borderId="45" xfId="14" applyFont="1" applyFill="1" applyBorder="1" applyAlignment="1">
      <alignment horizontal="right" wrapText="1"/>
    </xf>
    <xf numFmtId="0" fontId="39" fillId="0" borderId="45" xfId="14" applyFont="1" applyFill="1" applyBorder="1" applyAlignment="1">
      <alignment wrapText="1"/>
    </xf>
    <xf numFmtId="0" fontId="39" fillId="25" borderId="44" xfId="15" applyFont="1" applyFill="1" applyBorder="1" applyAlignment="1">
      <alignment horizontal="center"/>
    </xf>
    <xf numFmtId="0" fontId="39" fillId="0" borderId="45" xfId="15" applyFont="1" applyFill="1" applyBorder="1" applyAlignment="1">
      <alignment horizontal="right" wrapText="1"/>
    </xf>
    <xf numFmtId="0" fontId="39" fillId="0" borderId="45" xfId="15" applyFont="1" applyFill="1" applyBorder="1" applyAlignment="1">
      <alignment wrapText="1"/>
    </xf>
    <xf numFmtId="0" fontId="37" fillId="0" borderId="45" xfId="15" applyFont="1" applyFill="1" applyBorder="1" applyAlignment="1">
      <alignment horizontal="right" wrapText="1"/>
    </xf>
    <xf numFmtId="0" fontId="39" fillId="32" borderId="45" xfId="15" applyFont="1" applyFill="1" applyBorder="1" applyAlignment="1">
      <alignment horizontal="right" wrapText="1"/>
    </xf>
    <xf numFmtId="0" fontId="0" fillId="32" borderId="0" xfId="0" applyFill="1"/>
    <xf numFmtId="0" fontId="41" fillId="25" borderId="44" xfId="16" applyFont="1" applyFill="1" applyBorder="1" applyAlignment="1">
      <alignment horizontal="center"/>
    </xf>
    <xf numFmtId="0" fontId="41" fillId="0" borderId="45" xfId="16" applyFont="1" applyFill="1" applyBorder="1" applyAlignment="1">
      <alignment horizontal="right" wrapText="1"/>
    </xf>
    <xf numFmtId="0" fontId="41" fillId="0" borderId="45" xfId="16" applyFont="1" applyFill="1" applyBorder="1" applyAlignment="1">
      <alignment wrapText="1"/>
    </xf>
    <xf numFmtId="0" fontId="41" fillId="25" borderId="44" xfId="17" applyFont="1" applyFill="1" applyBorder="1" applyAlignment="1">
      <alignment horizontal="center"/>
    </xf>
    <xf numFmtId="0" fontId="41" fillId="0" borderId="45" xfId="17" applyFont="1" applyFill="1" applyBorder="1" applyAlignment="1">
      <alignment horizontal="right" wrapText="1"/>
    </xf>
    <xf numFmtId="0" fontId="41" fillId="25" borderId="44" xfId="18" applyFont="1" applyFill="1" applyBorder="1" applyAlignment="1">
      <alignment horizontal="center"/>
    </xf>
    <xf numFmtId="0" fontId="41" fillId="0" borderId="45" xfId="18" applyFont="1" applyFill="1" applyBorder="1" applyAlignment="1">
      <alignment wrapText="1"/>
    </xf>
    <xf numFmtId="0" fontId="41" fillId="0" borderId="45" xfId="18" applyFont="1" applyFill="1" applyBorder="1" applyAlignment="1">
      <alignment horizontal="right" wrapText="1"/>
    </xf>
    <xf numFmtId="0" fontId="41" fillId="25" borderId="44" xfId="19" applyFont="1" applyFill="1" applyBorder="1" applyAlignment="1">
      <alignment horizontal="center"/>
    </xf>
    <xf numFmtId="0" fontId="41" fillId="0" borderId="45" xfId="19" applyFont="1" applyFill="1" applyBorder="1" applyAlignment="1">
      <alignment horizontal="right" wrapText="1"/>
    </xf>
    <xf numFmtId="0" fontId="41" fillId="0" borderId="45" xfId="19" applyFont="1" applyFill="1" applyBorder="1" applyAlignment="1">
      <alignment wrapText="1"/>
    </xf>
    <xf numFmtId="0" fontId="37" fillId="0" borderId="0" xfId="15" applyFont="1" applyFill="1" applyBorder="1" applyAlignment="1">
      <alignment horizontal="right" wrapText="1"/>
    </xf>
    <xf numFmtId="0" fontId="37" fillId="0" borderId="47" xfId="15" applyFont="1" applyFill="1" applyBorder="1" applyAlignment="1">
      <alignment horizontal="right" wrapText="1"/>
    </xf>
    <xf numFmtId="0" fontId="41" fillId="33" borderId="44" xfId="19" applyFont="1" applyFill="1" applyBorder="1" applyAlignment="1">
      <alignment horizontal="center"/>
    </xf>
    <xf numFmtId="0" fontId="41" fillId="7" borderId="45" xfId="19" applyFont="1" applyFill="1" applyBorder="1" applyAlignment="1">
      <alignment horizontal="right" wrapText="1"/>
    </xf>
    <xf numFmtId="0" fontId="0" fillId="7" borderId="0" xfId="0" applyFill="1"/>
    <xf numFmtId="0" fontId="41" fillId="34" borderId="44" xfId="19" applyFont="1" applyFill="1" applyBorder="1" applyAlignment="1">
      <alignment horizontal="center"/>
    </xf>
    <xf numFmtId="0" fontId="41" fillId="18" borderId="45" xfId="19" applyFont="1" applyFill="1" applyBorder="1" applyAlignment="1">
      <alignment horizontal="right" wrapText="1"/>
    </xf>
    <xf numFmtId="0" fontId="29" fillId="13" borderId="0" xfId="0" applyFont="1" applyFill="1" applyAlignment="1">
      <alignment horizontal="center" vertical="center" wrapText="1"/>
    </xf>
    <xf numFmtId="0" fontId="3" fillId="0" borderId="0" xfId="0" applyFont="1" applyAlignment="1">
      <alignment horizontal="left" vertical="center" wrapText="1"/>
    </xf>
    <xf numFmtId="0" fontId="5" fillId="0" borderId="0" xfId="0" applyFont="1" applyFill="1" applyBorder="1" applyAlignment="1">
      <alignment wrapText="1"/>
    </xf>
    <xf numFmtId="0" fontId="0" fillId="0" borderId="0" xfId="0" applyFill="1" applyBorder="1" applyAlignment="1">
      <alignment wrapText="1"/>
    </xf>
    <xf numFmtId="0" fontId="3" fillId="0" borderId="0" xfId="0" applyFont="1" applyFill="1" applyBorder="1" applyAlignment="1">
      <alignment horizontal="center"/>
    </xf>
    <xf numFmtId="0" fontId="5" fillId="0" borderId="0" xfId="0" applyFont="1" applyFill="1" applyBorder="1" applyAlignment="1">
      <alignment horizontal="left" vertical="center" wrapText="1"/>
    </xf>
    <xf numFmtId="0" fontId="5" fillId="0" borderId="0" xfId="0" applyFont="1" applyFill="1"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horizontal="center"/>
    </xf>
    <xf numFmtId="0" fontId="3" fillId="0" borderId="0" xfId="0" applyFont="1" applyBorder="1" applyAlignment="1">
      <alignment horizontal="center" vertical="center" wrapText="1"/>
    </xf>
    <xf numFmtId="0" fontId="4" fillId="6" borderId="24" xfId="0" applyFont="1" applyFill="1" applyBorder="1" applyAlignment="1">
      <alignment horizontal="left" vertical="center" wrapText="1"/>
    </xf>
    <xf numFmtId="0" fontId="9" fillId="6" borderId="20" xfId="0" applyFont="1" applyFill="1" applyBorder="1" applyAlignment="1">
      <alignment horizontal="left" vertical="center"/>
    </xf>
    <xf numFmtId="0" fontId="9" fillId="6" borderId="23" xfId="0" applyFont="1" applyFill="1" applyBorder="1" applyAlignment="1">
      <alignment horizontal="left" vertical="center"/>
    </xf>
    <xf numFmtId="0" fontId="5" fillId="0" borderId="6" xfId="0" applyFont="1" applyFill="1" applyBorder="1" applyAlignment="1">
      <alignment horizontal="center" wrapText="1"/>
    </xf>
    <xf numFmtId="0" fontId="0" fillId="0" borderId="2" xfId="0" applyFill="1" applyBorder="1" applyAlignment="1">
      <alignment horizontal="center" wrapText="1"/>
    </xf>
    <xf numFmtId="0" fontId="5" fillId="0" borderId="2" xfId="0" applyFont="1" applyFill="1" applyBorder="1" applyAlignment="1">
      <alignment horizontal="center" wrapText="1"/>
    </xf>
    <xf numFmtId="0" fontId="5" fillId="0" borderId="7" xfId="0" applyFont="1" applyFill="1" applyBorder="1" applyAlignment="1">
      <alignment horizontal="center" wrapText="1"/>
    </xf>
    <xf numFmtId="0" fontId="5" fillId="0" borderId="24" xfId="0" applyFont="1" applyFill="1" applyBorder="1" applyAlignment="1">
      <alignment horizontal="center" wrapText="1"/>
    </xf>
    <xf numFmtId="0" fontId="0" fillId="0" borderId="21" xfId="0" applyFill="1" applyBorder="1" applyAlignment="1">
      <alignment horizontal="center" wrapText="1"/>
    </xf>
    <xf numFmtId="0" fontId="5" fillId="0" borderId="9" xfId="0" applyFont="1" applyFill="1" applyBorder="1" applyAlignment="1">
      <alignment horizontal="center" wrapText="1"/>
    </xf>
    <xf numFmtId="0" fontId="0" fillId="0" borderId="22" xfId="0" applyFill="1" applyBorder="1" applyAlignment="1">
      <alignment horizontal="center" wrapText="1"/>
    </xf>
    <xf numFmtId="0" fontId="0" fillId="0" borderId="17" xfId="0" applyFill="1" applyBorder="1" applyAlignment="1">
      <alignment horizontal="center"/>
    </xf>
    <xf numFmtId="0" fontId="5" fillId="0" borderId="9" xfId="0" applyFont="1" applyFill="1" applyBorder="1" applyAlignment="1">
      <alignment wrapText="1"/>
    </xf>
    <xf numFmtId="0" fontId="5" fillId="0" borderId="14" xfId="0" applyFont="1" applyFill="1" applyBorder="1" applyAlignment="1">
      <alignment wrapText="1"/>
    </xf>
    <xf numFmtId="0" fontId="3" fillId="0" borderId="32" xfId="0" applyFont="1" applyBorder="1" applyAlignment="1">
      <alignment horizontal="center"/>
    </xf>
    <xf numFmtId="0" fontId="4" fillId="6" borderId="39"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5" fillId="0" borderId="20" xfId="0" applyFont="1" applyFill="1" applyBorder="1" applyAlignment="1">
      <alignment horizontal="center" wrapText="1"/>
    </xf>
    <xf numFmtId="0" fontId="4" fillId="5" borderId="24" xfId="0" applyFont="1" applyFill="1" applyBorder="1" applyAlignment="1">
      <alignment horizontal="left" vertical="center" wrapText="1"/>
    </xf>
    <xf numFmtId="0" fontId="9" fillId="5" borderId="20" xfId="0" applyFont="1" applyFill="1" applyBorder="1" applyAlignment="1">
      <alignment horizontal="left" vertical="center"/>
    </xf>
    <xf numFmtId="0" fontId="9" fillId="5" borderId="23" xfId="0" applyFont="1" applyFill="1" applyBorder="1" applyAlignment="1">
      <alignment horizontal="left" vertical="center"/>
    </xf>
    <xf numFmtId="0" fontId="4" fillId="5" borderId="3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22" fillId="27" borderId="0" xfId="0" applyFont="1" applyFill="1" applyBorder="1" applyAlignment="1">
      <alignment horizontal="center"/>
    </xf>
    <xf numFmtId="0" fontId="37" fillId="0" borderId="48" xfId="13" applyFont="1" applyFill="1" applyBorder="1" applyAlignment="1">
      <alignment horizontal="center"/>
    </xf>
    <xf numFmtId="0" fontId="37" fillId="0" borderId="49" xfId="13" applyFont="1" applyFill="1" applyBorder="1" applyAlignment="1">
      <alignment horizontal="center"/>
    </xf>
    <xf numFmtId="0" fontId="37" fillId="0" borderId="50" xfId="13" applyFont="1" applyFill="1" applyBorder="1" applyAlignment="1">
      <alignment horizontal="center"/>
    </xf>
    <xf numFmtId="0" fontId="5" fillId="0" borderId="0" xfId="0" applyFont="1" applyFill="1" applyBorder="1" applyAlignment="1">
      <alignment horizontal="left"/>
    </xf>
    <xf numFmtId="0" fontId="4" fillId="0" borderId="0" xfId="0" applyFont="1" applyFill="1" applyBorder="1" applyAlignment="1">
      <alignment horizontal="left" vertical="center" wrapText="1"/>
    </xf>
    <xf numFmtId="0" fontId="9"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4" fillId="6" borderId="39" xfId="0" applyFont="1" applyFill="1" applyBorder="1" applyAlignment="1">
      <alignment horizontal="left" vertical="center" wrapText="1"/>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37" fillId="0" borderId="0" xfId="10" applyFont="1" applyFill="1" applyBorder="1" applyAlignment="1">
      <alignment horizontal="right" wrapText="1"/>
    </xf>
    <xf numFmtId="0" fontId="39" fillId="0" borderId="0" xfId="11" applyFont="1" applyFill="1" applyBorder="1" applyAlignment="1">
      <alignment horizontal="right" wrapText="1"/>
    </xf>
    <xf numFmtId="10" fontId="0" fillId="0" borderId="0" xfId="1" applyNumberFormat="1" applyFont="1" applyFill="1" applyBorder="1"/>
    <xf numFmtId="178" fontId="3" fillId="0" borderId="9" xfId="0" applyNumberFormat="1" applyFont="1" applyBorder="1"/>
  </cellXfs>
  <cellStyles count="20">
    <cellStyle name="Comma" xfId="6" builtinId="3"/>
    <cellStyle name="Normal" xfId="0" builtinId="0"/>
    <cellStyle name="Normal 2" xfId="4" xr:uid="{00000000-0005-0000-0000-000002000000}"/>
    <cellStyle name="Normal 3" xfId="2" xr:uid="{00000000-0005-0000-0000-000003000000}"/>
    <cellStyle name="Normal_All SR Fall" xfId="19" xr:uid="{9A6D1C5F-83BE-4403-AEB2-611B1021FED3}"/>
    <cellStyle name="Normal_MIDC Sthd (2)" xfId="12" xr:uid="{1CAD7D7C-BF51-4DFA-A1BA-D7B37DC00BC4}"/>
    <cellStyle name="Normal_Sheet1" xfId="16" xr:uid="{EC9B42CF-0D81-4475-BAE1-0FDB621FE9B5}"/>
    <cellStyle name="Normal_SR Fall Chin" xfId="7" xr:uid="{00000000-0005-0000-0000-000004000000}"/>
    <cellStyle name="Normal_SR Fall Chin_1" xfId="15" xr:uid="{5367DFAC-3BD7-4AB2-9BD6-A301B708384C}"/>
    <cellStyle name="Normal_SR Sockeye" xfId="13" xr:uid="{5238717C-0EB1-4710-AF85-7E0D6421F026}"/>
    <cellStyle name="Normal_SR Sockeye_1" xfId="14" xr:uid="{591FB403-9DEF-40C1-A248-9ED35061A32E}"/>
    <cellStyle name="Normal_SR Spr-Sum Chin" xfId="8" xr:uid="{D302A0C1-2382-4C1D-A061-8B7D9A00D880}"/>
    <cellStyle name="Normal_SR Sthd_1" xfId="10" xr:uid="{5EBC364A-39ED-423C-AFAA-1F5B48CC8A2E}"/>
    <cellStyle name="Normal_SRSS all" xfId="18" xr:uid="{58533B79-6247-4550-AC2A-E1A31EEA491F}"/>
    <cellStyle name="Normal_UC all" xfId="17" xr:uid="{9812C79B-9D7B-4A5D-BFBC-35E84C47117E}"/>
    <cellStyle name="Normal_UCR Spr Chin" xfId="9" xr:uid="{5BCD80B8-5E10-42D5-8759-FA975BE74205}"/>
    <cellStyle name="Normal_UCR Sthd" xfId="11" xr:uid="{A7F05631-7920-4489-922B-12BC72A9A702}"/>
    <cellStyle name="Percent" xfId="1" builtinId="5"/>
    <cellStyle name="Percent 2" xfId="5" xr:uid="{00000000-0005-0000-0000-000007000000}"/>
    <cellStyle name="Percent 3" xfId="3"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5" Type="http://schemas.openxmlformats.org/officeDocument/2006/relationships/worksheet" Target="worksheets/sheet3.xml"/><Relationship Id="rId15" Type="http://schemas.openxmlformats.org/officeDocument/2006/relationships/worksheet" Target="worksheets/sheet13.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a:t>
            </a:r>
            <a:r>
              <a:rPr lang="en-US" baseline="0"/>
              <a:t> Adult PIT tag conversion rates corrected for harvest and straying for ESU and DPS passing through the CRS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21458325472196E-2"/>
          <c:y val="9.5157060711090383E-2"/>
          <c:w val="0.92263071671992625"/>
          <c:h val="0.78547046611991889"/>
        </c:manualLayout>
      </c:layout>
      <c:barChart>
        <c:barDir val="col"/>
        <c:grouping val="clustered"/>
        <c:varyColors val="0"/>
        <c:ser>
          <c:idx val="2"/>
          <c:order val="0"/>
          <c:tx>
            <c:v>2010</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graphs'!$B$138:$G$138</c:f>
              <c:numCache>
                <c:formatCode>0.0%</c:formatCode>
                <c:ptCount val="6"/>
                <c:pt idx="0">
                  <c:v>0.90627202329992251</c:v>
                </c:pt>
                <c:pt idx="1">
                  <c:v>0.85154593670619383</c:v>
                </c:pt>
                <c:pt idx="2">
                  <c:v>0.82799145299145305</c:v>
                </c:pt>
                <c:pt idx="3">
                  <c:v>0.85838514624122009</c:v>
                </c:pt>
                <c:pt idx="4">
                  <c:v>0.96977790740449255</c:v>
                </c:pt>
                <c:pt idx="5">
                  <c:v>0.94231537110004715</c:v>
                </c:pt>
              </c:numCache>
            </c:numRef>
          </c:val>
          <c:extLst>
            <c:ext xmlns:c16="http://schemas.microsoft.com/office/drawing/2014/chart" uri="{C3380CC4-5D6E-409C-BE32-E72D297353CC}">
              <c16:uniqueId val="{00000002-0F5B-455F-A144-21342864C227}"/>
            </c:ext>
          </c:extLst>
        </c:ser>
        <c:ser>
          <c:idx val="3"/>
          <c:order val="1"/>
          <c:tx>
            <c:v>2011</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graphs'!$B$139:$G$139</c:f>
              <c:numCache>
                <c:formatCode>0.0%</c:formatCode>
                <c:ptCount val="6"/>
                <c:pt idx="0">
                  <c:v>0.80555382696369082</c:v>
                </c:pt>
                <c:pt idx="1">
                  <c:v>0.77249028331092018</c:v>
                </c:pt>
                <c:pt idx="2">
                  <c:v>0.71392083494879843</c:v>
                </c:pt>
                <c:pt idx="3">
                  <c:v>0.81193215854515222</c:v>
                </c:pt>
                <c:pt idx="4">
                  <c:v>0.86410230569938595</c:v>
                </c:pt>
                <c:pt idx="5">
                  <c:v>0.916893463410832</c:v>
                </c:pt>
              </c:numCache>
            </c:numRef>
          </c:val>
          <c:extLst>
            <c:ext xmlns:c16="http://schemas.microsoft.com/office/drawing/2014/chart" uri="{C3380CC4-5D6E-409C-BE32-E72D297353CC}">
              <c16:uniqueId val="{00000003-0F5B-455F-A144-21342864C227}"/>
            </c:ext>
          </c:extLst>
        </c:ser>
        <c:ser>
          <c:idx val="4"/>
          <c:order val="2"/>
          <c:tx>
            <c:v>2012</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graphs'!$B$140:$G$140</c:f>
              <c:numCache>
                <c:formatCode>0.0%</c:formatCode>
                <c:ptCount val="6"/>
                <c:pt idx="0">
                  <c:v>1.0087697275209666</c:v>
                </c:pt>
                <c:pt idx="1">
                  <c:v>0.89184213167897797</c:v>
                </c:pt>
                <c:pt idx="2">
                  <c:v>0.56990712294855705</c:v>
                </c:pt>
                <c:pt idx="3">
                  <c:v>0.88267799105923972</c:v>
                </c:pt>
                <c:pt idx="4">
                  <c:v>0.99618818230557327</c:v>
                </c:pt>
                <c:pt idx="5">
                  <c:v>0.96460563557246681</c:v>
                </c:pt>
              </c:numCache>
            </c:numRef>
          </c:val>
          <c:extLst>
            <c:ext xmlns:c16="http://schemas.microsoft.com/office/drawing/2014/chart" uri="{C3380CC4-5D6E-409C-BE32-E72D297353CC}">
              <c16:uniqueId val="{00000004-0F5B-455F-A144-21342864C227}"/>
            </c:ext>
          </c:extLst>
        </c:ser>
        <c:ser>
          <c:idx val="5"/>
          <c:order val="3"/>
          <c:tx>
            <c:v>2013</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graphs'!$B$141:$G$141</c:f>
              <c:numCache>
                <c:formatCode>0.0%</c:formatCode>
                <c:ptCount val="6"/>
                <c:pt idx="0">
                  <c:v>0.82511529752830948</c:v>
                </c:pt>
                <c:pt idx="1">
                  <c:v>0.85407068248015516</c:v>
                </c:pt>
                <c:pt idx="2">
                  <c:v>0.46384789866707449</c:v>
                </c:pt>
                <c:pt idx="3">
                  <c:v>0.85528673116633536</c:v>
                </c:pt>
                <c:pt idx="4">
                  <c:v>1.0119389888247916</c:v>
                </c:pt>
                <c:pt idx="5">
                  <c:v>0.87606979009974695</c:v>
                </c:pt>
              </c:numCache>
            </c:numRef>
          </c:val>
          <c:extLst>
            <c:ext xmlns:c16="http://schemas.microsoft.com/office/drawing/2014/chart" uri="{C3380CC4-5D6E-409C-BE32-E72D297353CC}">
              <c16:uniqueId val="{00000005-0F5B-455F-A144-21342864C227}"/>
            </c:ext>
          </c:extLst>
        </c:ser>
        <c:ser>
          <c:idx val="6"/>
          <c:order val="4"/>
          <c:tx>
            <c:v>2014</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graphs'!$B$142:$G$142</c:f>
              <c:numCache>
                <c:formatCode>0.0%</c:formatCode>
                <c:ptCount val="6"/>
                <c:pt idx="0">
                  <c:v>0.91600266100523353</c:v>
                </c:pt>
                <c:pt idx="1">
                  <c:v>0.8361426637011018</c:v>
                </c:pt>
                <c:pt idx="2">
                  <c:v>0.694200007821972</c:v>
                </c:pt>
                <c:pt idx="3">
                  <c:v>0.94134236590073261</c:v>
                </c:pt>
                <c:pt idx="4">
                  <c:v>1.0071442085444269</c:v>
                </c:pt>
                <c:pt idx="5">
                  <c:v>0.92806921513206386</c:v>
                </c:pt>
              </c:numCache>
            </c:numRef>
          </c:val>
          <c:extLst>
            <c:ext xmlns:c16="http://schemas.microsoft.com/office/drawing/2014/chart" uri="{C3380CC4-5D6E-409C-BE32-E72D297353CC}">
              <c16:uniqueId val="{00000008-0F5B-455F-A144-21342864C227}"/>
            </c:ext>
          </c:extLst>
        </c:ser>
        <c:ser>
          <c:idx val="7"/>
          <c:order val="5"/>
          <c:tx>
            <c:v>2015</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graphs'!$B$143:$G$143</c:f>
              <c:numCache>
                <c:formatCode>0.0%</c:formatCode>
                <c:ptCount val="6"/>
                <c:pt idx="0">
                  <c:v>0.99786264764475407</c:v>
                </c:pt>
                <c:pt idx="1">
                  <c:v>0.93517883887841313</c:v>
                </c:pt>
                <c:pt idx="2">
                  <c:v>4.2257555103069298E-2</c:v>
                </c:pt>
                <c:pt idx="3">
                  <c:v>0.93541757380573343</c:v>
                </c:pt>
                <c:pt idx="4">
                  <c:v>1.0889630867518441</c:v>
                </c:pt>
                <c:pt idx="5">
                  <c:v>0.96754889087769991</c:v>
                </c:pt>
              </c:numCache>
            </c:numRef>
          </c:val>
          <c:extLst>
            <c:ext xmlns:c16="http://schemas.microsoft.com/office/drawing/2014/chart" uri="{C3380CC4-5D6E-409C-BE32-E72D297353CC}">
              <c16:uniqueId val="{00000009-0F5B-455F-A144-21342864C227}"/>
            </c:ext>
          </c:extLst>
        </c:ser>
        <c:ser>
          <c:idx val="8"/>
          <c:order val="6"/>
          <c:tx>
            <c:v>2016</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graphs'!$B$144:$G$144</c:f>
              <c:numCache>
                <c:formatCode>0.0%</c:formatCode>
                <c:ptCount val="6"/>
                <c:pt idx="0">
                  <c:v>0.80177308934634006</c:v>
                </c:pt>
                <c:pt idx="1">
                  <c:v>0.84610933886718942</c:v>
                </c:pt>
                <c:pt idx="2">
                  <c:v>0.71655772658953476</c:v>
                </c:pt>
                <c:pt idx="3">
                  <c:v>0.88153808643058829</c:v>
                </c:pt>
                <c:pt idx="4">
                  <c:v>0.89880736592176125</c:v>
                </c:pt>
                <c:pt idx="5">
                  <c:v>0.94061844876760237</c:v>
                </c:pt>
              </c:numCache>
            </c:numRef>
          </c:val>
          <c:extLst>
            <c:ext xmlns:c16="http://schemas.microsoft.com/office/drawing/2014/chart" uri="{C3380CC4-5D6E-409C-BE32-E72D297353CC}">
              <c16:uniqueId val="{0000000A-0F5B-455F-A144-21342864C227}"/>
            </c:ext>
          </c:extLst>
        </c:ser>
        <c:ser>
          <c:idx val="9"/>
          <c:order val="7"/>
          <c:tx>
            <c:v>2017</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graphs'!$B$145:$G$145</c:f>
              <c:numCache>
                <c:formatCode>0.0%</c:formatCode>
                <c:ptCount val="6"/>
                <c:pt idx="0">
                  <c:v>0.90035859996810175</c:v>
                </c:pt>
                <c:pt idx="1">
                  <c:v>0.77973227715052162</c:v>
                </c:pt>
                <c:pt idx="2">
                  <c:v>0.56719888829017906</c:v>
                </c:pt>
                <c:pt idx="3">
                  <c:v>0.86830189351667153</c:v>
                </c:pt>
                <c:pt idx="4">
                  <c:v>0.84648325355278542</c:v>
                </c:pt>
                <c:pt idx="5">
                  <c:v>0.88355817332370823</c:v>
                </c:pt>
              </c:numCache>
            </c:numRef>
          </c:val>
          <c:extLst>
            <c:ext xmlns:c16="http://schemas.microsoft.com/office/drawing/2014/chart" uri="{C3380CC4-5D6E-409C-BE32-E72D297353CC}">
              <c16:uniqueId val="{0000000B-0F5B-455F-A144-21342864C227}"/>
            </c:ext>
          </c:extLst>
        </c:ser>
        <c:ser>
          <c:idx val="10"/>
          <c:order val="8"/>
          <c:tx>
            <c:v>2018</c:v>
          </c:tx>
          <c:spPr>
            <a:solidFill>
              <a:schemeClr val="tx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graphs'!$B$146:$G$146</c:f>
              <c:numCache>
                <c:formatCode>0.0%</c:formatCode>
                <c:ptCount val="6"/>
                <c:pt idx="0">
                  <c:v>0.94390940047132987</c:v>
                </c:pt>
                <c:pt idx="1">
                  <c:v>0.76596696044410273</c:v>
                </c:pt>
                <c:pt idx="2">
                  <c:v>0</c:v>
                </c:pt>
                <c:pt idx="3">
                  <c:v>0.85057834579469049</c:v>
                </c:pt>
                <c:pt idx="4">
                  <c:v>0.86701347205548884</c:v>
                </c:pt>
                <c:pt idx="5">
                  <c:v>0.88177978431666471</c:v>
                </c:pt>
              </c:numCache>
            </c:numRef>
          </c:val>
          <c:extLst>
            <c:ext xmlns:c16="http://schemas.microsoft.com/office/drawing/2014/chart" uri="{C3380CC4-5D6E-409C-BE32-E72D297353CC}">
              <c16:uniqueId val="{0000000C-0F5B-455F-A144-21342864C227}"/>
            </c:ext>
          </c:extLst>
        </c:ser>
        <c:ser>
          <c:idx val="11"/>
          <c:order val="9"/>
          <c:tx>
            <c:v>2019</c:v>
          </c:tx>
          <c:spPr>
            <a:solidFill>
              <a:schemeClr val="tx2">
                <a:lumMod val="60000"/>
                <a:lumOff val="40000"/>
              </a:schemeClr>
            </a:solidFill>
            <a:ln>
              <a:noFill/>
            </a:ln>
            <a:effectLst/>
          </c:spPr>
          <c:invertIfNegative val="0"/>
          <c:dLbls>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graphs'!$B$147:$G$147</c:f>
              <c:numCache>
                <c:formatCode>0.0%</c:formatCode>
                <c:ptCount val="6"/>
                <c:pt idx="0">
                  <c:v>0.9842571352080588</c:v>
                </c:pt>
                <c:pt idx="1">
                  <c:v>0.7866191664874016</c:v>
                </c:pt>
                <c:pt idx="2">
                  <c:v>0</c:v>
                </c:pt>
                <c:pt idx="4">
                  <c:v>0.83436730342260246</c:v>
                </c:pt>
              </c:numCache>
            </c:numRef>
          </c:val>
          <c:extLst>
            <c:ext xmlns:c16="http://schemas.microsoft.com/office/drawing/2014/chart" uri="{C3380CC4-5D6E-409C-BE32-E72D297353CC}">
              <c16:uniqueId val="{0000000D-0F5B-455F-A144-21342864C227}"/>
            </c:ext>
          </c:extLst>
        </c:ser>
        <c:dLbls>
          <c:dLblPos val="outEnd"/>
          <c:showLegendKey val="0"/>
          <c:showVal val="1"/>
          <c:showCatName val="0"/>
          <c:showSerName val="0"/>
          <c:showPercent val="0"/>
          <c:showBubbleSize val="0"/>
        </c:dLbls>
        <c:gapWidth val="219"/>
        <c:axId val="2056303584"/>
        <c:axId val="2056308992"/>
      </c:barChart>
      <c:catAx>
        <c:axId val="20563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08992"/>
        <c:crosses val="autoZero"/>
        <c:auto val="1"/>
        <c:lblAlgn val="ctr"/>
        <c:lblOffset val="100"/>
        <c:noMultiLvlLbl val="0"/>
      </c:catAx>
      <c:valAx>
        <c:axId val="2056308992"/>
        <c:scaling>
          <c:orientation val="minMax"/>
          <c:max val="1.100000000000000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03584"/>
        <c:crosses val="autoZero"/>
        <c:crossBetween val="between"/>
        <c:majorUnit val="0.1"/>
        <c:minorUnit val="1.0000000000000002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26983523840931"/>
          <c:y val="2.4899069434502506E-2"/>
          <c:w val="0.85330905399816637"/>
          <c:h val="0.89670373021554128"/>
        </c:manualLayout>
      </c:layout>
      <c:barChart>
        <c:barDir val="col"/>
        <c:grouping val="clustered"/>
        <c:varyColors val="0"/>
        <c:ser>
          <c:idx val="3"/>
          <c:order val="1"/>
          <c:tx>
            <c:v>2010</c:v>
          </c:tx>
          <c:spPr>
            <a:solidFill>
              <a:schemeClr val="accent1">
                <a:lumMod val="60000"/>
                <a:lumOff val="40000"/>
              </a:schemeClr>
            </a:solidFill>
            <a:ln>
              <a:solidFill>
                <a:prstClr val="black"/>
              </a:solidFill>
            </a:ln>
          </c:spPr>
          <c:invertIfNegative val="0"/>
          <c:cat>
            <c:strRef>
              <c:f>'[1]Summary Data'!$B$5:$G$5</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graphs'!$B$138:$G$138</c:f>
              <c:numCache>
                <c:formatCode>0.0%</c:formatCode>
                <c:ptCount val="6"/>
                <c:pt idx="0">
                  <c:v>0.90627202329992251</c:v>
                </c:pt>
                <c:pt idx="1">
                  <c:v>0.85154593670619383</c:v>
                </c:pt>
                <c:pt idx="2">
                  <c:v>0.82799145299145305</c:v>
                </c:pt>
                <c:pt idx="3">
                  <c:v>0.85838514624122009</c:v>
                </c:pt>
                <c:pt idx="4">
                  <c:v>0.96977790740449255</c:v>
                </c:pt>
                <c:pt idx="5">
                  <c:v>0.94231537110004715</c:v>
                </c:pt>
              </c:numCache>
            </c:numRef>
          </c:val>
          <c:extLst>
            <c:ext xmlns:c16="http://schemas.microsoft.com/office/drawing/2014/chart" uri="{C3380CC4-5D6E-409C-BE32-E72D297353CC}">
              <c16:uniqueId val="{00000002-FF58-4872-A976-EAE7B22A4237}"/>
            </c:ext>
          </c:extLst>
        </c:ser>
        <c:ser>
          <c:idx val="4"/>
          <c:order val="2"/>
          <c:tx>
            <c:v>2011</c:v>
          </c:tx>
          <c:spPr>
            <a:solidFill>
              <a:schemeClr val="accent1">
                <a:lumMod val="75000"/>
              </a:schemeClr>
            </a:solidFill>
            <a:ln>
              <a:solidFill>
                <a:prstClr val="black"/>
              </a:solidFill>
            </a:ln>
          </c:spPr>
          <c:invertIfNegative val="0"/>
          <c:cat>
            <c:strRef>
              <c:f>'[1]Summary Data'!$B$5:$G$5</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graphs'!$B$139:$G$139</c:f>
              <c:numCache>
                <c:formatCode>0.0%</c:formatCode>
                <c:ptCount val="6"/>
                <c:pt idx="0">
                  <c:v>0.80555382696369082</c:v>
                </c:pt>
                <c:pt idx="1">
                  <c:v>0.77249028331092018</c:v>
                </c:pt>
                <c:pt idx="2">
                  <c:v>0.71392083494879843</c:v>
                </c:pt>
                <c:pt idx="3">
                  <c:v>0.81193215854515222</c:v>
                </c:pt>
                <c:pt idx="4">
                  <c:v>0.86410230569938595</c:v>
                </c:pt>
                <c:pt idx="5">
                  <c:v>0.916893463410832</c:v>
                </c:pt>
              </c:numCache>
            </c:numRef>
          </c:val>
          <c:extLst>
            <c:ext xmlns:c16="http://schemas.microsoft.com/office/drawing/2014/chart" uri="{C3380CC4-5D6E-409C-BE32-E72D297353CC}">
              <c16:uniqueId val="{00000003-FF58-4872-A976-EAE7B22A4237}"/>
            </c:ext>
          </c:extLst>
        </c:ser>
        <c:ser>
          <c:idx val="5"/>
          <c:order val="3"/>
          <c:tx>
            <c:v>2012</c:v>
          </c:tx>
          <c:spPr>
            <a:pattFill prst="wdUpDiag">
              <a:fgClr>
                <a:schemeClr val="accent1"/>
              </a:fgClr>
              <a:bgClr>
                <a:schemeClr val="bg1"/>
              </a:bgClr>
            </a:pattFill>
            <a:ln w="12700">
              <a:solidFill>
                <a:schemeClr val="tx1"/>
              </a:solidFill>
            </a:ln>
          </c:spPr>
          <c:invertIfNegative val="0"/>
          <c:cat>
            <c:strRef>
              <c:f>'[1]Summary Data'!$B$5:$G$5</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graphs'!$B$140:$G$140</c:f>
              <c:numCache>
                <c:formatCode>0.0%</c:formatCode>
                <c:ptCount val="6"/>
                <c:pt idx="0">
                  <c:v>1.0087697275209666</c:v>
                </c:pt>
                <c:pt idx="1">
                  <c:v>0.89184213167897797</c:v>
                </c:pt>
                <c:pt idx="2">
                  <c:v>0.56990712294855705</c:v>
                </c:pt>
                <c:pt idx="3">
                  <c:v>0.88267799105923972</c:v>
                </c:pt>
                <c:pt idx="4">
                  <c:v>0.99618818230557327</c:v>
                </c:pt>
                <c:pt idx="5">
                  <c:v>0.96460563557246681</c:v>
                </c:pt>
              </c:numCache>
            </c:numRef>
          </c:val>
          <c:extLst>
            <c:ext xmlns:c16="http://schemas.microsoft.com/office/drawing/2014/chart" uri="{C3380CC4-5D6E-409C-BE32-E72D297353CC}">
              <c16:uniqueId val="{00000004-FF58-4872-A976-EAE7B22A4237}"/>
            </c:ext>
          </c:extLst>
        </c:ser>
        <c:ser>
          <c:idx val="6"/>
          <c:order val="4"/>
          <c:tx>
            <c:v>2013</c:v>
          </c:tx>
          <c:invertIfNegative val="0"/>
          <c:val>
            <c:numRef>
              <c:f>'Data summary for graphs'!$B$141:$G$141</c:f>
              <c:numCache>
                <c:formatCode>0.0%</c:formatCode>
                <c:ptCount val="6"/>
                <c:pt idx="0">
                  <c:v>0.82511529752830948</c:v>
                </c:pt>
                <c:pt idx="1">
                  <c:v>0.85407068248015516</c:v>
                </c:pt>
                <c:pt idx="2">
                  <c:v>0.46384789866707449</c:v>
                </c:pt>
                <c:pt idx="3">
                  <c:v>0.85528673116633536</c:v>
                </c:pt>
                <c:pt idx="4">
                  <c:v>1.0119389888247916</c:v>
                </c:pt>
                <c:pt idx="5">
                  <c:v>0.87606979009974695</c:v>
                </c:pt>
              </c:numCache>
            </c:numRef>
          </c:val>
          <c:extLst>
            <c:ext xmlns:c16="http://schemas.microsoft.com/office/drawing/2014/chart" uri="{C3380CC4-5D6E-409C-BE32-E72D297353CC}">
              <c16:uniqueId val="{00000005-FF58-4872-A976-EAE7B22A4237}"/>
            </c:ext>
          </c:extLst>
        </c:ser>
        <c:ser>
          <c:idx val="7"/>
          <c:order val="5"/>
          <c:tx>
            <c:v>2014</c:v>
          </c:tx>
          <c:invertIfNegative val="0"/>
          <c:val>
            <c:numRef>
              <c:f>'Data summary for graphs'!$B$142:$G$142</c:f>
              <c:numCache>
                <c:formatCode>0.0%</c:formatCode>
                <c:ptCount val="6"/>
                <c:pt idx="0">
                  <c:v>0.91600266100523353</c:v>
                </c:pt>
                <c:pt idx="1">
                  <c:v>0.8361426637011018</c:v>
                </c:pt>
                <c:pt idx="2">
                  <c:v>0.694200007821972</c:v>
                </c:pt>
                <c:pt idx="3">
                  <c:v>0.94134236590073261</c:v>
                </c:pt>
                <c:pt idx="4">
                  <c:v>1.0071442085444269</c:v>
                </c:pt>
                <c:pt idx="5">
                  <c:v>0.92806921513206386</c:v>
                </c:pt>
              </c:numCache>
            </c:numRef>
          </c:val>
          <c:extLst>
            <c:ext xmlns:c16="http://schemas.microsoft.com/office/drawing/2014/chart" uri="{C3380CC4-5D6E-409C-BE32-E72D297353CC}">
              <c16:uniqueId val="{00000006-FF58-4872-A976-EAE7B22A4237}"/>
            </c:ext>
          </c:extLst>
        </c:ser>
        <c:ser>
          <c:idx val="8"/>
          <c:order val="6"/>
          <c:tx>
            <c:v>2015</c:v>
          </c:tx>
          <c:invertIfNegative val="0"/>
          <c:cat>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cat>
          <c:val>
            <c:numRef>
              <c:f>'Data summary for graphs'!$B$143:$G$143</c:f>
              <c:numCache>
                <c:formatCode>0.0%</c:formatCode>
                <c:ptCount val="6"/>
                <c:pt idx="0">
                  <c:v>0.99786264764475407</c:v>
                </c:pt>
                <c:pt idx="1">
                  <c:v>0.93517883887841313</c:v>
                </c:pt>
                <c:pt idx="2">
                  <c:v>4.2257555103069298E-2</c:v>
                </c:pt>
                <c:pt idx="3">
                  <c:v>0.93541757380573343</c:v>
                </c:pt>
                <c:pt idx="4">
                  <c:v>1.0889630867518441</c:v>
                </c:pt>
                <c:pt idx="5">
                  <c:v>0.96754889087769991</c:v>
                </c:pt>
              </c:numCache>
            </c:numRef>
          </c:val>
          <c:extLst>
            <c:ext xmlns:c16="http://schemas.microsoft.com/office/drawing/2014/chart" uri="{C3380CC4-5D6E-409C-BE32-E72D297353CC}">
              <c16:uniqueId val="{00000007-FF58-4872-A976-EAE7B22A4237}"/>
            </c:ext>
          </c:extLst>
        </c:ser>
        <c:ser>
          <c:idx val="9"/>
          <c:order val="7"/>
          <c:tx>
            <c:v>2016</c:v>
          </c:tx>
          <c:invertIfNegative val="0"/>
          <c:val>
            <c:numRef>
              <c:f>'Data summary for graphs'!$B$144:$G$144</c:f>
              <c:numCache>
                <c:formatCode>0.0%</c:formatCode>
                <c:ptCount val="6"/>
                <c:pt idx="0">
                  <c:v>0.80177308934634006</c:v>
                </c:pt>
                <c:pt idx="1">
                  <c:v>0.84610933886718942</c:v>
                </c:pt>
                <c:pt idx="2">
                  <c:v>0.71655772658953476</c:v>
                </c:pt>
                <c:pt idx="3">
                  <c:v>0.88153808643058829</c:v>
                </c:pt>
                <c:pt idx="4">
                  <c:v>0.89880736592176125</c:v>
                </c:pt>
                <c:pt idx="5">
                  <c:v>0.94061844876760237</c:v>
                </c:pt>
              </c:numCache>
            </c:numRef>
          </c:val>
          <c:extLst>
            <c:ext xmlns:c16="http://schemas.microsoft.com/office/drawing/2014/chart" uri="{C3380CC4-5D6E-409C-BE32-E72D297353CC}">
              <c16:uniqueId val="{00000008-FF58-4872-A976-EAE7B22A4237}"/>
            </c:ext>
          </c:extLst>
        </c:ser>
        <c:dLbls>
          <c:showLegendKey val="0"/>
          <c:showVal val="0"/>
          <c:showCatName val="0"/>
          <c:showSerName val="0"/>
          <c:showPercent val="0"/>
          <c:showBubbleSize val="0"/>
        </c:dLbls>
        <c:gapWidth val="150"/>
        <c:axId val="588470688"/>
        <c:axId val="588471080"/>
      </c:barChart>
      <c:scatterChart>
        <c:scatterStyle val="lineMarker"/>
        <c:varyColors val="0"/>
        <c:ser>
          <c:idx val="0"/>
          <c:order val="0"/>
          <c:tx>
            <c:v>2008 BiOp Average</c:v>
          </c:tx>
          <c:spPr>
            <a:ln w="50800">
              <a:noFill/>
            </a:ln>
          </c:spPr>
          <c:marker>
            <c:symbol val="circle"/>
            <c:size val="12"/>
            <c:spPr>
              <a:solidFill>
                <a:srgbClr val="C00000"/>
              </a:solidFill>
              <a:ln w="3175">
                <a:solidFill>
                  <a:srgbClr val="C00000"/>
                </a:solidFill>
                <a:prstDash val="sysDot"/>
                <a:headEnd type="triangle"/>
                <a:tailEnd type="triangle"/>
              </a:ln>
            </c:spPr>
          </c:marker>
          <c:yVal>
            <c:numRef>
              <c:f>'Data summary for graphs'!$B$135:$G$135</c:f>
              <c:numCache>
                <c:formatCode>0.0%</c:formatCode>
                <c:ptCount val="6"/>
                <c:pt idx="0">
                  <c:v>0.81</c:v>
                </c:pt>
                <c:pt idx="1">
                  <c:v>0.91</c:v>
                </c:pt>
                <c:pt idx="2">
                  <c:v>0.81100000000000005</c:v>
                </c:pt>
                <c:pt idx="3">
                  <c:v>0.90100000000000002</c:v>
                </c:pt>
                <c:pt idx="4">
                  <c:v>0.90100000000000002</c:v>
                </c:pt>
                <c:pt idx="5">
                  <c:v>0.84499999999999997</c:v>
                </c:pt>
              </c:numCache>
            </c:numRef>
          </c:yVal>
          <c:smooth val="0"/>
          <c:extLst>
            <c:ext xmlns:c16="http://schemas.microsoft.com/office/drawing/2014/chart" uri="{C3380CC4-5D6E-409C-BE32-E72D297353CC}">
              <c16:uniqueId val="{00000009-FF58-4872-A976-EAE7B22A4237}"/>
            </c:ext>
          </c:extLst>
        </c:ser>
        <c:ser>
          <c:idx val="1"/>
          <c:order val="8"/>
          <c:tx>
            <c:v>2017</c:v>
          </c:tx>
          <c:spPr>
            <a:ln w="28575">
              <a:noFill/>
            </a:ln>
          </c:spPr>
          <c:xVal>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xVal>
          <c:yVal>
            <c:numRef>
              <c:f>'Data summary for graphs'!$B$145:$G$145</c:f>
              <c:numCache>
                <c:formatCode>0.0%</c:formatCode>
                <c:ptCount val="6"/>
                <c:pt idx="0">
                  <c:v>0.90035859996810175</c:v>
                </c:pt>
                <c:pt idx="1">
                  <c:v>0.77973227715052162</c:v>
                </c:pt>
                <c:pt idx="2">
                  <c:v>0.56719888829017906</c:v>
                </c:pt>
                <c:pt idx="3">
                  <c:v>0.86830189351667153</c:v>
                </c:pt>
                <c:pt idx="4">
                  <c:v>0.84648325355278542</c:v>
                </c:pt>
                <c:pt idx="5">
                  <c:v>0.88355817332370823</c:v>
                </c:pt>
              </c:numCache>
            </c:numRef>
          </c:yVal>
          <c:smooth val="0"/>
          <c:extLst>
            <c:ext xmlns:c16="http://schemas.microsoft.com/office/drawing/2014/chart" uri="{C3380CC4-5D6E-409C-BE32-E72D297353CC}">
              <c16:uniqueId val="{00000000-7BD2-40B0-993F-C50580E15A2B}"/>
            </c:ext>
          </c:extLst>
        </c:ser>
        <c:ser>
          <c:idx val="2"/>
          <c:order val="9"/>
          <c:tx>
            <c:v>2018</c:v>
          </c:tx>
          <c:spPr>
            <a:ln w="28575">
              <a:noFill/>
            </a:ln>
          </c:spPr>
          <c:xVal>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xVal>
          <c:yVal>
            <c:numRef>
              <c:f>'Data summary for graphs'!$B$146:$G$146</c:f>
              <c:numCache>
                <c:formatCode>0.0%</c:formatCode>
                <c:ptCount val="6"/>
                <c:pt idx="0">
                  <c:v>0.94390940047132987</c:v>
                </c:pt>
                <c:pt idx="1">
                  <c:v>0.76596696044410273</c:v>
                </c:pt>
                <c:pt idx="2">
                  <c:v>0</c:v>
                </c:pt>
                <c:pt idx="3">
                  <c:v>0.85057834579469049</c:v>
                </c:pt>
                <c:pt idx="4">
                  <c:v>0.86701347205548884</c:v>
                </c:pt>
                <c:pt idx="5">
                  <c:v>0.88177978431666471</c:v>
                </c:pt>
              </c:numCache>
            </c:numRef>
          </c:yVal>
          <c:smooth val="0"/>
          <c:extLst>
            <c:ext xmlns:c16="http://schemas.microsoft.com/office/drawing/2014/chart" uri="{C3380CC4-5D6E-409C-BE32-E72D297353CC}">
              <c16:uniqueId val="{00000001-7BD2-40B0-993F-C50580E15A2B}"/>
            </c:ext>
          </c:extLst>
        </c:ser>
        <c:ser>
          <c:idx val="10"/>
          <c:order val="10"/>
          <c:tx>
            <c:v>2019</c:v>
          </c:tx>
          <c:spPr>
            <a:ln w="28575">
              <a:noFill/>
            </a:ln>
          </c:spPr>
          <c:xVal>
            <c:strRef>
              <c:f>'Data summary for graphs'!$B$134:$G$134</c:f>
              <c:strCache>
                <c:ptCount val="6"/>
                <c:pt idx="0">
                  <c:v>SR Fall Chinook</c:v>
                </c:pt>
                <c:pt idx="1">
                  <c:v>SR Spr-Sum Chinook</c:v>
                </c:pt>
                <c:pt idx="2">
                  <c:v>SR Sockeye</c:v>
                </c:pt>
                <c:pt idx="3">
                  <c:v>SR Steelhead</c:v>
                </c:pt>
                <c:pt idx="4">
                  <c:v>UCR Spring Chinook</c:v>
                </c:pt>
                <c:pt idx="5">
                  <c:v>UCR Steelhead</c:v>
                </c:pt>
              </c:strCache>
            </c:strRef>
          </c:xVal>
          <c:yVal>
            <c:numRef>
              <c:f>'Data summary for graphs'!$B$147:$G$147</c:f>
              <c:numCache>
                <c:formatCode>0.0%</c:formatCode>
                <c:ptCount val="6"/>
                <c:pt idx="0">
                  <c:v>0.9842571352080588</c:v>
                </c:pt>
                <c:pt idx="1">
                  <c:v>0.7866191664874016</c:v>
                </c:pt>
                <c:pt idx="2">
                  <c:v>0</c:v>
                </c:pt>
                <c:pt idx="4">
                  <c:v>0.83436730342260246</c:v>
                </c:pt>
              </c:numCache>
            </c:numRef>
          </c:yVal>
          <c:smooth val="0"/>
          <c:extLst>
            <c:ext xmlns:c16="http://schemas.microsoft.com/office/drawing/2014/chart" uri="{C3380CC4-5D6E-409C-BE32-E72D297353CC}">
              <c16:uniqueId val="{00000002-7BD2-40B0-993F-C50580E15A2B}"/>
            </c:ext>
          </c:extLst>
        </c:ser>
        <c:dLbls>
          <c:showLegendKey val="0"/>
          <c:showVal val="0"/>
          <c:showCatName val="0"/>
          <c:showSerName val="0"/>
          <c:showPercent val="0"/>
          <c:showBubbleSize val="0"/>
        </c:dLbls>
        <c:axId val="588470688"/>
        <c:axId val="588471080"/>
      </c:scatterChart>
      <c:catAx>
        <c:axId val="588470688"/>
        <c:scaling>
          <c:orientation val="minMax"/>
        </c:scaling>
        <c:delete val="0"/>
        <c:axPos val="b"/>
        <c:numFmt formatCode="General" sourceLinked="1"/>
        <c:majorTickMark val="out"/>
        <c:minorTickMark val="none"/>
        <c:tickLblPos val="nextTo"/>
        <c:txPr>
          <a:bodyPr/>
          <a:lstStyle/>
          <a:p>
            <a:pPr>
              <a:defRPr sz="1050" b="1"/>
            </a:pPr>
            <a:endParaRPr lang="en-US"/>
          </a:p>
        </c:txPr>
        <c:crossAx val="588471080"/>
        <c:crosses val="autoZero"/>
        <c:auto val="1"/>
        <c:lblAlgn val="ctr"/>
        <c:lblOffset val="100"/>
        <c:noMultiLvlLbl val="0"/>
      </c:catAx>
      <c:valAx>
        <c:axId val="588471080"/>
        <c:scaling>
          <c:orientation val="minMax"/>
          <c:max val="1.05"/>
          <c:min val="0"/>
        </c:scaling>
        <c:delete val="0"/>
        <c:axPos val="l"/>
        <c:majorGridlines>
          <c:spPr>
            <a:ln>
              <a:prstDash val="sysDash"/>
            </a:ln>
          </c:spPr>
        </c:majorGridlines>
        <c:title>
          <c:tx>
            <c:rich>
              <a:bodyPr rot="-5400000" vert="horz"/>
              <a:lstStyle/>
              <a:p>
                <a:pPr>
                  <a:defRPr sz="1400"/>
                </a:pPr>
                <a:r>
                  <a:rPr lang="en-US" sz="1400"/>
                  <a:t>Survival Estimate</a:t>
                </a:r>
              </a:p>
            </c:rich>
          </c:tx>
          <c:overlay val="0"/>
        </c:title>
        <c:numFmt formatCode="0.0%" sourceLinked="1"/>
        <c:majorTickMark val="out"/>
        <c:minorTickMark val="none"/>
        <c:tickLblPos val="nextTo"/>
        <c:txPr>
          <a:bodyPr/>
          <a:lstStyle/>
          <a:p>
            <a:pPr>
              <a:defRPr sz="1200" b="1"/>
            </a:pPr>
            <a:endParaRPr lang="en-US"/>
          </a:p>
        </c:txPr>
        <c:crossAx val="588470688"/>
        <c:crosses val="autoZero"/>
        <c:crossBetween val="between"/>
        <c:majorUnit val="0.1"/>
        <c:minorUnit val="5.000000000000001E-2"/>
      </c:valAx>
      <c:spPr>
        <a:ln>
          <a:solidFill>
            <a:schemeClr val="tx1"/>
          </a:solidFill>
        </a:ln>
      </c:spPr>
    </c:plotArea>
    <c:legend>
      <c:legendPos val="r"/>
      <c:layout>
        <c:manualLayout>
          <c:xMode val="edge"/>
          <c:yMode val="edge"/>
          <c:x val="0.36662734894891957"/>
          <c:y val="0.24996055038574724"/>
          <c:w val="0.16721587966400608"/>
          <c:h val="0.45563429571303588"/>
        </c:manualLayout>
      </c:layout>
      <c:overlay val="0"/>
      <c:txPr>
        <a:bodyPr/>
        <a:lstStyle/>
        <a:p>
          <a:pPr rtl="0">
            <a:defRPr sz="1200" b="1"/>
          </a:pPr>
          <a:endParaRPr lang="en-US"/>
        </a:p>
      </c:txPr>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Bonneville to McNary</c:v>
          </c:tx>
          <c:spPr>
            <a:solidFill>
              <a:schemeClr val="accent1"/>
            </a:solidFill>
            <a:ln>
              <a:noFill/>
            </a:ln>
            <a:effectLst/>
          </c:spPr>
          <c:invertIfNegative val="0"/>
          <c:cat>
            <c:numRef>
              <c:f>'SR Fall Chin'!$Q$17:$Q$27</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'SR Fall Chin'!$K$17:$K$27</c:f>
              <c:numCache>
                <c:formatCode>0.0%</c:formatCode>
                <c:ptCount val="11"/>
                <c:pt idx="0">
                  <c:v>0.89607404665916546</c:v>
                </c:pt>
                <c:pt idx="1">
                  <c:v>0.92208991282363795</c:v>
                </c:pt>
                <c:pt idx="2">
                  <c:v>0.84994148681679205</c:v>
                </c:pt>
                <c:pt idx="3">
                  <c:v>1.0485825061004608</c:v>
                </c:pt>
                <c:pt idx="4">
                  <c:v>0.90515679664435611</c:v>
                </c:pt>
                <c:pt idx="5">
                  <c:v>0.95434308175704496</c:v>
                </c:pt>
                <c:pt idx="6">
                  <c:v>1.0404202016408264</c:v>
                </c:pt>
                <c:pt idx="7">
                  <c:v>0.84397167299614728</c:v>
                </c:pt>
                <c:pt idx="8">
                  <c:v>0.94713047529111993</c:v>
                </c:pt>
                <c:pt idx="9">
                  <c:v>0.9788690078961938</c:v>
                </c:pt>
                <c:pt idx="10">
                  <c:v>1.0024841191933931</c:v>
                </c:pt>
              </c:numCache>
            </c:numRef>
          </c:val>
          <c:extLst>
            <c:ext xmlns:c16="http://schemas.microsoft.com/office/drawing/2014/chart" uri="{C3380CC4-5D6E-409C-BE32-E72D297353CC}">
              <c16:uniqueId val="{00000000-73F1-44BE-AA9B-E89E096A1B29}"/>
            </c:ext>
          </c:extLst>
        </c:ser>
        <c:ser>
          <c:idx val="1"/>
          <c:order val="1"/>
          <c:tx>
            <c:v>Bonneville to Lower Granite</c:v>
          </c:tx>
          <c:spPr>
            <a:solidFill>
              <a:schemeClr val="accent5">
                <a:lumMod val="20000"/>
                <a:lumOff val="80000"/>
              </a:schemeClr>
            </a:solidFill>
            <a:ln w="25400">
              <a:solidFill>
                <a:schemeClr val="accent1"/>
              </a:solidFill>
            </a:ln>
            <a:effectLst/>
          </c:spPr>
          <c:invertIfNegative val="0"/>
          <c:cat>
            <c:numRef>
              <c:f>'SR Fall Chin'!$Q$17:$Q$27</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'SR Fall Chin'!$M$17:$M$27</c:f>
              <c:numCache>
                <c:formatCode>0.0%</c:formatCode>
                <c:ptCount val="11"/>
                <c:pt idx="0">
                  <c:v>0.88756701457062903</c:v>
                </c:pt>
                <c:pt idx="1">
                  <c:v>0.90627202329992251</c:v>
                </c:pt>
                <c:pt idx="2">
                  <c:v>0.80555382696369082</c:v>
                </c:pt>
                <c:pt idx="3">
                  <c:v>1.0087697275209666</c:v>
                </c:pt>
                <c:pt idx="4">
                  <c:v>0.82511529752830948</c:v>
                </c:pt>
                <c:pt idx="5">
                  <c:v>0.91600266100523353</c:v>
                </c:pt>
                <c:pt idx="6">
                  <c:v>0.99786264764475407</c:v>
                </c:pt>
                <c:pt idx="7">
                  <c:v>0.80177308934634006</c:v>
                </c:pt>
                <c:pt idx="8">
                  <c:v>0.90035859996810175</c:v>
                </c:pt>
                <c:pt idx="9">
                  <c:v>0.94390940047132987</c:v>
                </c:pt>
                <c:pt idx="10">
                  <c:v>0.9842571352080588</c:v>
                </c:pt>
              </c:numCache>
            </c:numRef>
          </c:val>
          <c:extLst>
            <c:ext xmlns:c16="http://schemas.microsoft.com/office/drawing/2014/chart" uri="{C3380CC4-5D6E-409C-BE32-E72D297353CC}">
              <c16:uniqueId val="{00000000-C975-4A28-9955-5A1DA5628A44}"/>
            </c:ext>
          </c:extLst>
        </c:ser>
        <c:dLbls>
          <c:showLegendKey val="0"/>
          <c:showVal val="0"/>
          <c:showCatName val="0"/>
          <c:showSerName val="0"/>
          <c:showPercent val="0"/>
          <c:showBubbleSize val="0"/>
        </c:dLbls>
        <c:gapWidth val="219"/>
        <c:overlap val="-27"/>
        <c:axId val="634289968"/>
        <c:axId val="634277072"/>
      </c:barChart>
      <c:catAx>
        <c:axId val="63428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Migration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77072"/>
        <c:crosses val="autoZero"/>
        <c:auto val="1"/>
        <c:lblAlgn val="ctr"/>
        <c:lblOffset val="100"/>
        <c:noMultiLvlLbl val="0"/>
      </c:catAx>
      <c:valAx>
        <c:axId val="6342770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89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transported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87270341207349"/>
          <c:y val="0.16245370370370371"/>
          <c:w val="0.84068285214348204"/>
          <c:h val="0.54380322251385238"/>
        </c:manualLayout>
      </c:layout>
      <c:lineChart>
        <c:grouping val="standard"/>
        <c:varyColors val="0"/>
        <c:ser>
          <c:idx val="0"/>
          <c:order val="0"/>
          <c:spPr>
            <a:ln w="28575" cap="rnd">
              <a:solidFill>
                <a:schemeClr val="accent1"/>
              </a:solidFill>
              <a:round/>
            </a:ln>
            <a:effectLst/>
          </c:spPr>
          <c:marker>
            <c:symbol val="none"/>
          </c:marker>
          <c:val>
            <c:numRef>
              <c:f>'SR Spr-Sum Chin'!$E$231:$E$245</c:f>
              <c:numCache>
                <c:formatCode>0.0%</c:formatCode>
                <c:ptCount val="15"/>
                <c:pt idx="0">
                  <c:v>0.41053615960099749</c:v>
                </c:pt>
                <c:pt idx="1">
                  <c:v>9.9029126213592236E-2</c:v>
                </c:pt>
                <c:pt idx="2">
                  <c:v>7.9921065614208184E-2</c:v>
                </c:pt>
                <c:pt idx="3">
                  <c:v>0.14980289093298291</c:v>
                </c:pt>
                <c:pt idx="4">
                  <c:v>5.760297305667389E-2</c:v>
                </c:pt>
                <c:pt idx="5">
                  <c:v>0.1022653721682848</c:v>
                </c:pt>
                <c:pt idx="6">
                  <c:v>0.10758377425044091</c:v>
                </c:pt>
                <c:pt idx="7">
                  <c:v>1.7412935323383085E-2</c:v>
                </c:pt>
                <c:pt idx="8">
                  <c:v>0.11938534278959811</c:v>
                </c:pt>
                <c:pt idx="9">
                  <c:v>5.7777777777777775E-2</c:v>
                </c:pt>
                <c:pt idx="10">
                  <c:v>0.20414937759336099</c:v>
                </c:pt>
                <c:pt idx="11">
                  <c:v>0.21724890829694324</c:v>
                </c:pt>
                <c:pt idx="12">
                  <c:v>6.8493150684931503E-2</c:v>
                </c:pt>
                <c:pt idx="13">
                  <c:v>2.1702838063439065E-2</c:v>
                </c:pt>
                <c:pt idx="14">
                  <c:v>0.10457516339869281</c:v>
                </c:pt>
              </c:numCache>
            </c:numRef>
          </c:val>
          <c:smooth val="0"/>
          <c:extLst>
            <c:ext xmlns:c16="http://schemas.microsoft.com/office/drawing/2014/chart" uri="{C3380CC4-5D6E-409C-BE32-E72D297353CC}">
              <c16:uniqueId val="{00000000-E281-4FC5-9B85-745E817A6429}"/>
            </c:ext>
          </c:extLst>
        </c:ser>
        <c:ser>
          <c:idx val="1"/>
          <c:order val="1"/>
          <c:spPr>
            <a:ln w="28575" cap="rnd">
              <a:solidFill>
                <a:schemeClr val="accent2"/>
              </a:solidFill>
              <a:round/>
            </a:ln>
            <a:effectLst/>
          </c:spPr>
          <c:marker>
            <c:symbol val="none"/>
          </c:marker>
          <c:val>
            <c:numRef>
              <c:f>'SR Spr-Sum Chin'!$F$231:$F$245</c:f>
              <c:numCache>
                <c:formatCode>General</c:formatCode>
                <c:ptCount val="15"/>
              </c:numCache>
            </c:numRef>
          </c:val>
          <c:smooth val="0"/>
          <c:extLst>
            <c:ext xmlns:c16="http://schemas.microsoft.com/office/drawing/2014/chart" uri="{C3380CC4-5D6E-409C-BE32-E72D297353CC}">
              <c16:uniqueId val="{00000001-E281-4FC5-9B85-745E817A6429}"/>
            </c:ext>
          </c:extLst>
        </c:ser>
        <c:ser>
          <c:idx val="2"/>
          <c:order val="2"/>
          <c:spPr>
            <a:ln w="28575" cap="rnd">
              <a:solidFill>
                <a:schemeClr val="accent3"/>
              </a:solidFill>
              <a:round/>
            </a:ln>
            <a:effectLst/>
          </c:spPr>
          <c:marker>
            <c:symbol val="none"/>
          </c:marker>
          <c:val>
            <c:numRef>
              <c:f>'SR Spr-Sum Chin'!$G$231:$G$245</c:f>
              <c:numCache>
                <c:formatCode>0.0%</c:formatCode>
                <c:ptCount val="15"/>
                <c:pt idx="0">
                  <c:v>0.15146579804560262</c:v>
                </c:pt>
                <c:pt idx="1">
                  <c:v>0.41759259259259257</c:v>
                </c:pt>
                <c:pt idx="2">
                  <c:v>0.29090909090909089</c:v>
                </c:pt>
                <c:pt idx="3">
                  <c:v>0.17599999999999999</c:v>
                </c:pt>
                <c:pt idx="4">
                  <c:v>0.21875</c:v>
                </c:pt>
                <c:pt idx="5">
                  <c:v>0.1459170013386881</c:v>
                </c:pt>
                <c:pt idx="6">
                  <c:v>0.16273291925465838</c:v>
                </c:pt>
                <c:pt idx="7">
                  <c:v>0.3524229074889868</c:v>
                </c:pt>
                <c:pt idx="8">
                  <c:v>0.15060240963855423</c:v>
                </c:pt>
                <c:pt idx="9">
                  <c:v>0.25092250922509224</c:v>
                </c:pt>
                <c:pt idx="10">
                  <c:v>0.11627906976744186</c:v>
                </c:pt>
                <c:pt idx="11">
                  <c:v>0.27956989247311825</c:v>
                </c:pt>
                <c:pt idx="12">
                  <c:v>0.13402061855670103</c:v>
                </c:pt>
                <c:pt idx="13">
                  <c:v>0.16</c:v>
                </c:pt>
                <c:pt idx="14">
                  <c:v>3.4482758620689655E-2</c:v>
                </c:pt>
              </c:numCache>
            </c:numRef>
          </c:val>
          <c:smooth val="0"/>
          <c:extLst>
            <c:ext xmlns:c16="http://schemas.microsoft.com/office/drawing/2014/chart" uri="{C3380CC4-5D6E-409C-BE32-E72D297353CC}">
              <c16:uniqueId val="{00000002-E281-4FC5-9B85-745E817A6429}"/>
            </c:ext>
          </c:extLst>
        </c:ser>
        <c:ser>
          <c:idx val="3"/>
          <c:order val="3"/>
          <c:spPr>
            <a:ln w="28575" cap="rnd">
              <a:solidFill>
                <a:schemeClr val="accent4"/>
              </a:solidFill>
              <a:round/>
            </a:ln>
            <a:effectLst/>
          </c:spPr>
          <c:marker>
            <c:symbol val="none"/>
          </c:marker>
          <c:val>
            <c:numRef>
              <c:f>'SR Spr-Sum Chin'!$H$231:$H$245</c:f>
              <c:numCache>
                <c:formatCode>General</c:formatCode>
                <c:ptCount val="15"/>
              </c:numCache>
            </c:numRef>
          </c:val>
          <c:smooth val="0"/>
          <c:extLst>
            <c:ext xmlns:c16="http://schemas.microsoft.com/office/drawing/2014/chart" uri="{C3380CC4-5D6E-409C-BE32-E72D297353CC}">
              <c16:uniqueId val="{00000003-E281-4FC5-9B85-745E817A6429}"/>
            </c:ext>
          </c:extLst>
        </c:ser>
        <c:ser>
          <c:idx val="4"/>
          <c:order val="4"/>
          <c:spPr>
            <a:ln w="28575" cap="rnd">
              <a:solidFill>
                <a:schemeClr val="accent5"/>
              </a:solidFill>
              <a:round/>
            </a:ln>
            <a:effectLst/>
          </c:spPr>
          <c:marker>
            <c:symbol val="none"/>
          </c:marker>
          <c:val>
            <c:numRef>
              <c:f>'SR Spr-Sum Chin'!$I$231:$I$245</c:f>
              <c:numCache>
                <c:formatCode>0.0%</c:formatCode>
                <c:ptCount val="15"/>
                <c:pt idx="0">
                  <c:v>0.43116490166414523</c:v>
                </c:pt>
                <c:pt idx="1">
                  <c:v>0.24411257897759908</c:v>
                </c:pt>
                <c:pt idx="2">
                  <c:v>0.45400321174581326</c:v>
                </c:pt>
                <c:pt idx="3">
                  <c:v>0.35368043087971274</c:v>
                </c:pt>
                <c:pt idx="4">
                  <c:v>0.21972235519387268</c:v>
                </c:pt>
                <c:pt idx="5">
                  <c:v>0.274209012464046</c:v>
                </c:pt>
                <c:pt idx="6">
                  <c:v>0.21424987456096337</c:v>
                </c:pt>
                <c:pt idx="7">
                  <c:v>0.25054151624548737</c:v>
                </c:pt>
                <c:pt idx="8">
                  <c:v>0.3536316947909024</c:v>
                </c:pt>
                <c:pt idx="9">
                  <c:v>0.22698412698412698</c:v>
                </c:pt>
                <c:pt idx="10">
                  <c:v>0.31029986962190353</c:v>
                </c:pt>
                <c:pt idx="11">
                  <c:v>0.15294117647058825</c:v>
                </c:pt>
                <c:pt idx="12">
                  <c:v>0.31392931392931395</c:v>
                </c:pt>
                <c:pt idx="13">
                  <c:v>0.17063492063492064</c:v>
                </c:pt>
                <c:pt idx="14">
                  <c:v>0.12727272727272726</c:v>
                </c:pt>
              </c:numCache>
            </c:numRef>
          </c:val>
          <c:smooth val="0"/>
          <c:extLst>
            <c:ext xmlns:c16="http://schemas.microsoft.com/office/drawing/2014/chart" uri="{C3380CC4-5D6E-409C-BE32-E72D297353CC}">
              <c16:uniqueId val="{00000004-E281-4FC5-9B85-745E817A6429}"/>
            </c:ext>
          </c:extLst>
        </c:ser>
        <c:ser>
          <c:idx val="5"/>
          <c:order val="5"/>
          <c:spPr>
            <a:ln w="28575" cap="rnd">
              <a:solidFill>
                <a:schemeClr val="accent6"/>
              </a:solidFill>
              <a:round/>
            </a:ln>
            <a:effectLst/>
          </c:spPr>
          <c:marker>
            <c:symbol val="none"/>
          </c:marker>
          <c:val>
            <c:numRef>
              <c:f>'SR Spr-Sum Chin'!$J$231:$J$245</c:f>
              <c:numCache>
                <c:formatCode>General</c:formatCode>
                <c:ptCount val="15"/>
              </c:numCache>
            </c:numRef>
          </c:val>
          <c:smooth val="0"/>
          <c:extLst>
            <c:ext xmlns:c16="http://schemas.microsoft.com/office/drawing/2014/chart" uri="{C3380CC4-5D6E-409C-BE32-E72D297353CC}">
              <c16:uniqueId val="{00000005-E281-4FC5-9B85-745E817A6429}"/>
            </c:ext>
          </c:extLst>
        </c:ser>
        <c:ser>
          <c:idx val="6"/>
          <c:order val="6"/>
          <c:spPr>
            <a:ln w="28575" cap="rnd">
              <a:solidFill>
                <a:schemeClr val="accent1">
                  <a:lumMod val="60000"/>
                </a:schemeClr>
              </a:solidFill>
              <a:round/>
            </a:ln>
            <a:effectLst/>
          </c:spPr>
          <c:marker>
            <c:symbol val="none"/>
          </c:marker>
          <c:val>
            <c:numRef>
              <c:f>'SR Spr-Sum Chin'!$K$231:$K$245</c:f>
              <c:numCache>
                <c:formatCode>0.0%</c:formatCode>
                <c:ptCount val="15"/>
                <c:pt idx="0">
                  <c:v>0.498</c:v>
                </c:pt>
                <c:pt idx="1">
                  <c:v>0.39400000000000002</c:v>
                </c:pt>
                <c:pt idx="2">
                  <c:v>0.30399999999999999</c:v>
                </c:pt>
                <c:pt idx="3">
                  <c:v>0.38</c:v>
                </c:pt>
                <c:pt idx="4">
                  <c:v>0.23699999999999999</c:v>
                </c:pt>
                <c:pt idx="5">
                  <c:v>0.33600000000000002</c:v>
                </c:pt>
                <c:pt idx="6">
                  <c:v>0.34600000000000003</c:v>
                </c:pt>
                <c:pt idx="7">
                  <c:v>0.125</c:v>
                </c:pt>
                <c:pt idx="8">
                  <c:v>0.20199999999999999</c:v>
                </c:pt>
                <c:pt idx="9">
                  <c:v>0.19600000000000001</c:v>
                </c:pt>
                <c:pt idx="10">
                  <c:v>0.44799999999999995</c:v>
                </c:pt>
                <c:pt idx="11">
                  <c:v>0.376</c:v>
                </c:pt>
                <c:pt idx="12">
                  <c:v>0.157</c:v>
                </c:pt>
                <c:pt idx="13">
                  <c:v>7.9000000000000001E-2</c:v>
                </c:pt>
              </c:numCache>
            </c:numRef>
          </c:val>
          <c:smooth val="0"/>
          <c:extLst>
            <c:ext xmlns:c16="http://schemas.microsoft.com/office/drawing/2014/chart" uri="{C3380CC4-5D6E-409C-BE32-E72D297353CC}">
              <c16:uniqueId val="{00000006-E281-4FC5-9B85-745E817A6429}"/>
            </c:ext>
          </c:extLst>
        </c:ser>
        <c:dLbls>
          <c:showLegendKey val="0"/>
          <c:showVal val="0"/>
          <c:showCatName val="0"/>
          <c:showSerName val="0"/>
          <c:showPercent val="0"/>
          <c:showBubbleSize val="0"/>
        </c:dLbls>
        <c:smooth val="0"/>
        <c:axId val="74462943"/>
        <c:axId val="552854927"/>
      </c:lineChart>
      <c:catAx>
        <c:axId val="744629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54927"/>
        <c:crosses val="autoZero"/>
        <c:auto val="1"/>
        <c:lblAlgn val="ctr"/>
        <c:lblOffset val="100"/>
        <c:noMultiLvlLbl val="0"/>
      </c:catAx>
      <c:valAx>
        <c:axId val="5528549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6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Bonneville to McNary</c:v>
          </c:tx>
          <c:spPr>
            <a:solidFill>
              <a:schemeClr val="accent1"/>
            </a:solidFill>
            <a:ln>
              <a:noFill/>
            </a:ln>
            <a:effectLst/>
          </c:spPr>
          <c:invertIfNegative val="0"/>
          <c:cat>
            <c:strRef>
              <c:f>'SR Sockeye'!$A$18:$A$27</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'SR Sockeye'!$K$18:$K$27</c:f>
              <c:numCache>
                <c:formatCode>0.0%</c:formatCode>
                <c:ptCount val="10"/>
                <c:pt idx="0">
                  <c:v>0.90811965811965811</c:v>
                </c:pt>
                <c:pt idx="1">
                  <c:v>0.74101094080859664</c:v>
                </c:pt>
                <c:pt idx="2">
                  <c:v>0.62333591572498415</c:v>
                </c:pt>
                <c:pt idx="3">
                  <c:v>0.69832046282845284</c:v>
                </c:pt>
                <c:pt idx="4">
                  <c:v>0.75286479721537802</c:v>
                </c:pt>
                <c:pt idx="5">
                  <c:v>0.1533792740778071</c:v>
                </c:pt>
                <c:pt idx="6">
                  <c:v>0.76898877975462276</c:v>
                </c:pt>
                <c:pt idx="7">
                  <c:v>0.62391877711919685</c:v>
                </c:pt>
                <c:pt idx="8">
                  <c:v>0.8857125404679006</c:v>
                </c:pt>
                <c:pt idx="9">
                  <c:v>0.92040885530203942</c:v>
                </c:pt>
              </c:numCache>
            </c:numRef>
          </c:val>
          <c:extLst>
            <c:ext xmlns:c16="http://schemas.microsoft.com/office/drawing/2014/chart" uri="{C3380CC4-5D6E-409C-BE32-E72D297353CC}">
              <c16:uniqueId val="{00000000-A430-4BDE-94F3-86B42CF84871}"/>
            </c:ext>
          </c:extLst>
        </c:ser>
        <c:ser>
          <c:idx val="1"/>
          <c:order val="1"/>
          <c:tx>
            <c:v>Bonneville to Lower Granite</c:v>
          </c:tx>
          <c:spPr>
            <a:solidFill>
              <a:schemeClr val="accent5">
                <a:lumMod val="20000"/>
                <a:lumOff val="80000"/>
              </a:schemeClr>
            </a:solidFill>
            <a:ln w="12700">
              <a:solidFill>
                <a:schemeClr val="accent1"/>
              </a:solidFill>
            </a:ln>
            <a:effectLst/>
          </c:spPr>
          <c:invertIfNegative val="0"/>
          <c:cat>
            <c:strRef>
              <c:f>'SR Sockeye'!$A$18:$A$27</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'SR Sockeye'!$M$18:$M$27</c:f>
              <c:numCache>
                <c:formatCode>0.0%</c:formatCode>
                <c:ptCount val="10"/>
                <c:pt idx="0">
                  <c:v>0.82799145299145305</c:v>
                </c:pt>
                <c:pt idx="1">
                  <c:v>0.71392083494879843</c:v>
                </c:pt>
                <c:pt idx="2">
                  <c:v>0.56990712294855705</c:v>
                </c:pt>
                <c:pt idx="3">
                  <c:v>0.46384789866707449</c:v>
                </c:pt>
                <c:pt idx="4">
                  <c:v>0.694200007821972</c:v>
                </c:pt>
                <c:pt idx="5">
                  <c:v>4.2257555103069298E-2</c:v>
                </c:pt>
                <c:pt idx="6">
                  <c:v>0.71655772658953476</c:v>
                </c:pt>
                <c:pt idx="7">
                  <c:v>0.56719888829017906</c:v>
                </c:pt>
              </c:numCache>
            </c:numRef>
          </c:val>
          <c:extLst>
            <c:ext xmlns:c16="http://schemas.microsoft.com/office/drawing/2014/chart" uri="{C3380CC4-5D6E-409C-BE32-E72D297353CC}">
              <c16:uniqueId val="{00000001-A430-4BDE-94F3-86B42CF84871}"/>
            </c:ext>
          </c:extLst>
        </c:ser>
        <c:dLbls>
          <c:showLegendKey val="0"/>
          <c:showVal val="0"/>
          <c:showCatName val="0"/>
          <c:showSerName val="0"/>
          <c:showPercent val="0"/>
          <c:showBubbleSize val="0"/>
        </c:dLbls>
        <c:gapWidth val="219"/>
        <c:overlap val="-27"/>
        <c:axId val="333196768"/>
        <c:axId val="333197600"/>
      </c:barChart>
      <c:catAx>
        <c:axId val="3331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Migration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97600"/>
        <c:crosses val="autoZero"/>
        <c:auto val="1"/>
        <c:lblAlgn val="ctr"/>
        <c:lblOffset val="100"/>
        <c:noMultiLvlLbl val="0"/>
      </c:catAx>
      <c:valAx>
        <c:axId val="3331976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9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Bonneville to McNary</c:v>
          </c:tx>
          <c:spPr>
            <a:solidFill>
              <a:schemeClr val="accent1"/>
            </a:solidFill>
            <a:ln>
              <a:noFill/>
            </a:ln>
            <a:effectLst/>
          </c:spPr>
          <c:invertIfNegative val="0"/>
          <c:cat>
            <c:numRef>
              <c:f>'SR Sthd'!$Q$17:$Q$26</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'SR Sthd'!$K$17:$K$26</c:f>
              <c:numCache>
                <c:formatCode>0.0%</c:formatCode>
                <c:ptCount val="10"/>
                <c:pt idx="0">
                  <c:v>0.90622655550644649</c:v>
                </c:pt>
                <c:pt idx="1">
                  <c:v>0.92223279777034117</c:v>
                </c:pt>
                <c:pt idx="2">
                  <c:v>0.90137002449627457</c:v>
                </c:pt>
                <c:pt idx="3">
                  <c:v>0.98777991128627329</c:v>
                </c:pt>
                <c:pt idx="4">
                  <c:v>0.91022927788263508</c:v>
                </c:pt>
                <c:pt idx="5">
                  <c:v>0.94547106048801655</c:v>
                </c:pt>
                <c:pt idx="6">
                  <c:v>0.98516858747312641</c:v>
                </c:pt>
                <c:pt idx="7">
                  <c:v>0.97037525793134516</c:v>
                </c:pt>
                <c:pt idx="8">
                  <c:v>0.90440592235312356</c:v>
                </c:pt>
                <c:pt idx="9">
                  <c:v>0.91705097568933136</c:v>
                </c:pt>
              </c:numCache>
            </c:numRef>
          </c:val>
          <c:extLst>
            <c:ext xmlns:c16="http://schemas.microsoft.com/office/drawing/2014/chart" uri="{C3380CC4-5D6E-409C-BE32-E72D297353CC}">
              <c16:uniqueId val="{00000000-0E60-4133-9DA9-AE70381D3639}"/>
            </c:ext>
          </c:extLst>
        </c:ser>
        <c:ser>
          <c:idx val="1"/>
          <c:order val="1"/>
          <c:tx>
            <c:v>Bonneville to Lower Granite</c:v>
          </c:tx>
          <c:spPr>
            <a:solidFill>
              <a:schemeClr val="accent5">
                <a:lumMod val="20000"/>
                <a:lumOff val="80000"/>
              </a:schemeClr>
            </a:solidFill>
            <a:ln w="25400">
              <a:solidFill>
                <a:schemeClr val="accent1"/>
              </a:solidFill>
            </a:ln>
            <a:effectLst/>
          </c:spPr>
          <c:invertIfNegative val="0"/>
          <c:cat>
            <c:numRef>
              <c:f>'SR Sthd'!$Q$17:$Q$26</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'SR Sthd'!$M$17:$M$26</c:f>
              <c:numCache>
                <c:formatCode>0.0%</c:formatCode>
                <c:ptCount val="10"/>
                <c:pt idx="0">
                  <c:v>0.81162937983738703</c:v>
                </c:pt>
                <c:pt idx="1">
                  <c:v>0.85838514624122009</c:v>
                </c:pt>
                <c:pt idx="2">
                  <c:v>0.81193215854515222</c:v>
                </c:pt>
                <c:pt idx="3">
                  <c:v>0.88267799105923972</c:v>
                </c:pt>
                <c:pt idx="4">
                  <c:v>0.85528673116633536</c:v>
                </c:pt>
                <c:pt idx="5">
                  <c:v>0.94134236590073261</c:v>
                </c:pt>
                <c:pt idx="6">
                  <c:v>0.93541757380573343</c:v>
                </c:pt>
                <c:pt idx="7">
                  <c:v>0.88153808643058829</c:v>
                </c:pt>
                <c:pt idx="8">
                  <c:v>0.86830189351667153</c:v>
                </c:pt>
                <c:pt idx="9">
                  <c:v>0.85057834579469049</c:v>
                </c:pt>
              </c:numCache>
            </c:numRef>
          </c:val>
          <c:extLst>
            <c:ext xmlns:c16="http://schemas.microsoft.com/office/drawing/2014/chart" uri="{C3380CC4-5D6E-409C-BE32-E72D297353CC}">
              <c16:uniqueId val="{00000001-0E60-4133-9DA9-AE70381D3639}"/>
            </c:ext>
          </c:extLst>
        </c:ser>
        <c:dLbls>
          <c:showLegendKey val="0"/>
          <c:showVal val="0"/>
          <c:showCatName val="0"/>
          <c:showSerName val="0"/>
          <c:showPercent val="0"/>
          <c:showBubbleSize val="0"/>
        </c:dLbls>
        <c:gapWidth val="219"/>
        <c:overlap val="-27"/>
        <c:axId val="1169828127"/>
        <c:axId val="1169819391"/>
      </c:barChart>
      <c:catAx>
        <c:axId val="116982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19391"/>
        <c:crosses val="autoZero"/>
        <c:auto val="1"/>
        <c:lblAlgn val="ctr"/>
        <c:lblOffset val="100"/>
        <c:noMultiLvlLbl val="0"/>
      </c:catAx>
      <c:valAx>
        <c:axId val="1169819391"/>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1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23"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0.38273</cdr:x>
      <cdr:y>0.85451</cdr:y>
    </cdr:from>
    <cdr:to>
      <cdr:x>0.48824</cdr:x>
      <cdr:y>1</cdr:y>
    </cdr:to>
    <cdr:sp macro="" textlink="">
      <cdr:nvSpPr>
        <cdr:cNvPr id="2" name="TextBox 1"/>
        <cdr:cNvSpPr txBox="1"/>
      </cdr:nvSpPr>
      <cdr:spPr>
        <a:xfrm xmlns:a="http://schemas.openxmlformats.org/drawingml/2006/main">
          <a:off x="3316741" y="581705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0.47007</cdr:x>
      <cdr:y>0.79567</cdr:y>
    </cdr:from>
    <cdr:to>
      <cdr:x>0.57558</cdr:x>
      <cdr:y>0.94116</cdr:y>
    </cdr:to>
    <cdr:sp macro="" textlink="">
      <cdr:nvSpPr>
        <cdr:cNvPr id="3" name="TextBox 2"/>
        <cdr:cNvSpPr txBox="1"/>
      </cdr:nvSpPr>
      <cdr:spPr>
        <a:xfrm xmlns:a="http://schemas.openxmlformats.org/drawingml/2006/main">
          <a:off x="4073639" y="5000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a:t>*</a:t>
          </a:r>
        </a:p>
      </cdr:txBody>
    </cdr:sp>
  </cdr:relSizeAnchor>
  <cdr:relSizeAnchor xmlns:cdr="http://schemas.openxmlformats.org/drawingml/2006/chartDrawing">
    <cdr:from>
      <cdr:x>0.24436</cdr:x>
      <cdr:y>0.92622</cdr:y>
    </cdr:from>
    <cdr:to>
      <cdr:x>0.94406</cdr:x>
      <cdr:y>0.96482</cdr:y>
    </cdr:to>
    <cdr:sp macro="" textlink="">
      <cdr:nvSpPr>
        <cdr:cNvPr id="4" name="TextBox 3"/>
        <cdr:cNvSpPr txBox="1"/>
      </cdr:nvSpPr>
      <cdr:spPr>
        <a:xfrm xmlns:a="http://schemas.openxmlformats.org/drawingml/2006/main">
          <a:off x="2117611" y="5821135"/>
          <a:ext cx="6063684" cy="2425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Insufficient</a:t>
          </a:r>
          <a:r>
            <a:rPr lang="en-US" sz="1100" baseline="0"/>
            <a:t> PIT tagged SR Sockeye were available in 2018 and 2019 to make a system survival estimate</a:t>
          </a:r>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3171" cy="629579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18</xdr:col>
      <xdr:colOff>9525</xdr:colOff>
      <xdr:row>89</xdr:row>
      <xdr:rowOff>123825</xdr:rowOff>
    </xdr:from>
    <xdr:to>
      <xdr:col>24</xdr:col>
      <xdr:colOff>657225</xdr:colOff>
      <xdr:row>106</xdr:row>
      <xdr:rowOff>114300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228</xdr:row>
      <xdr:rowOff>142875</xdr:rowOff>
    </xdr:from>
    <xdr:to>
      <xdr:col>17</xdr:col>
      <xdr:colOff>628650</xdr:colOff>
      <xdr:row>245</xdr:row>
      <xdr:rowOff>133350</xdr:rowOff>
    </xdr:to>
    <xdr:graphicFrame macro="">
      <xdr:nvGraphicFramePr>
        <xdr:cNvPr id="2" name="Chart 1">
          <a:extLst>
            <a:ext uri="{FF2B5EF4-FFF2-40B4-BE49-F238E27FC236}">
              <a16:creationId xmlns:a16="http://schemas.microsoft.com/office/drawing/2014/main" id="{79E0223A-5BB2-4BF8-8F80-45BA3DF41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304800</xdr:colOff>
      <xdr:row>73</xdr:row>
      <xdr:rowOff>161924</xdr:rowOff>
    </xdr:from>
    <xdr:to>
      <xdr:col>16</xdr:col>
      <xdr:colOff>314325</xdr:colOff>
      <xdr:row>92</xdr:row>
      <xdr:rowOff>85724</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0.58175</cdr:x>
      <cdr:y>0.49841</cdr:y>
    </cdr:from>
    <cdr:to>
      <cdr:x>0.61217</cdr:x>
      <cdr:y>0.54921</cdr:y>
    </cdr:to>
    <cdr:sp macro="" textlink="">
      <cdr:nvSpPr>
        <cdr:cNvPr id="3" name="5-Point Star 2"/>
        <cdr:cNvSpPr/>
      </cdr:nvSpPr>
      <cdr:spPr>
        <a:xfrm xmlns:a="http://schemas.openxmlformats.org/drawingml/2006/main">
          <a:off x="2914650" y="1495426"/>
          <a:ext cx="152400" cy="152400"/>
        </a:xfrm>
        <a:prstGeom xmlns:a="http://schemas.openxmlformats.org/drawingml/2006/main" prst="star5">
          <a:avLst/>
        </a:prstGeom>
        <a:solidFill xmlns:a="http://schemas.openxmlformats.org/drawingml/2006/main">
          <a:srgbClr val="FF0000"/>
        </a:solidFill>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0.43599</cdr:x>
      <cdr:y>0.23598</cdr:y>
    </cdr:from>
    <cdr:to>
      <cdr:x>0.46641</cdr:x>
      <cdr:y>0.28677</cdr:y>
    </cdr:to>
    <cdr:sp macro="" textlink="">
      <cdr:nvSpPr>
        <cdr:cNvPr id="5" name="5-Point Star 4"/>
        <cdr:cNvSpPr/>
      </cdr:nvSpPr>
      <cdr:spPr>
        <a:xfrm xmlns:a="http://schemas.openxmlformats.org/drawingml/2006/main">
          <a:off x="2184400" y="708025"/>
          <a:ext cx="152400" cy="152400"/>
        </a:xfrm>
        <a:prstGeom xmlns:a="http://schemas.openxmlformats.org/drawingml/2006/main" prst="star5">
          <a:avLst/>
        </a:prstGeom>
        <a:solidFill xmlns:a="http://schemas.openxmlformats.org/drawingml/2006/main">
          <a:srgbClr val="FF0000"/>
        </a:solidFill>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27</xdr:col>
      <xdr:colOff>161925</xdr:colOff>
      <xdr:row>74</xdr:row>
      <xdr:rowOff>85725</xdr:rowOff>
    </xdr:from>
    <xdr:to>
      <xdr:col>35</xdr:col>
      <xdr:colOff>314325</xdr:colOff>
      <xdr:row>91</xdr:row>
      <xdr:rowOff>66675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4"/>
  <sheetViews>
    <sheetView view="pageBreakPreview" zoomScaleNormal="100" zoomScaleSheetLayoutView="100" workbookViewId="0">
      <selection activeCell="A9" sqref="A9:B10"/>
    </sheetView>
  </sheetViews>
  <sheetFormatPr defaultRowHeight="13.2"/>
  <cols>
    <col min="2" max="2" width="109.44140625" customWidth="1"/>
  </cols>
  <sheetData>
    <row r="1" spans="1:9" ht="15.6">
      <c r="A1" s="5" t="s">
        <v>4</v>
      </c>
      <c r="B1" s="1"/>
      <c r="C1" s="1"/>
      <c r="D1" s="1"/>
      <c r="E1" s="1"/>
      <c r="F1" s="1"/>
      <c r="G1" s="1"/>
      <c r="H1" s="1"/>
      <c r="I1" s="1"/>
    </row>
    <row r="2" spans="1:9" s="6" customFormat="1">
      <c r="A2" s="76" t="s">
        <v>76</v>
      </c>
      <c r="B2" s="4"/>
      <c r="C2" s="4"/>
      <c r="D2" s="4"/>
      <c r="E2" s="4"/>
      <c r="F2" s="4"/>
      <c r="G2" s="4"/>
      <c r="H2" s="4"/>
      <c r="I2" s="4"/>
    </row>
    <row r="3" spans="1:9" s="6" customFormat="1">
      <c r="A3" s="75" t="s">
        <v>72</v>
      </c>
      <c r="B3" s="4"/>
      <c r="C3" s="4"/>
      <c r="D3" s="4"/>
      <c r="E3" s="4"/>
      <c r="F3" s="4"/>
      <c r="G3" s="4"/>
      <c r="H3" s="4"/>
      <c r="I3" s="4"/>
    </row>
    <row r="4" spans="1:9" s="6" customFormat="1">
      <c r="A4" s="4"/>
      <c r="B4" s="4"/>
      <c r="C4" s="4"/>
      <c r="D4" s="4"/>
      <c r="E4" s="4"/>
      <c r="F4" s="4"/>
      <c r="G4" s="4"/>
      <c r="H4" s="4"/>
      <c r="I4" s="4"/>
    </row>
    <row r="5" spans="1:9" s="6" customFormat="1">
      <c r="A5" s="75" t="s">
        <v>73</v>
      </c>
      <c r="B5" s="4"/>
      <c r="C5" s="4"/>
      <c r="D5" s="4"/>
      <c r="E5" s="4"/>
      <c r="F5" s="4"/>
      <c r="G5" s="4"/>
      <c r="H5" s="4"/>
      <c r="I5" s="4"/>
    </row>
    <row r="6" spans="1:9" s="6" customFormat="1">
      <c r="A6" s="4"/>
      <c r="B6" s="4"/>
      <c r="C6" s="4"/>
      <c r="D6" s="4"/>
      <c r="E6" s="4"/>
      <c r="F6" s="4"/>
      <c r="G6" s="4"/>
      <c r="H6" s="4"/>
      <c r="I6" s="4"/>
    </row>
    <row r="7" spans="1:9" s="6" customFormat="1">
      <c r="A7" s="75" t="s">
        <v>74</v>
      </c>
      <c r="B7" s="4"/>
      <c r="C7" s="4"/>
      <c r="D7" s="4"/>
      <c r="E7" s="4"/>
      <c r="F7" s="4"/>
      <c r="G7" s="4"/>
      <c r="H7" s="4"/>
      <c r="I7" s="4"/>
    </row>
    <row r="8" spans="1:9" s="6" customFormat="1">
      <c r="A8" s="4"/>
      <c r="B8" s="4"/>
      <c r="C8" s="4"/>
      <c r="D8" s="4"/>
      <c r="E8" s="4"/>
      <c r="F8" s="4"/>
      <c r="G8" s="4"/>
      <c r="H8" s="4"/>
      <c r="I8" s="4"/>
    </row>
    <row r="9" spans="1:9" s="6" customFormat="1">
      <c r="A9" s="4" t="s">
        <v>8</v>
      </c>
      <c r="B9" s="4"/>
      <c r="C9" s="4"/>
      <c r="D9" s="4"/>
      <c r="E9" s="4"/>
      <c r="F9" s="4"/>
      <c r="G9" s="4"/>
      <c r="H9" s="4"/>
      <c r="I9" s="4"/>
    </row>
    <row r="10" spans="1:9" s="6" customFormat="1" ht="26.4">
      <c r="A10" s="4"/>
      <c r="B10" s="8" t="s">
        <v>9</v>
      </c>
      <c r="C10" s="4"/>
      <c r="D10" s="4"/>
      <c r="E10" s="4"/>
      <c r="F10" s="4"/>
      <c r="G10" s="4"/>
      <c r="H10" s="4"/>
      <c r="I10" s="4"/>
    </row>
    <row r="11" spans="1:9" s="6" customFormat="1">
      <c r="A11" s="3">
        <v>2008</v>
      </c>
      <c r="B11" s="8"/>
      <c r="C11" s="4"/>
      <c r="D11" s="4"/>
      <c r="E11" s="4"/>
      <c r="F11" s="4"/>
      <c r="G11" s="4"/>
      <c r="H11" s="4"/>
      <c r="I11" s="4"/>
    </row>
    <row r="12" spans="1:9" s="6" customFormat="1">
      <c r="A12" s="75" t="s">
        <v>75</v>
      </c>
      <c r="B12" s="7"/>
      <c r="C12" s="4"/>
      <c r="D12" s="4"/>
      <c r="E12" s="4"/>
      <c r="F12" s="4"/>
      <c r="G12" s="4"/>
      <c r="H12" s="4"/>
      <c r="I12" s="4"/>
    </row>
    <row r="13" spans="1:9" s="6" customFormat="1">
      <c r="A13" s="75" t="s">
        <v>77</v>
      </c>
      <c r="B13" s="7"/>
      <c r="C13" s="4"/>
      <c r="D13" s="4"/>
      <c r="E13" s="4"/>
      <c r="F13" s="4"/>
      <c r="G13" s="4"/>
      <c r="H13" s="4"/>
      <c r="I13" s="4"/>
    </row>
    <row r="14" spans="1:9" s="6" customFormat="1">
      <c r="A14" s="75"/>
      <c r="B14" s="7"/>
      <c r="C14" s="4"/>
      <c r="D14" s="4"/>
      <c r="E14" s="4"/>
      <c r="F14" s="4"/>
      <c r="G14" s="4"/>
      <c r="H14" s="4"/>
      <c r="I14" s="4"/>
    </row>
    <row r="15" spans="1:9" s="6" customFormat="1">
      <c r="A15" s="2" t="s">
        <v>104</v>
      </c>
      <c r="B15" s="7"/>
      <c r="C15" s="4"/>
      <c r="D15" s="4"/>
      <c r="E15" s="4"/>
      <c r="F15" s="4"/>
      <c r="G15" s="4"/>
      <c r="H15" s="4"/>
      <c r="I15" s="4"/>
    </row>
    <row r="16" spans="1:9" s="6" customFormat="1">
      <c r="A16" s="297" t="s">
        <v>105</v>
      </c>
      <c r="B16" s="7"/>
      <c r="C16" s="4"/>
      <c r="D16" s="4"/>
      <c r="E16" s="4"/>
      <c r="F16" s="4"/>
      <c r="G16" s="4"/>
      <c r="H16" s="4"/>
      <c r="I16" s="4"/>
    </row>
    <row r="17" spans="1:9" s="6" customFormat="1">
      <c r="A17" s="297" t="s">
        <v>106</v>
      </c>
      <c r="B17" s="7"/>
      <c r="C17" s="4"/>
      <c r="D17" s="4"/>
      <c r="E17" s="4"/>
      <c r="F17" s="4"/>
      <c r="G17" s="4"/>
      <c r="H17" s="4"/>
      <c r="I17" s="4"/>
    </row>
    <row r="18" spans="1:9" s="6" customFormat="1">
      <c r="B18" s="298" t="s">
        <v>107</v>
      </c>
      <c r="C18" s="4"/>
      <c r="D18" s="4"/>
      <c r="E18" s="4"/>
      <c r="F18" s="4"/>
      <c r="G18" s="4"/>
      <c r="H18" s="4"/>
      <c r="I18" s="4"/>
    </row>
    <row r="19" spans="1:9" s="6" customFormat="1">
      <c r="B19" s="298" t="s">
        <v>108</v>
      </c>
      <c r="C19" s="4"/>
      <c r="D19" s="4"/>
      <c r="E19" s="4"/>
      <c r="F19" s="4"/>
      <c r="G19" s="4"/>
      <c r="H19" s="4"/>
      <c r="I19" s="4"/>
    </row>
    <row r="20" spans="1:9" s="6" customFormat="1">
      <c r="A20" s="4"/>
      <c r="B20" s="7"/>
      <c r="C20" s="4"/>
      <c r="D20" s="4"/>
      <c r="E20" s="4"/>
      <c r="F20" s="4"/>
      <c r="G20" s="4"/>
      <c r="H20" s="4"/>
      <c r="I20" s="4"/>
    </row>
    <row r="21" spans="1:9" s="6" customFormat="1">
      <c r="A21" s="4"/>
      <c r="B21" s="7"/>
      <c r="C21" s="4"/>
      <c r="D21" s="4"/>
      <c r="E21" s="4"/>
      <c r="F21" s="4"/>
      <c r="G21" s="4"/>
      <c r="H21" s="4"/>
      <c r="I21" s="4"/>
    </row>
    <row r="22" spans="1:9" s="6" customFormat="1">
      <c r="A22" s="4"/>
      <c r="B22" s="7"/>
      <c r="C22" s="4"/>
      <c r="D22" s="4"/>
      <c r="E22" s="4"/>
      <c r="F22" s="4"/>
      <c r="G22" s="4"/>
      <c r="H22" s="4"/>
      <c r="I22" s="4"/>
    </row>
    <row r="23" spans="1:9" s="6" customFormat="1">
      <c r="A23" s="4"/>
      <c r="B23" s="4"/>
      <c r="C23" s="4"/>
      <c r="D23" s="4"/>
      <c r="E23" s="4"/>
      <c r="F23" s="4"/>
      <c r="G23" s="4"/>
      <c r="H23" s="4"/>
      <c r="I23" s="4"/>
    </row>
    <row r="24" spans="1:9" s="6" customFormat="1">
      <c r="A24" s="4"/>
      <c r="B24" s="4"/>
      <c r="C24" s="4"/>
      <c r="D24" s="4"/>
      <c r="E24" s="4"/>
      <c r="F24" s="4"/>
      <c r="G24" s="4"/>
      <c r="H24" s="4"/>
      <c r="I24" s="4"/>
    </row>
    <row r="25" spans="1:9" s="6" customFormat="1">
      <c r="A25" s="4"/>
      <c r="B25" s="4"/>
      <c r="C25" s="4"/>
      <c r="D25" s="4"/>
      <c r="E25" s="4"/>
      <c r="F25" s="4"/>
      <c r="G25" s="4"/>
      <c r="H25" s="4"/>
      <c r="I25" s="4"/>
    </row>
    <row r="26" spans="1:9" s="6" customFormat="1">
      <c r="A26" s="4"/>
      <c r="B26" s="4"/>
      <c r="C26" s="4"/>
      <c r="D26" s="4"/>
      <c r="E26" s="4"/>
      <c r="F26" s="4"/>
      <c r="G26" s="4"/>
      <c r="H26" s="4"/>
      <c r="I26" s="4"/>
    </row>
    <row r="27" spans="1:9" s="6" customFormat="1">
      <c r="A27" s="4"/>
      <c r="B27" s="4"/>
      <c r="C27" s="4"/>
      <c r="D27" s="4"/>
      <c r="E27" s="4"/>
      <c r="F27" s="4"/>
      <c r="G27" s="4"/>
      <c r="H27" s="4"/>
      <c r="I27" s="4"/>
    </row>
    <row r="28" spans="1:9" s="6" customFormat="1" ht="15.6">
      <c r="A28" s="5" t="s">
        <v>5</v>
      </c>
      <c r="B28" s="4"/>
      <c r="C28" s="4"/>
      <c r="D28" s="4"/>
      <c r="E28" s="4"/>
      <c r="F28" s="4"/>
      <c r="G28" s="4"/>
      <c r="H28" s="4"/>
      <c r="I28" s="4"/>
    </row>
    <row r="29" spans="1:9" s="6" customFormat="1">
      <c r="A29" s="3"/>
      <c r="B29" s="4"/>
      <c r="C29" s="4"/>
      <c r="D29" s="4"/>
      <c r="E29" s="4"/>
      <c r="F29" s="4"/>
      <c r="G29" s="4"/>
      <c r="H29" s="4"/>
      <c r="I29" s="4"/>
    </row>
    <row r="30" spans="1:9" s="6" customFormat="1">
      <c r="A30" s="4" t="s">
        <v>10</v>
      </c>
      <c r="B30" s="4"/>
      <c r="C30" s="4"/>
      <c r="D30" s="4"/>
      <c r="E30" s="4"/>
      <c r="F30" s="4"/>
      <c r="G30" s="4"/>
      <c r="H30" s="4"/>
      <c r="I30" s="4"/>
    </row>
    <row r="31" spans="1:9" s="6" customFormat="1">
      <c r="A31" s="2"/>
      <c r="B31" s="4"/>
      <c r="C31" s="4"/>
      <c r="D31" s="4"/>
      <c r="E31" s="4"/>
      <c r="F31" s="4"/>
      <c r="G31" s="4"/>
      <c r="H31" s="4"/>
      <c r="I31" s="4"/>
    </row>
    <row r="32" spans="1:9" s="6" customFormat="1">
      <c r="A32" s="4"/>
      <c r="B32" s="4"/>
      <c r="C32" s="4"/>
      <c r="D32" s="4"/>
      <c r="E32" s="4"/>
      <c r="F32" s="4"/>
      <c r="G32" s="4"/>
      <c r="H32" s="4"/>
      <c r="I32" s="4"/>
    </row>
    <row r="33" spans="1:9" s="6" customFormat="1">
      <c r="A33" s="4"/>
      <c r="B33" s="4"/>
      <c r="C33" s="4"/>
      <c r="D33" s="4"/>
      <c r="E33" s="4"/>
      <c r="F33" s="4"/>
      <c r="G33" s="4"/>
      <c r="H33" s="4"/>
      <c r="I33" s="4"/>
    </row>
    <row r="34" spans="1:9" s="6" customFormat="1">
      <c r="A34" s="4"/>
      <c r="B34" s="4"/>
      <c r="C34" s="4"/>
      <c r="D34" s="4"/>
      <c r="E34" s="4"/>
      <c r="F34" s="4"/>
      <c r="G34" s="4"/>
      <c r="H34" s="4"/>
      <c r="I34" s="4"/>
    </row>
    <row r="35" spans="1:9" s="6" customFormat="1">
      <c r="A35" s="4"/>
      <c r="B35" s="4"/>
      <c r="C35" s="4"/>
      <c r="D35" s="4"/>
      <c r="E35" s="4"/>
      <c r="F35" s="4"/>
      <c r="G35" s="4"/>
      <c r="H35" s="4"/>
      <c r="I35" s="4"/>
    </row>
    <row r="36" spans="1:9" s="6" customFormat="1">
      <c r="A36" s="4"/>
      <c r="B36" s="4"/>
      <c r="C36" s="4"/>
      <c r="D36" s="4"/>
      <c r="E36" s="4"/>
      <c r="F36" s="4"/>
      <c r="G36" s="4"/>
      <c r="H36" s="4"/>
      <c r="I36" s="4"/>
    </row>
    <row r="37" spans="1:9" s="6" customFormat="1">
      <c r="A37" s="4"/>
      <c r="B37" s="4"/>
      <c r="C37" s="4"/>
      <c r="D37" s="4"/>
      <c r="E37" s="4"/>
      <c r="F37" s="4"/>
      <c r="G37" s="4"/>
      <c r="H37" s="4"/>
      <c r="I37" s="4"/>
    </row>
    <row r="38" spans="1:9" s="6" customFormat="1">
      <c r="A38" s="4"/>
      <c r="B38" s="4"/>
      <c r="C38" s="4"/>
      <c r="D38" s="4"/>
      <c r="E38" s="4"/>
      <c r="F38" s="4"/>
      <c r="G38" s="4"/>
      <c r="H38" s="4"/>
      <c r="I38" s="4"/>
    </row>
    <row r="39" spans="1:9" s="6" customFormat="1">
      <c r="A39" s="4"/>
      <c r="B39" s="4"/>
      <c r="C39" s="4"/>
      <c r="D39" s="4"/>
      <c r="E39" s="4"/>
      <c r="F39" s="4"/>
      <c r="G39" s="4"/>
      <c r="H39" s="4"/>
      <c r="I39" s="4"/>
    </row>
    <row r="40" spans="1:9">
      <c r="A40" s="1"/>
      <c r="B40" s="1"/>
      <c r="C40" s="1"/>
      <c r="D40" s="1"/>
      <c r="E40" s="1"/>
      <c r="F40" s="1"/>
      <c r="G40" s="1"/>
      <c r="H40" s="1"/>
      <c r="I40" s="1"/>
    </row>
    <row r="41" spans="1:9">
      <c r="A41" s="1"/>
      <c r="B41" s="1"/>
      <c r="C41" s="1"/>
      <c r="D41" s="1"/>
      <c r="E41" s="1"/>
      <c r="F41" s="1"/>
      <c r="G41" s="1"/>
      <c r="H41" s="1"/>
      <c r="I41" s="1"/>
    </row>
    <row r="42" spans="1:9">
      <c r="A42" s="1"/>
      <c r="B42" s="1"/>
      <c r="C42" s="1"/>
      <c r="D42" s="1"/>
      <c r="E42" s="1"/>
      <c r="F42" s="1"/>
      <c r="G42" s="1"/>
      <c r="H42" s="1"/>
      <c r="I42" s="1"/>
    </row>
    <row r="43" spans="1:9">
      <c r="A43" s="1"/>
      <c r="B43" s="1"/>
      <c r="C43" s="1"/>
      <c r="D43" s="1"/>
      <c r="E43" s="1"/>
      <c r="F43" s="1"/>
      <c r="G43" s="1"/>
      <c r="H43" s="1"/>
      <c r="I43" s="1"/>
    </row>
    <row r="44" spans="1:9">
      <c r="A44" s="1"/>
      <c r="B44" s="1"/>
      <c r="C44" s="1"/>
      <c r="D44" s="1"/>
      <c r="E44" s="1"/>
      <c r="F44" s="1"/>
      <c r="G44" s="1"/>
      <c r="H44" s="1"/>
      <c r="I44" s="1"/>
    </row>
  </sheetData>
  <phoneticPr fontId="7" type="noConversion"/>
  <pageMargins left="0.75" right="0.75" top="1" bottom="1" header="0.5" footer="0.5"/>
  <pageSetup scale="96"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3" tint="0.59999389629810485"/>
    <pageSetUpPr fitToPage="1"/>
  </sheetPr>
  <dimension ref="A1:AR160"/>
  <sheetViews>
    <sheetView topLeftCell="A43" zoomScale="70" zoomScaleNormal="70" zoomScaleSheetLayoutView="80" workbookViewId="0">
      <selection activeCell="L61" sqref="L61:M64"/>
    </sheetView>
  </sheetViews>
  <sheetFormatPr defaultRowHeight="13.2"/>
  <cols>
    <col min="1" max="17" width="9.5546875" customWidth="1"/>
    <col min="18" max="18" width="12.5546875" customWidth="1"/>
    <col min="19" max="19" width="15.44140625" customWidth="1"/>
    <col min="20" max="23" width="9.5546875" customWidth="1"/>
  </cols>
  <sheetData>
    <row r="1" spans="1:44" ht="15" customHeight="1">
      <c r="A1" s="33" t="s">
        <v>50</v>
      </c>
      <c r="B1" s="34"/>
      <c r="C1" s="34"/>
      <c r="D1" s="34"/>
      <c r="E1" s="34"/>
      <c r="F1" s="34"/>
      <c r="G1" s="34"/>
      <c r="H1" s="34"/>
      <c r="I1" s="34"/>
      <c r="J1" s="34"/>
      <c r="K1" s="34"/>
      <c r="M1" s="34"/>
      <c r="N1" s="34"/>
      <c r="O1" s="11"/>
      <c r="P1" s="60">
        <f>'SR Fall Chin'!P1</f>
        <v>39562</v>
      </c>
      <c r="Q1" s="54" t="s">
        <v>51</v>
      </c>
      <c r="W1" s="60">
        <f>P1</f>
        <v>39562</v>
      </c>
    </row>
    <row r="2" spans="1:44" ht="26.25" customHeight="1">
      <c r="A2" s="117" t="s">
        <v>87</v>
      </c>
      <c r="B2" s="11"/>
      <c r="C2" s="11"/>
      <c r="D2" s="11"/>
      <c r="E2" s="11"/>
      <c r="F2" s="11"/>
      <c r="G2" s="11"/>
      <c r="H2" s="11"/>
      <c r="I2" s="11"/>
      <c r="J2" s="663" t="s">
        <v>249</v>
      </c>
      <c r="K2" s="663"/>
      <c r="L2" s="663"/>
      <c r="M2" s="663"/>
      <c r="N2" s="663"/>
      <c r="O2" s="663"/>
      <c r="P2" s="663"/>
      <c r="Q2" s="11"/>
    </row>
    <row r="3" spans="1:44" ht="15" customHeight="1">
      <c r="A3" s="35" t="s">
        <v>19</v>
      </c>
    </row>
    <row r="4" spans="1:44" ht="15" customHeight="1" thickBot="1">
      <c r="A4" s="10" t="s">
        <v>20</v>
      </c>
      <c r="B4" s="9"/>
      <c r="C4" s="9"/>
      <c r="D4" s="9"/>
      <c r="E4" s="9"/>
      <c r="F4" s="9"/>
      <c r="G4" s="9"/>
      <c r="H4" s="9"/>
      <c r="I4" s="9"/>
      <c r="J4" s="9"/>
      <c r="K4" s="9"/>
      <c r="L4" s="9"/>
      <c r="M4" s="9"/>
      <c r="N4" s="9"/>
      <c r="O4" s="9"/>
      <c r="P4" s="9"/>
      <c r="Q4" s="9"/>
      <c r="R4" s="35" t="s">
        <v>36</v>
      </c>
      <c r="S4" s="35"/>
    </row>
    <row r="5" spans="1:44" ht="15" customHeight="1">
      <c r="A5" s="32"/>
      <c r="B5" s="15"/>
      <c r="C5" s="15"/>
      <c r="D5" s="15"/>
      <c r="E5" s="15"/>
      <c r="F5" s="15"/>
      <c r="G5" s="15"/>
      <c r="H5" s="15"/>
      <c r="I5" s="15"/>
      <c r="J5" s="15"/>
      <c r="K5" s="15"/>
      <c r="L5" s="15"/>
      <c r="M5" s="15"/>
      <c r="N5" s="15"/>
      <c r="O5" s="15"/>
      <c r="P5" s="16"/>
      <c r="Q5" s="38"/>
      <c r="R5" s="39"/>
      <c r="S5" s="39"/>
      <c r="T5" s="39"/>
      <c r="U5" s="39"/>
      <c r="V5" s="39"/>
      <c r="W5" s="40"/>
    </row>
    <row r="6" spans="1:44" ht="15" customHeight="1">
      <c r="A6" s="105"/>
      <c r="B6" s="441" t="s">
        <v>2</v>
      </c>
      <c r="C6" s="434"/>
      <c r="D6" s="434"/>
      <c r="E6" s="434"/>
      <c r="F6" s="434"/>
      <c r="G6" s="434"/>
      <c r="H6" s="434"/>
      <c r="I6" s="434"/>
      <c r="J6" s="434"/>
      <c r="K6" s="434"/>
      <c r="L6" s="434"/>
      <c r="M6" s="434"/>
      <c r="N6" s="434"/>
      <c r="O6" s="434"/>
      <c r="P6" s="435"/>
      <c r="Q6" s="679" t="s">
        <v>39</v>
      </c>
      <c r="R6" s="680"/>
      <c r="S6" s="680"/>
      <c r="T6" s="680"/>
      <c r="U6" s="680"/>
      <c r="V6" s="680"/>
      <c r="W6" s="680"/>
      <c r="X6" s="434"/>
      <c r="Y6" s="434"/>
      <c r="Z6" s="434"/>
      <c r="AA6" s="434"/>
      <c r="AB6" s="434"/>
      <c r="AC6" s="434"/>
      <c r="AD6" s="435"/>
    </row>
    <row r="7" spans="1:44" ht="30" customHeight="1">
      <c r="A7" s="104"/>
      <c r="B7" s="667" t="s">
        <v>15</v>
      </c>
      <c r="C7" s="668"/>
      <c r="D7" s="668"/>
      <c r="E7" s="667" t="s">
        <v>11</v>
      </c>
      <c r="F7" s="669"/>
      <c r="G7" s="670"/>
      <c r="H7" s="671" t="s">
        <v>23</v>
      </c>
      <c r="I7" s="681"/>
      <c r="J7" s="672"/>
      <c r="K7" s="673" t="s">
        <v>12</v>
      </c>
      <c r="L7" s="660"/>
      <c r="M7" s="674"/>
      <c r="N7" s="667" t="s">
        <v>16</v>
      </c>
      <c r="O7" s="669"/>
      <c r="P7" s="675"/>
      <c r="Q7" s="107"/>
      <c r="R7" s="676" t="s">
        <v>30</v>
      </c>
      <c r="S7" s="656"/>
      <c r="T7" s="657"/>
      <c r="U7" s="676" t="s">
        <v>46</v>
      </c>
      <c r="V7" s="656"/>
      <c r="W7" s="677"/>
      <c r="AE7" t="s">
        <v>177</v>
      </c>
    </row>
    <row r="8" spans="1:44" ht="57" customHeight="1">
      <c r="A8" s="245" t="s">
        <v>0</v>
      </c>
      <c r="B8" s="163" t="s">
        <v>1</v>
      </c>
      <c r="C8" s="164" t="s">
        <v>27</v>
      </c>
      <c r="D8" s="165" t="s">
        <v>24</v>
      </c>
      <c r="E8" s="163" t="s">
        <v>13</v>
      </c>
      <c r="F8" s="164" t="s">
        <v>29</v>
      </c>
      <c r="G8" s="165" t="s">
        <v>14</v>
      </c>
      <c r="H8" s="163" t="s">
        <v>32</v>
      </c>
      <c r="I8" s="166" t="s">
        <v>62</v>
      </c>
      <c r="J8" s="165" t="s">
        <v>17</v>
      </c>
      <c r="K8" s="163" t="s">
        <v>13</v>
      </c>
      <c r="L8" s="164" t="s">
        <v>29</v>
      </c>
      <c r="M8" s="164" t="s">
        <v>14</v>
      </c>
      <c r="N8" s="163" t="s">
        <v>25</v>
      </c>
      <c r="O8" s="164" t="s">
        <v>59</v>
      </c>
      <c r="P8" s="167" t="s">
        <v>26</v>
      </c>
      <c r="Q8" s="245" t="s">
        <v>0</v>
      </c>
      <c r="R8" s="163" t="s">
        <v>13</v>
      </c>
      <c r="S8" s="164" t="s">
        <v>29</v>
      </c>
      <c r="T8" s="164" t="s">
        <v>14</v>
      </c>
      <c r="U8" s="163" t="s">
        <v>21</v>
      </c>
      <c r="V8" s="164" t="s">
        <v>31</v>
      </c>
      <c r="W8" s="167" t="s">
        <v>22</v>
      </c>
      <c r="X8" s="433" t="s">
        <v>172</v>
      </c>
      <c r="Y8" s="433" t="s">
        <v>173</v>
      </c>
      <c r="Z8" s="283" t="s">
        <v>174</v>
      </c>
      <c r="AA8" s="283" t="s">
        <v>175</v>
      </c>
      <c r="AB8" s="283" t="s">
        <v>176</v>
      </c>
      <c r="AC8" s="437" t="s">
        <v>179</v>
      </c>
      <c r="AD8" s="437" t="s">
        <v>180</v>
      </c>
      <c r="AE8" s="283" t="s">
        <v>170</v>
      </c>
      <c r="AF8" s="283" t="s">
        <v>172</v>
      </c>
      <c r="AG8" s="283" t="s">
        <v>174</v>
      </c>
      <c r="AH8" s="283" t="s">
        <v>175</v>
      </c>
      <c r="AI8" s="283" t="s">
        <v>176</v>
      </c>
      <c r="AJ8" s="437" t="s">
        <v>181</v>
      </c>
      <c r="AK8" s="437" t="s">
        <v>182</v>
      </c>
      <c r="AL8" s="283" t="s">
        <v>170</v>
      </c>
      <c r="AM8" s="283" t="s">
        <v>171</v>
      </c>
      <c r="AN8" s="283" t="s">
        <v>174</v>
      </c>
      <c r="AO8" s="283" t="s">
        <v>175</v>
      </c>
      <c r="AP8" s="283" t="s">
        <v>176</v>
      </c>
      <c r="AQ8" s="437" t="s">
        <v>183</v>
      </c>
      <c r="AR8" s="437" t="s">
        <v>184</v>
      </c>
    </row>
    <row r="9" spans="1:44" ht="15" customHeight="1">
      <c r="A9" s="246" t="s">
        <v>60</v>
      </c>
      <c r="B9" s="247">
        <v>766</v>
      </c>
      <c r="C9" s="226">
        <v>611</v>
      </c>
      <c r="D9" s="227">
        <v>580</v>
      </c>
      <c r="E9" s="248">
        <f t="shared" ref="E9:E14" si="0">C9/B9</f>
        <v>0.79765013054830292</v>
      </c>
      <c r="F9" s="249">
        <f t="shared" ref="F9:F14" si="1">G9/E9</f>
        <v>0.9492635024549918</v>
      </c>
      <c r="G9" s="250">
        <f t="shared" ref="G9:G14" si="2">D9/B9</f>
        <v>0.75718015665796345</v>
      </c>
      <c r="H9" s="176">
        <v>8.1084410664407164E-2</v>
      </c>
      <c r="I9" s="251">
        <v>5.3181156284414673E-2</v>
      </c>
      <c r="J9" s="191">
        <v>3.7999999999999999E-2</v>
      </c>
      <c r="K9" s="248">
        <f t="shared" ref="K9:K14" si="3">(C9/B9)/((1-H9)*(1-J9))</f>
        <v>0.90232242165203691</v>
      </c>
      <c r="L9" s="249">
        <f t="shared" ref="L9:L14" si="4">M9/K9</f>
        <v>1.0025819709394597</v>
      </c>
      <c r="M9" s="250">
        <f t="shared" ref="M9:M14" si="5">(D9/B9)/((1-H9)*(1-I9)*(1-J9))</f>
        <v>0.90465219192276536</v>
      </c>
      <c r="N9" s="190">
        <f t="shared" ref="N9:N14" si="6">K9^(1/3)</f>
        <v>0.96631914294137544</v>
      </c>
      <c r="O9" s="190">
        <f t="shared" ref="O9:O14" si="7">L9^(1/4)</f>
        <v>1.0006448686832214</v>
      </c>
      <c r="P9" s="192">
        <f t="shared" ref="P9:P14" si="8">M9^(1/7)</f>
        <v>0.98578701083371889</v>
      </c>
      <c r="Q9" s="246" t="s">
        <v>60</v>
      </c>
      <c r="R9" s="252">
        <f t="shared" ref="R9:S14" si="9">1-K9</f>
        <v>9.767757834796309E-2</v>
      </c>
      <c r="S9" s="252">
        <f>1-L9</f>
        <v>-2.5819709394596657E-3</v>
      </c>
      <c r="T9" s="252">
        <f t="shared" ref="T9:V14" si="10">1-M9</f>
        <v>9.5347808077234641E-2</v>
      </c>
      <c r="U9" s="253">
        <f t="shared" si="10"/>
        <v>3.3680857058624558E-2</v>
      </c>
      <c r="V9" s="254">
        <f>1-O9</f>
        <v>-6.4486868322144453E-4</v>
      </c>
      <c r="W9" s="255">
        <f t="shared" ref="W9:W14" si="11">1-P9</f>
        <v>1.4212989166281109E-2</v>
      </c>
      <c r="X9" s="283">
        <f>C9</f>
        <v>611</v>
      </c>
      <c r="Y9" s="283">
        <f>B9</f>
        <v>766</v>
      </c>
      <c r="Z9" s="283">
        <f>X9/Y9</f>
        <v>0.79765013054830292</v>
      </c>
      <c r="AA9" s="283">
        <f t="shared" ref="AA9:AA22" si="12">_xlfn.F.INV(0.05/2, 2*X9, 2*(Y9-X9+1))</f>
        <v>0.84247226855212576</v>
      </c>
      <c r="AB9" s="283">
        <f>_xlfn.F.INV(1-0.05/2, 2*(X9+1), 2*(Y9-X9))</f>
        <v>1.1986488174970211</v>
      </c>
      <c r="AC9" s="436">
        <f>IF(X9=0, 0, 1/(1 +(Y9-X9+1)/(X9*AA9)))</f>
        <v>0.76742471760224684</v>
      </c>
      <c r="AD9" s="436">
        <f>IF(X9=Y9, 1, 1/(1 + (Y9-X9)/(AB9*(X9+1))))</f>
        <v>0.82556302443464702</v>
      </c>
      <c r="AE9" s="283">
        <f>D9</f>
        <v>580</v>
      </c>
      <c r="AF9" s="283">
        <f>C9</f>
        <v>611</v>
      </c>
      <c r="AG9" s="283">
        <f>AE9/AF9</f>
        <v>0.9492635024549918</v>
      </c>
      <c r="AH9" s="283">
        <f t="shared" ref="AH9:AH22" si="13">_xlfn.F.INV(0.05/2, 2*AE9, 2*(AF9-AE9+1))</f>
        <v>0.71921821411445164</v>
      </c>
      <c r="AI9" s="283">
        <f>_xlfn.F.INV(1-0.05/2, 2*(AE9+1), 2*(AF9-AE9))</f>
        <v>1.4829701348398583</v>
      </c>
      <c r="AJ9" s="436">
        <f>IF(AE9=0, 0, 1/(1 +(AF9-AE9+1)/(AE9*AH9)))</f>
        <v>0.92875376869916126</v>
      </c>
      <c r="AK9" s="436">
        <f>IF(AE9=AF9, 1, 1/(1 + (AF9-AE9)/(AI9*(AE9+1))))</f>
        <v>0.96527021752821818</v>
      </c>
      <c r="AL9" s="283">
        <f>D9</f>
        <v>580</v>
      </c>
      <c r="AM9" s="283">
        <f>B9</f>
        <v>766</v>
      </c>
      <c r="AN9" s="283">
        <f>AL9/AM9</f>
        <v>0.75718015665796345</v>
      </c>
      <c r="AO9" s="283">
        <f t="shared" ref="AO9:AO22" si="14">_xlfn.F.INV(0.05/2, 2*AL9, 2*(AM9-AL9+1))</f>
        <v>0.85087974080443773</v>
      </c>
      <c r="AP9" s="283">
        <f>_xlfn.F.INV(1-0.05/2, 2*(AL9+1), 2*(AM9-AL9))</f>
        <v>1.183983473190247</v>
      </c>
      <c r="AQ9" s="436">
        <f>IF(AL9=0, 0, 1/(1 +(AM9-AL9+1)/(AL9*AO9)))</f>
        <v>0.72520619624520954</v>
      </c>
      <c r="AR9" s="436">
        <f>IF(AL9=AM9, 1, 1/(1 + (AM9-AL9)/(AP9*(AL9+1))))</f>
        <v>0.78715963800436772</v>
      </c>
    </row>
    <row r="10" spans="1:44" ht="15" customHeight="1">
      <c r="A10" s="256">
        <v>2003</v>
      </c>
      <c r="B10" s="229">
        <v>99</v>
      </c>
      <c r="C10" s="187">
        <v>82</v>
      </c>
      <c r="D10" s="188">
        <v>78</v>
      </c>
      <c r="E10" s="189">
        <f t="shared" si="0"/>
        <v>0.82828282828282829</v>
      </c>
      <c r="F10" s="190">
        <f t="shared" si="1"/>
        <v>0.95121951219512191</v>
      </c>
      <c r="G10" s="191">
        <f t="shared" si="2"/>
        <v>0.78787878787878785</v>
      </c>
      <c r="H10" s="176">
        <v>0.10756359035366819</v>
      </c>
      <c r="I10" s="251">
        <v>4.1326563783095696E-2</v>
      </c>
      <c r="J10" s="191">
        <v>5.2999999999999999E-2</v>
      </c>
      <c r="K10" s="189">
        <f t="shared" si="3"/>
        <v>0.98005714331576688</v>
      </c>
      <c r="L10" s="190">
        <f t="shared" si="4"/>
        <v>0.99222475168270352</v>
      </c>
      <c r="M10" s="191">
        <f t="shared" si="5"/>
        <v>0.97243695566134658</v>
      </c>
      <c r="N10" s="190">
        <f t="shared" si="6"/>
        <v>0.99330769405574781</v>
      </c>
      <c r="O10" s="190">
        <f t="shared" si="7"/>
        <v>0.99805049446857497</v>
      </c>
      <c r="P10" s="192">
        <f t="shared" si="8"/>
        <v>0.99601509906301722</v>
      </c>
      <c r="Q10" s="256">
        <v>2003</v>
      </c>
      <c r="R10" s="194">
        <f t="shared" si="9"/>
        <v>1.9942856684233123E-2</v>
      </c>
      <c r="S10" s="194">
        <f t="shared" si="9"/>
        <v>7.7752483172964793E-3</v>
      </c>
      <c r="T10" s="194">
        <f t="shared" si="10"/>
        <v>2.756304433865342E-2</v>
      </c>
      <c r="U10" s="193">
        <f t="shared" si="10"/>
        <v>6.6923059442521859E-3</v>
      </c>
      <c r="V10" s="194">
        <f t="shared" si="10"/>
        <v>1.9495055314250331E-3</v>
      </c>
      <c r="W10" s="257">
        <f t="shared" si="11"/>
        <v>3.9849009369827826E-3</v>
      </c>
      <c r="X10" s="283">
        <f t="shared" ref="X10:X22" si="15">C10</f>
        <v>82</v>
      </c>
      <c r="Y10" s="283">
        <f t="shared" ref="Y10:Y22" si="16">B10</f>
        <v>99</v>
      </c>
      <c r="Z10" s="283">
        <f t="shared" ref="Z10:Z22" si="17">X10/Y10</f>
        <v>0.82828282828282829</v>
      </c>
      <c r="AA10" s="283">
        <f t="shared" si="12"/>
        <v>0.62269585581478115</v>
      </c>
      <c r="AB10" s="283">
        <f t="shared" ref="AB10:AB22" si="18">_xlfn.F.INV(1-0.05/2, 2*(X10+1), 2*(Y10-X10))</f>
        <v>1.7773029788341297</v>
      </c>
      <c r="AC10" s="436">
        <f t="shared" ref="AC10:AC22" si="19">IF(X10=0, 0, 1/(1 +(Y10-X10+1)/(X10*AA10)))</f>
        <v>0.73936108200604078</v>
      </c>
      <c r="AD10" s="436">
        <f t="shared" ref="AD10:AD22" si="20">IF(X10=Y10, 1, 1/(1 + (Y10-X10)/(AB10*(X10+1))))</f>
        <v>0.89666667810506184</v>
      </c>
      <c r="AE10" s="283">
        <f t="shared" ref="AE10:AE22" si="21">D10</f>
        <v>78</v>
      </c>
      <c r="AF10" s="283">
        <f t="shared" ref="AF10:AF22" si="22">C10</f>
        <v>82</v>
      </c>
      <c r="AG10" s="283">
        <f t="shared" ref="AG10:AG22" si="23">AE10/AF10</f>
        <v>0.95121951219512191</v>
      </c>
      <c r="AH10" s="283">
        <f t="shared" si="13"/>
        <v>0.46914445700182189</v>
      </c>
      <c r="AI10" s="283">
        <f t="shared" ref="AI10:AI22" si="24">_xlfn.F.INV(1-0.05/2, 2*(AE10+1), 2*(AF10-AE10))</f>
        <v>3.7141663076026026</v>
      </c>
      <c r="AJ10" s="436">
        <f t="shared" ref="AJ10:AJ22" si="25">IF(AE10=0, 0, 1/(1 +(AF10-AE10+1)/(AE10*AH10)))</f>
        <v>0.87978823778555038</v>
      </c>
      <c r="AK10" s="436">
        <f t="shared" ref="AK10:AK22" si="26">IF(AE10=AF10, 1, 1/(1 + (AF10-AE10)/(AI10*(AE10+1))))</f>
        <v>0.98655096634717188</v>
      </c>
      <c r="AL10" s="283">
        <f t="shared" ref="AL10:AL22" si="27">D10</f>
        <v>78</v>
      </c>
      <c r="AM10" s="283">
        <f t="shared" ref="AM10:AM22" si="28">B10</f>
        <v>99</v>
      </c>
      <c r="AN10" s="283">
        <f t="shared" ref="AN10:AN22" si="29">AL10/AM10</f>
        <v>0.78787878787878785</v>
      </c>
      <c r="AO10" s="283">
        <f t="shared" si="14"/>
        <v>0.64032685083436103</v>
      </c>
      <c r="AP10" s="283">
        <f t="shared" ref="AP10:AP22" si="30">_xlfn.F.INV(1-0.05/2, 2*(AL10+1), 2*(AM10-AL10))</f>
        <v>1.6835686059375143</v>
      </c>
      <c r="AQ10" s="436">
        <f t="shared" ref="AQ10:AQ22" si="31">IF(AL10=0, 0, 1/(1 +(AM10-AL10+1)/(AL10*AO10)))</f>
        <v>0.69421295670909955</v>
      </c>
      <c r="AR10" s="436">
        <f t="shared" ref="AR10:AR22" si="32">IF(AL10=AM10, 1, 1/(1 + (AM10-AL10)/(AP10*(AL10+1))))</f>
        <v>0.86363806361729289</v>
      </c>
    </row>
    <row r="11" spans="1:44" ht="15" customHeight="1">
      <c r="A11" s="256">
        <v>2004</v>
      </c>
      <c r="B11" s="229">
        <v>307</v>
      </c>
      <c r="C11" s="187">
        <v>250</v>
      </c>
      <c r="D11" s="188">
        <v>246</v>
      </c>
      <c r="E11" s="189">
        <f t="shared" si="0"/>
        <v>0.81433224755700329</v>
      </c>
      <c r="F11" s="190">
        <f t="shared" si="1"/>
        <v>0.98399999999999999</v>
      </c>
      <c r="G11" s="191">
        <f t="shared" si="2"/>
        <v>0.80130293159609123</v>
      </c>
      <c r="H11" s="176">
        <v>9.3609841353533466E-2</v>
      </c>
      <c r="I11" s="251">
        <v>3.0654912192214077E-2</v>
      </c>
      <c r="J11" s="191">
        <v>4.7E-2</v>
      </c>
      <c r="K11" s="189">
        <f t="shared" si="3"/>
        <v>0.94274350956701547</v>
      </c>
      <c r="L11" s="190">
        <f t="shared" si="4"/>
        <v>1.0151183643230266</v>
      </c>
      <c r="M11" s="191">
        <f t="shared" si="5"/>
        <v>0.95699624940781824</v>
      </c>
      <c r="N11" s="190">
        <f t="shared" si="6"/>
        <v>0.98053819860383684</v>
      </c>
      <c r="O11" s="190">
        <f t="shared" si="7"/>
        <v>1.0037583501496732</v>
      </c>
      <c r="P11" s="192">
        <f t="shared" si="8"/>
        <v>0.99374027328566539</v>
      </c>
      <c r="Q11" s="256">
        <v>2004</v>
      </c>
      <c r="R11" s="194">
        <f t="shared" si="9"/>
        <v>5.725649043298453E-2</v>
      </c>
      <c r="S11" s="194">
        <f t="shared" si="9"/>
        <v>-1.5118364323026601E-2</v>
      </c>
      <c r="T11" s="194">
        <f t="shared" si="10"/>
        <v>4.3003750592181755E-2</v>
      </c>
      <c r="U11" s="193">
        <f t="shared" si="10"/>
        <v>1.9461801396163159E-2</v>
      </c>
      <c r="V11" s="194">
        <f t="shared" si="10"/>
        <v>-3.7583501496731841E-3</v>
      </c>
      <c r="W11" s="257">
        <f t="shared" si="11"/>
        <v>6.2597267143346125E-3</v>
      </c>
      <c r="X11" s="283">
        <f t="shared" si="15"/>
        <v>250</v>
      </c>
      <c r="Y11" s="283">
        <f t="shared" si="16"/>
        <v>307</v>
      </c>
      <c r="Z11" s="283">
        <f t="shared" si="17"/>
        <v>0.81433224755700329</v>
      </c>
      <c r="AA11" s="283">
        <f t="shared" si="12"/>
        <v>0.76047899942438824</v>
      </c>
      <c r="AB11" s="283">
        <f t="shared" si="18"/>
        <v>1.3525381520252058</v>
      </c>
      <c r="AC11" s="436">
        <f t="shared" si="19"/>
        <v>0.76624190523471647</v>
      </c>
      <c r="AD11" s="436">
        <f t="shared" si="20"/>
        <v>0.85623743262381002</v>
      </c>
      <c r="AE11" s="283">
        <f t="shared" si="21"/>
        <v>246</v>
      </c>
      <c r="AF11" s="283">
        <f t="shared" si="22"/>
        <v>250</v>
      </c>
      <c r="AG11" s="283">
        <f t="shared" si="23"/>
        <v>0.98399999999999999</v>
      </c>
      <c r="AH11" s="283">
        <f t="shared" si="13"/>
        <v>0.4820603425859582</v>
      </c>
      <c r="AI11" s="283">
        <f t="shared" si="24"/>
        <v>3.6843298412043817</v>
      </c>
      <c r="AJ11" s="436">
        <f t="shared" si="25"/>
        <v>0.95954261936790075</v>
      </c>
      <c r="AK11" s="436">
        <f t="shared" si="26"/>
        <v>0.99562377349102593</v>
      </c>
      <c r="AL11" s="283">
        <f t="shared" si="27"/>
        <v>246</v>
      </c>
      <c r="AM11" s="283">
        <f t="shared" si="28"/>
        <v>307</v>
      </c>
      <c r="AN11" s="283">
        <f t="shared" si="29"/>
        <v>0.80130293159609123</v>
      </c>
      <c r="AO11" s="283">
        <f t="shared" si="14"/>
        <v>0.76511357395224011</v>
      </c>
      <c r="AP11" s="283">
        <f t="shared" si="30"/>
        <v>1.3408985371544302</v>
      </c>
      <c r="AQ11" s="436">
        <f t="shared" si="31"/>
        <v>0.75221600737282368</v>
      </c>
      <c r="AR11" s="436">
        <f t="shared" si="32"/>
        <v>0.84446787742623974</v>
      </c>
    </row>
    <row r="12" spans="1:44" ht="15" customHeight="1">
      <c r="A12" s="256">
        <v>2005</v>
      </c>
      <c r="B12" s="229">
        <v>214</v>
      </c>
      <c r="C12" s="187">
        <v>172</v>
      </c>
      <c r="D12" s="188">
        <v>158</v>
      </c>
      <c r="E12" s="189">
        <f t="shared" si="0"/>
        <v>0.80373831775700932</v>
      </c>
      <c r="F12" s="190">
        <f t="shared" si="1"/>
        <v>0.91860465116279066</v>
      </c>
      <c r="G12" s="191">
        <f t="shared" si="2"/>
        <v>0.73831775700934577</v>
      </c>
      <c r="H12" s="176">
        <v>8.6309912115780305E-2</v>
      </c>
      <c r="I12" s="251">
        <v>3.957662183467419E-2</v>
      </c>
      <c r="J12" s="191">
        <v>4.7E-2</v>
      </c>
      <c r="K12" s="189">
        <f t="shared" si="3"/>
        <v>0.92304496869693509</v>
      </c>
      <c r="L12" s="190">
        <f t="shared" si="4"/>
        <v>0.95645802887220388</v>
      </c>
      <c r="M12" s="191">
        <f t="shared" si="5"/>
        <v>0.88285377132027565</v>
      </c>
      <c r="N12" s="190">
        <f t="shared" si="6"/>
        <v>0.97366065275836111</v>
      </c>
      <c r="O12" s="190">
        <f t="shared" si="7"/>
        <v>0.98893211204671183</v>
      </c>
      <c r="P12" s="192">
        <f t="shared" si="8"/>
        <v>0.98235808815081505</v>
      </c>
      <c r="Q12" s="256">
        <v>2005</v>
      </c>
      <c r="R12" s="194">
        <f t="shared" si="9"/>
        <v>7.6955031303064914E-2</v>
      </c>
      <c r="S12" s="194">
        <f t="shared" si="9"/>
        <v>4.354197112779612E-2</v>
      </c>
      <c r="T12" s="194">
        <f t="shared" si="10"/>
        <v>0.11714622867972435</v>
      </c>
      <c r="U12" s="193">
        <f t="shared" si="10"/>
        <v>2.6339347241638889E-2</v>
      </c>
      <c r="V12" s="194">
        <f t="shared" si="10"/>
        <v>1.1067887953288169E-2</v>
      </c>
      <c r="W12" s="257">
        <f t="shared" si="11"/>
        <v>1.7641911849184955E-2</v>
      </c>
      <c r="X12" s="283">
        <f t="shared" si="15"/>
        <v>172</v>
      </c>
      <c r="Y12" s="283">
        <f t="shared" si="16"/>
        <v>214</v>
      </c>
      <c r="Z12" s="283">
        <f t="shared" si="17"/>
        <v>0.80373831775700932</v>
      </c>
      <c r="AA12" s="283">
        <f t="shared" si="12"/>
        <v>0.72700463014581684</v>
      </c>
      <c r="AB12" s="283">
        <f t="shared" si="18"/>
        <v>1.4285170397160998</v>
      </c>
      <c r="AC12" s="436">
        <f t="shared" si="19"/>
        <v>0.74411584931517905</v>
      </c>
      <c r="AD12" s="436">
        <f t="shared" si="20"/>
        <v>0.85473835590700864</v>
      </c>
      <c r="AE12" s="283">
        <f t="shared" si="21"/>
        <v>158</v>
      </c>
      <c r="AF12" s="283">
        <f t="shared" si="22"/>
        <v>172</v>
      </c>
      <c r="AG12" s="283">
        <f t="shared" si="23"/>
        <v>0.91860465116279066</v>
      </c>
      <c r="AH12" s="283">
        <f t="shared" si="13"/>
        <v>0.61996534211170906</v>
      </c>
      <c r="AI12" s="283">
        <f t="shared" si="24"/>
        <v>1.8593622203248295</v>
      </c>
      <c r="AJ12" s="436">
        <f t="shared" si="25"/>
        <v>0.86720319415559266</v>
      </c>
      <c r="AK12" s="436">
        <f t="shared" si="26"/>
        <v>0.95478599788570584</v>
      </c>
      <c r="AL12" s="283">
        <f t="shared" si="27"/>
        <v>158</v>
      </c>
      <c r="AM12" s="283">
        <f t="shared" si="28"/>
        <v>214</v>
      </c>
      <c r="AN12" s="283">
        <f t="shared" si="29"/>
        <v>0.73831775700934577</v>
      </c>
      <c r="AO12" s="283">
        <f t="shared" si="14"/>
        <v>0.74598616906541648</v>
      </c>
      <c r="AP12" s="283">
        <f t="shared" si="30"/>
        <v>1.3731612376722708</v>
      </c>
      <c r="AQ12" s="436">
        <f t="shared" si="31"/>
        <v>0.67403577369442824</v>
      </c>
      <c r="AR12" s="436">
        <f t="shared" si="32"/>
        <v>0.79586825448373499</v>
      </c>
    </row>
    <row r="13" spans="1:44" ht="15" customHeight="1">
      <c r="A13" s="256">
        <v>2006</v>
      </c>
      <c r="B13" s="229">
        <v>94</v>
      </c>
      <c r="C13" s="187">
        <v>81</v>
      </c>
      <c r="D13" s="188">
        <v>72</v>
      </c>
      <c r="E13" s="189">
        <f t="shared" si="0"/>
        <v>0.86170212765957444</v>
      </c>
      <c r="F13" s="190">
        <f t="shared" si="1"/>
        <v>0.88888888888888895</v>
      </c>
      <c r="G13" s="191">
        <f t="shared" si="2"/>
        <v>0.76595744680851063</v>
      </c>
      <c r="H13" s="176">
        <v>0.11064584596240835</v>
      </c>
      <c r="I13" s="251">
        <v>5.2070352189883373E-2</v>
      </c>
      <c r="J13" s="191">
        <v>4.7E-2</v>
      </c>
      <c r="K13" s="189">
        <f t="shared" si="3"/>
        <v>1.0166922819888207</v>
      </c>
      <c r="L13" s="190">
        <f t="shared" si="4"/>
        <v>0.93771609627610841</v>
      </c>
      <c r="M13" s="191">
        <f t="shared" si="5"/>
        <v>0.95336871778060528</v>
      </c>
      <c r="N13" s="190">
        <f t="shared" si="6"/>
        <v>1.0055334187972806</v>
      </c>
      <c r="O13" s="190">
        <f t="shared" si="7"/>
        <v>0.98405153409727042</v>
      </c>
      <c r="P13" s="192">
        <f t="shared" si="8"/>
        <v>0.99320128115289052</v>
      </c>
      <c r="Q13" s="256">
        <v>2006</v>
      </c>
      <c r="R13" s="194">
        <f t="shared" si="9"/>
        <v>-1.6692281988820667E-2</v>
      </c>
      <c r="S13" s="194">
        <f t="shared" si="9"/>
        <v>6.2283903723891587E-2</v>
      </c>
      <c r="T13" s="194">
        <f t="shared" si="10"/>
        <v>4.6631282219394721E-2</v>
      </c>
      <c r="U13" s="193">
        <f t="shared" si="10"/>
        <v>-5.5334187972806426E-3</v>
      </c>
      <c r="V13" s="194">
        <f t="shared" si="10"/>
        <v>1.5948465902729581E-2</v>
      </c>
      <c r="W13" s="257">
        <f t="shared" si="11"/>
        <v>6.798718847109475E-3</v>
      </c>
      <c r="X13" s="283">
        <f t="shared" si="15"/>
        <v>81</v>
      </c>
      <c r="Y13" s="283">
        <f t="shared" si="16"/>
        <v>94</v>
      </c>
      <c r="Z13" s="283">
        <f t="shared" si="17"/>
        <v>0.86170212765957444</v>
      </c>
      <c r="AA13" s="283">
        <f t="shared" si="12"/>
        <v>0.5957555769941405</v>
      </c>
      <c r="AB13" s="283">
        <f t="shared" si="18"/>
        <v>1.9345496382168808</v>
      </c>
      <c r="AC13" s="436">
        <f t="shared" si="19"/>
        <v>0.77512280528694255</v>
      </c>
      <c r="AD13" s="436">
        <f t="shared" si="20"/>
        <v>0.92425702124469244</v>
      </c>
      <c r="AE13" s="283">
        <f t="shared" si="21"/>
        <v>72</v>
      </c>
      <c r="AF13" s="283">
        <f t="shared" si="22"/>
        <v>81</v>
      </c>
      <c r="AG13" s="283">
        <f t="shared" si="23"/>
        <v>0.88888888888888884</v>
      </c>
      <c r="AH13" s="283">
        <f t="shared" si="13"/>
        <v>0.55392017866716625</v>
      </c>
      <c r="AI13" s="283">
        <f t="shared" si="24"/>
        <v>2.2438270612468592</v>
      </c>
      <c r="AJ13" s="436">
        <f t="shared" si="25"/>
        <v>0.79952789968694893</v>
      </c>
      <c r="AK13" s="436">
        <f t="shared" si="26"/>
        <v>0.94791647842784399</v>
      </c>
      <c r="AL13" s="283">
        <f t="shared" si="27"/>
        <v>72</v>
      </c>
      <c r="AM13" s="283">
        <f t="shared" si="28"/>
        <v>94</v>
      </c>
      <c r="AN13" s="283">
        <f t="shared" si="29"/>
        <v>0.76595744680851063</v>
      </c>
      <c r="AO13" s="283">
        <f t="shared" si="14"/>
        <v>0.64092655330108761</v>
      </c>
      <c r="AP13" s="283">
        <f t="shared" si="30"/>
        <v>1.6702056696346788</v>
      </c>
      <c r="AQ13" s="436">
        <f t="shared" si="31"/>
        <v>0.66737391571138738</v>
      </c>
      <c r="AR13" s="436">
        <f t="shared" si="32"/>
        <v>0.84714262374271077</v>
      </c>
    </row>
    <row r="14" spans="1:44" ht="15" customHeight="1" thickBot="1">
      <c r="A14" s="256">
        <v>2007</v>
      </c>
      <c r="B14" s="187">
        <v>98</v>
      </c>
      <c r="C14" s="187">
        <v>81</v>
      </c>
      <c r="D14" s="187">
        <v>70</v>
      </c>
      <c r="E14" s="189">
        <f t="shared" si="0"/>
        <v>0.82653061224489799</v>
      </c>
      <c r="F14" s="190">
        <f t="shared" si="1"/>
        <v>0.86419753086419748</v>
      </c>
      <c r="G14" s="191">
        <f t="shared" si="2"/>
        <v>0.7142857142857143</v>
      </c>
      <c r="H14" s="122">
        <v>9.3527512820647016E-2</v>
      </c>
      <c r="I14" s="190">
        <v>4.46770115108421E-2</v>
      </c>
      <c r="J14" s="190">
        <v>4.7E-2</v>
      </c>
      <c r="K14" s="189">
        <f t="shared" si="3"/>
        <v>0.95677851717759532</v>
      </c>
      <c r="L14" s="190">
        <f t="shared" si="4"/>
        <v>0.9046129332980094</v>
      </c>
      <c r="M14" s="191">
        <f t="shared" si="5"/>
        <v>0.86551422094054442</v>
      </c>
      <c r="N14" s="190">
        <f t="shared" si="6"/>
        <v>0.98538014038164179</v>
      </c>
      <c r="O14" s="190">
        <f t="shared" si="7"/>
        <v>0.97524941426432898</v>
      </c>
      <c r="P14" s="190">
        <f t="shared" si="8"/>
        <v>0.97957833760639157</v>
      </c>
      <c r="Q14" s="256">
        <v>2007</v>
      </c>
      <c r="R14" s="190">
        <f t="shared" si="9"/>
        <v>4.3221482822404678E-2</v>
      </c>
      <c r="S14" s="190">
        <f t="shared" si="9"/>
        <v>9.5387066701990597E-2</v>
      </c>
      <c r="T14" s="190">
        <f t="shared" si="10"/>
        <v>0.13448577905945558</v>
      </c>
      <c r="U14" s="189">
        <f t="shared" si="10"/>
        <v>1.4619859618358211E-2</v>
      </c>
      <c r="V14" s="190">
        <f t="shared" si="10"/>
        <v>2.4750585735671016E-2</v>
      </c>
      <c r="W14" s="191">
        <f t="shared" si="11"/>
        <v>2.0421662393608431E-2</v>
      </c>
      <c r="X14" s="283">
        <f t="shared" si="15"/>
        <v>81</v>
      </c>
      <c r="Y14" s="283">
        <f t="shared" si="16"/>
        <v>98</v>
      </c>
      <c r="Z14" s="283">
        <f t="shared" si="17"/>
        <v>0.82653061224489799</v>
      </c>
      <c r="AA14" s="283">
        <f t="shared" si="12"/>
        <v>0.62224855106347665</v>
      </c>
      <c r="AB14" s="283">
        <f t="shared" si="18"/>
        <v>1.7780160725666543</v>
      </c>
      <c r="AC14" s="436">
        <f t="shared" si="19"/>
        <v>0.73685030997864909</v>
      </c>
      <c r="AD14" s="436">
        <f t="shared" si="20"/>
        <v>0.89557567523825787</v>
      </c>
      <c r="AE14" s="283">
        <f t="shared" si="21"/>
        <v>70</v>
      </c>
      <c r="AF14" s="283">
        <f t="shared" si="22"/>
        <v>81</v>
      </c>
      <c r="AG14" s="283">
        <f t="shared" si="23"/>
        <v>0.86419753086419748</v>
      </c>
      <c r="AH14" s="283">
        <f t="shared" si="13"/>
        <v>0.57388183259384984</v>
      </c>
      <c r="AI14" s="283">
        <f t="shared" si="24"/>
        <v>2.0650517171141489</v>
      </c>
      <c r="AJ14" s="436">
        <f t="shared" si="25"/>
        <v>0.76999036843793434</v>
      </c>
      <c r="AK14" s="436">
        <f t="shared" si="26"/>
        <v>0.93021131401281731</v>
      </c>
      <c r="AL14" s="283">
        <f t="shared" si="27"/>
        <v>70</v>
      </c>
      <c r="AM14" s="283">
        <f t="shared" si="28"/>
        <v>98</v>
      </c>
      <c r="AN14" s="283">
        <f t="shared" si="29"/>
        <v>0.7142857142857143</v>
      </c>
      <c r="AO14" s="283">
        <f t="shared" si="14"/>
        <v>0.65945987921690929</v>
      </c>
      <c r="AP14" s="283">
        <f t="shared" si="30"/>
        <v>1.5876292695329459</v>
      </c>
      <c r="AQ14" s="436">
        <f t="shared" si="31"/>
        <v>0.61416771645666179</v>
      </c>
      <c r="AR14" s="436">
        <f t="shared" si="32"/>
        <v>0.80102568153875686</v>
      </c>
    </row>
    <row r="15" spans="1:44" ht="15" customHeight="1" thickBot="1">
      <c r="A15" s="228" t="s">
        <v>81</v>
      </c>
      <c r="B15" s="198"/>
      <c r="C15" s="198"/>
      <c r="D15" s="198"/>
      <c r="E15" s="199">
        <f>AVERAGE(E9:E14)</f>
        <v>0.82203937734160271</v>
      </c>
      <c r="F15" s="199">
        <f t="shared" ref="F15:W15" si="33">AVERAGE(F9:F14)</f>
        <v>0.92602901426099848</v>
      </c>
      <c r="G15" s="199">
        <f t="shared" si="33"/>
        <v>0.76082046570606898</v>
      </c>
      <c r="H15" s="199">
        <f t="shared" si="33"/>
        <v>9.5456852211740759E-2</v>
      </c>
      <c r="I15" s="199">
        <f t="shared" si="33"/>
        <v>4.3581102965854018E-2</v>
      </c>
      <c r="J15" s="199">
        <f t="shared" si="33"/>
        <v>4.6499999999999993E-2</v>
      </c>
      <c r="K15" s="199">
        <f t="shared" si="33"/>
        <v>0.9536064737330282</v>
      </c>
      <c r="L15" s="199">
        <f t="shared" si="33"/>
        <v>0.96811869089858538</v>
      </c>
      <c r="M15" s="199">
        <f t="shared" si="33"/>
        <v>0.92263701783889251</v>
      </c>
      <c r="N15" s="199">
        <f t="shared" si="33"/>
        <v>0.98412320792304053</v>
      </c>
      <c r="O15" s="199">
        <f t="shared" si="33"/>
        <v>0.99178112895163018</v>
      </c>
      <c r="P15" s="199">
        <f t="shared" si="33"/>
        <v>0.98844668168208327</v>
      </c>
      <c r="Q15" s="269" t="s">
        <v>81</v>
      </c>
      <c r="R15" s="199">
        <f t="shared" si="33"/>
        <v>4.6393526266971609E-2</v>
      </c>
      <c r="S15" s="199">
        <f t="shared" si="33"/>
        <v>3.1881309101414755E-2</v>
      </c>
      <c r="T15" s="199">
        <f t="shared" si="33"/>
        <v>7.7362982161107416E-2</v>
      </c>
      <c r="U15" s="199">
        <f t="shared" si="33"/>
        <v>1.5876792076959394E-2</v>
      </c>
      <c r="V15" s="199">
        <f t="shared" si="33"/>
        <v>8.2188710483698611E-3</v>
      </c>
      <c r="W15" s="200">
        <f t="shared" si="33"/>
        <v>1.1553318317916894E-2</v>
      </c>
      <c r="X15" s="283"/>
      <c r="Y15" s="283"/>
      <c r="Z15" s="283"/>
      <c r="AA15" s="283"/>
      <c r="AB15" s="283"/>
      <c r="AC15" s="436"/>
      <c r="AD15" s="436"/>
      <c r="AE15" s="283"/>
      <c r="AF15" s="283"/>
      <c r="AG15" s="283"/>
      <c r="AH15" s="283"/>
      <c r="AI15" s="283"/>
      <c r="AJ15" s="436"/>
      <c r="AK15" s="436"/>
      <c r="AL15" s="283"/>
      <c r="AM15" s="283"/>
      <c r="AN15" s="283"/>
      <c r="AO15" s="283"/>
      <c r="AP15" s="283"/>
      <c r="AQ15" s="436"/>
      <c r="AR15" s="436"/>
    </row>
    <row r="16" spans="1:44" ht="15" customHeight="1">
      <c r="A16" s="256">
        <v>2008</v>
      </c>
      <c r="B16" s="278">
        <v>585</v>
      </c>
      <c r="C16" s="278">
        <v>484</v>
      </c>
      <c r="D16" s="278">
        <v>376</v>
      </c>
      <c r="E16" s="189">
        <f t="shared" ref="E16:E18" si="34">C16/B16</f>
        <v>0.8273504273504273</v>
      </c>
      <c r="F16" s="190">
        <f t="shared" ref="F16:F18" si="35">G16/E16</f>
        <v>0.77685950413223148</v>
      </c>
      <c r="G16" s="191">
        <f t="shared" ref="G16:G18" si="36">D16/B16</f>
        <v>0.64273504273504278</v>
      </c>
      <c r="H16" s="27">
        <v>0.13195500689752751</v>
      </c>
      <c r="I16" s="27">
        <v>4.3999999999999997E-2</v>
      </c>
      <c r="J16" s="190">
        <v>4.7E-2</v>
      </c>
      <c r="K16" s="189">
        <f t="shared" ref="K16" si="37">(C16/B16)/((1-H16)*(1-J16))</f>
        <v>1.0001251729398701</v>
      </c>
      <c r="L16" s="190">
        <f t="shared" ref="L16" si="38">M16/K16</f>
        <v>0.81261454407137179</v>
      </c>
      <c r="M16" s="191">
        <f t="shared" ref="M16" si="39">(D16/B16)/((1-H16)*(1-I16)*(1-J16))</f>
        <v>0.81271626142283449</v>
      </c>
      <c r="N16" s="190">
        <f t="shared" ref="N16" si="40">K16^(1/3)</f>
        <v>1.0000417225724927</v>
      </c>
      <c r="O16" s="190">
        <f t="shared" ref="O16" si="41">L16^(1/4)</f>
        <v>0.9494479207653681</v>
      </c>
      <c r="P16" s="190">
        <f t="shared" ref="P16" si="42">M16^(1/7)</f>
        <v>0.97080976402518337</v>
      </c>
      <c r="Q16" s="256">
        <v>2008</v>
      </c>
      <c r="R16" s="190">
        <f t="shared" ref="R16" si="43">1-K16</f>
        <v>-1.2517293987013289E-4</v>
      </c>
      <c r="S16" s="190">
        <f t="shared" ref="S16" si="44">1-L16</f>
        <v>0.18738545592862821</v>
      </c>
      <c r="T16" s="190">
        <f t="shared" ref="T16" si="45">1-M16</f>
        <v>0.18728373857716551</v>
      </c>
      <c r="U16" s="189">
        <f t="shared" ref="U16" si="46">1-N16</f>
        <v>-4.1722572492686183E-5</v>
      </c>
      <c r="V16" s="190">
        <f t="shared" ref="V16" si="47">1-O16</f>
        <v>5.0552079234631897E-2</v>
      </c>
      <c r="W16" s="191">
        <f t="shared" ref="W16" si="48">1-P16</f>
        <v>2.9190235974816625E-2</v>
      </c>
      <c r="X16" s="283">
        <f t="shared" si="15"/>
        <v>484</v>
      </c>
      <c r="Y16" s="283">
        <f t="shared" si="16"/>
        <v>585</v>
      </c>
      <c r="Z16" s="283">
        <f t="shared" si="17"/>
        <v>0.8273504273504273</v>
      </c>
      <c r="AA16" s="283">
        <f t="shared" si="12"/>
        <v>0.81346236684965123</v>
      </c>
      <c r="AB16" s="283">
        <f t="shared" si="18"/>
        <v>1.2492015087178132</v>
      </c>
      <c r="AC16" s="436">
        <f t="shared" si="19"/>
        <v>0.79423693379916493</v>
      </c>
      <c r="AD16" s="436">
        <f t="shared" si="20"/>
        <v>0.857115115189232</v>
      </c>
      <c r="AE16" s="283">
        <f t="shared" si="21"/>
        <v>376</v>
      </c>
      <c r="AF16" s="283">
        <f t="shared" si="22"/>
        <v>484</v>
      </c>
      <c r="AG16" s="283">
        <f t="shared" si="23"/>
        <v>0.77685950413223137</v>
      </c>
      <c r="AH16" s="283">
        <f t="shared" si="13"/>
        <v>0.81278360170933373</v>
      </c>
      <c r="AI16" s="283">
        <f t="shared" si="24"/>
        <v>1.2470840391067297</v>
      </c>
      <c r="AJ16" s="436">
        <f t="shared" si="25"/>
        <v>0.73710020294515666</v>
      </c>
      <c r="AK16" s="436">
        <f t="shared" si="26"/>
        <v>0.81319748774219824</v>
      </c>
      <c r="AL16" s="283">
        <f t="shared" si="27"/>
        <v>376</v>
      </c>
      <c r="AM16" s="283">
        <f t="shared" si="28"/>
        <v>585</v>
      </c>
      <c r="AN16" s="283">
        <f t="shared" si="29"/>
        <v>0.64273504273504278</v>
      </c>
      <c r="AO16" s="283">
        <f t="shared" si="14"/>
        <v>0.84621178302401812</v>
      </c>
      <c r="AP16" s="283">
        <f t="shared" si="30"/>
        <v>1.1868413062328145</v>
      </c>
      <c r="AQ16" s="436">
        <f t="shared" si="31"/>
        <v>0.60240498064215753</v>
      </c>
      <c r="AR16" s="436">
        <f t="shared" si="32"/>
        <v>0.68161558789974241</v>
      </c>
    </row>
    <row r="17" spans="1:44" ht="15" customHeight="1">
      <c r="A17" s="274">
        <v>2009</v>
      </c>
      <c r="B17" s="291">
        <v>6732</v>
      </c>
      <c r="C17" s="291">
        <v>5039</v>
      </c>
      <c r="D17" s="291">
        <v>4513</v>
      </c>
      <c r="E17" s="190">
        <f t="shared" si="34"/>
        <v>0.74851455733808669</v>
      </c>
      <c r="F17" s="190">
        <f t="shared" si="35"/>
        <v>0.89561420916848589</v>
      </c>
      <c r="G17" s="190">
        <f t="shared" si="36"/>
        <v>0.67038027332144978</v>
      </c>
      <c r="H17" s="27">
        <v>0.13329646864658393</v>
      </c>
      <c r="I17" s="279"/>
      <c r="J17" s="190">
        <v>4.7E-2</v>
      </c>
      <c r="K17" s="189">
        <f t="shared" ref="K17:K18" si="49">(C17/B17)/((1-H17)*(1-J17))</f>
        <v>0.90622655550644649</v>
      </c>
      <c r="L17" s="190">
        <f t="shared" ref="L17:L18" si="50">M17/K17</f>
        <v>0.89561420916848589</v>
      </c>
      <c r="M17" s="191">
        <f t="shared" ref="M17:M18" si="51">(D17/B17)/((1-H17)*(1-I17)*(1-J17))</f>
        <v>0.81162937983738703</v>
      </c>
      <c r="N17" s="190">
        <f t="shared" ref="N17:N18" si="52">K17^(1/3)</f>
        <v>0.96771081518913071</v>
      </c>
      <c r="O17" s="190">
        <f t="shared" ref="O17:O18" si="53">L17^(1/4)</f>
        <v>0.97281496718482829</v>
      </c>
      <c r="P17" s="190">
        <f t="shared" ref="P17:P18" si="54">M17^(1/7)</f>
        <v>0.97062418519765348</v>
      </c>
      <c r="Q17" s="274">
        <v>2009</v>
      </c>
      <c r="R17" s="190">
        <f t="shared" ref="R17:W18" si="55">1-K17</f>
        <v>9.3773444493553515E-2</v>
      </c>
      <c r="S17" s="190">
        <f t="shared" ref="S17" si="56">1-L17</f>
        <v>0.10438579083151411</v>
      </c>
      <c r="T17" s="190">
        <f t="shared" ref="T17" si="57">1-M17</f>
        <v>0.18837062016261297</v>
      </c>
      <c r="U17" s="189">
        <f t="shared" ref="U17" si="58">1-N17</f>
        <v>3.2289184810869287E-2</v>
      </c>
      <c r="V17" s="190">
        <f t="shared" ref="V17" si="59">1-O17</f>
        <v>2.7185032815171706E-2</v>
      </c>
      <c r="W17" s="191">
        <f t="shared" ref="W17" si="60">1-P17</f>
        <v>2.9375814802346523E-2</v>
      </c>
      <c r="X17" s="283">
        <f t="shared" si="15"/>
        <v>5039</v>
      </c>
      <c r="Y17" s="283">
        <f t="shared" si="16"/>
        <v>6732</v>
      </c>
      <c r="Z17" s="283">
        <f t="shared" si="17"/>
        <v>0.74851455733808669</v>
      </c>
      <c r="AA17" s="283">
        <f t="shared" si="12"/>
        <v>0.94679619216058797</v>
      </c>
      <c r="AB17" s="283">
        <f t="shared" si="18"/>
        <v>1.0570116928462545</v>
      </c>
      <c r="AC17" s="436">
        <f t="shared" si="19"/>
        <v>0.7379698951883038</v>
      </c>
      <c r="AD17" s="436">
        <f t="shared" si="20"/>
        <v>0.75884355208318677</v>
      </c>
      <c r="AE17" s="283">
        <f t="shared" si="21"/>
        <v>4513</v>
      </c>
      <c r="AF17" s="283">
        <f t="shared" si="22"/>
        <v>5039</v>
      </c>
      <c r="AG17" s="283">
        <f t="shared" si="23"/>
        <v>0.89561420916848578</v>
      </c>
      <c r="AH17" s="283">
        <f t="shared" si="13"/>
        <v>0.91518249908327909</v>
      </c>
      <c r="AI17" s="283">
        <f t="shared" si="24"/>
        <v>1.0963386946726288</v>
      </c>
      <c r="AJ17" s="436">
        <f t="shared" si="25"/>
        <v>0.88684233161782355</v>
      </c>
      <c r="AK17" s="436">
        <f t="shared" si="26"/>
        <v>0.90392470972281158</v>
      </c>
      <c r="AL17" s="283">
        <f t="shared" si="27"/>
        <v>4513</v>
      </c>
      <c r="AM17" s="283">
        <f t="shared" si="28"/>
        <v>6732</v>
      </c>
      <c r="AN17" s="283">
        <f t="shared" si="29"/>
        <v>0.67038027332144978</v>
      </c>
      <c r="AO17" s="283">
        <f t="shared" si="14"/>
        <v>0.95066672788469975</v>
      </c>
      <c r="AP17" s="283">
        <f t="shared" si="30"/>
        <v>1.0523686728948585</v>
      </c>
      <c r="AQ17" s="436">
        <f t="shared" si="31"/>
        <v>0.65900497661404978</v>
      </c>
      <c r="AR17" s="436">
        <f t="shared" si="32"/>
        <v>0.6816078160503195</v>
      </c>
    </row>
    <row r="18" spans="1:44" ht="15" customHeight="1">
      <c r="A18" s="143">
        <v>2010</v>
      </c>
      <c r="B18" s="277">
        <v>4421</v>
      </c>
      <c r="C18" s="277">
        <v>3395</v>
      </c>
      <c r="D18" s="277">
        <v>3062</v>
      </c>
      <c r="E18" s="149">
        <f t="shared" si="34"/>
        <v>0.76792580864057902</v>
      </c>
      <c r="F18" s="149">
        <f t="shared" si="35"/>
        <v>0.90191458026509574</v>
      </c>
      <c r="G18" s="149">
        <f t="shared" si="36"/>
        <v>0.69260348337480204</v>
      </c>
      <c r="H18" s="285">
        <v>0.12625279419018334</v>
      </c>
      <c r="I18" s="287">
        <v>3.1E-2</v>
      </c>
      <c r="J18" s="190">
        <v>4.7E-2</v>
      </c>
      <c r="K18" s="149">
        <f t="shared" si="49"/>
        <v>0.92223279777034117</v>
      </c>
      <c r="L18" s="149">
        <f t="shared" si="50"/>
        <v>0.93076840068637345</v>
      </c>
      <c r="M18" s="149">
        <f t="shared" si="51"/>
        <v>0.85838514624122009</v>
      </c>
      <c r="N18" s="151">
        <f t="shared" si="52"/>
        <v>0.97337500003807798</v>
      </c>
      <c r="O18" s="149">
        <f t="shared" si="53"/>
        <v>0.98222369704543488</v>
      </c>
      <c r="P18" s="150">
        <f t="shared" si="54"/>
        <v>0.97842159079268876</v>
      </c>
      <c r="Q18" s="143">
        <v>2010</v>
      </c>
      <c r="R18" s="152">
        <f t="shared" si="55"/>
        <v>7.7767202229658827E-2</v>
      </c>
      <c r="S18" s="153">
        <f t="shared" si="55"/>
        <v>6.9231599313626546E-2</v>
      </c>
      <c r="T18" s="154">
        <f t="shared" si="55"/>
        <v>0.14161485375877991</v>
      </c>
      <c r="U18" s="152">
        <f t="shared" si="55"/>
        <v>2.6624999961922025E-2</v>
      </c>
      <c r="V18" s="153">
        <f t="shared" si="55"/>
        <v>1.7776302954565115E-2</v>
      </c>
      <c r="W18" s="154">
        <f t="shared" si="55"/>
        <v>2.1578409207311244E-2</v>
      </c>
      <c r="X18" s="283">
        <f t="shared" si="15"/>
        <v>3395</v>
      </c>
      <c r="Y18" s="283">
        <f t="shared" si="16"/>
        <v>4421</v>
      </c>
      <c r="Z18" s="283">
        <f t="shared" si="17"/>
        <v>0.76792580864057902</v>
      </c>
      <c r="AA18" s="283">
        <f t="shared" si="12"/>
        <v>0.93318358837105342</v>
      </c>
      <c r="AB18" s="283">
        <f t="shared" si="18"/>
        <v>1.0730455486913828</v>
      </c>
      <c r="AC18" s="436">
        <f t="shared" si="19"/>
        <v>0.75519398057535125</v>
      </c>
      <c r="AD18" s="436">
        <f t="shared" si="20"/>
        <v>0.78030273476699663</v>
      </c>
      <c r="AE18" s="283">
        <f t="shared" si="21"/>
        <v>3062</v>
      </c>
      <c r="AF18" s="283">
        <f t="shared" si="22"/>
        <v>3395</v>
      </c>
      <c r="AG18" s="283">
        <f t="shared" si="23"/>
        <v>0.90191458026509574</v>
      </c>
      <c r="AH18" s="283">
        <f t="shared" si="13"/>
        <v>0.89545654124245444</v>
      </c>
      <c r="AI18" s="283">
        <f t="shared" si="24"/>
        <v>1.1227486442937915</v>
      </c>
      <c r="AJ18" s="436">
        <f t="shared" si="25"/>
        <v>0.89141346899537233</v>
      </c>
      <c r="AK18" s="436">
        <f t="shared" si="26"/>
        <v>0.91171743230942381</v>
      </c>
      <c r="AL18" s="283">
        <f t="shared" si="27"/>
        <v>3062</v>
      </c>
      <c r="AM18" s="283">
        <f t="shared" si="28"/>
        <v>4421</v>
      </c>
      <c r="AN18" s="283">
        <f t="shared" si="29"/>
        <v>0.69260348337480204</v>
      </c>
      <c r="AO18" s="283">
        <f t="shared" si="14"/>
        <v>0.93849195251944784</v>
      </c>
      <c r="AP18" s="283">
        <f t="shared" si="30"/>
        <v>1.0664023873545627</v>
      </c>
      <c r="AQ18" s="436">
        <f t="shared" si="31"/>
        <v>0.67876512466028227</v>
      </c>
      <c r="AR18" s="436">
        <f t="shared" si="32"/>
        <v>0.70618697030293431</v>
      </c>
    </row>
    <row r="19" spans="1:44" ht="15" customHeight="1">
      <c r="A19" s="143">
        <v>2011</v>
      </c>
      <c r="B19" s="277">
        <v>4806</v>
      </c>
      <c r="C19" s="277">
        <v>3705</v>
      </c>
      <c r="D19" s="277">
        <v>3304</v>
      </c>
      <c r="E19" s="149">
        <f t="shared" ref="E19:E20" si="61">C19/B19</f>
        <v>0.77091136079900124</v>
      </c>
      <c r="F19" s="149">
        <f t="shared" ref="F19:F20" si="62">G19/E19</f>
        <v>0.89176788124156547</v>
      </c>
      <c r="G19" s="149">
        <f t="shared" ref="G19:G20" si="63">D19/B19</f>
        <v>0.68747399084477734</v>
      </c>
      <c r="H19" s="285">
        <v>0.1025537774448709</v>
      </c>
      <c r="I19" s="287">
        <v>0.01</v>
      </c>
      <c r="J19" s="190">
        <v>4.7E-2</v>
      </c>
      <c r="K19" s="149">
        <f t="shared" ref="K19:K20" si="64">(C19/B19)/((1-H19)*(1-J19))</f>
        <v>0.90137002449627457</v>
      </c>
      <c r="L19" s="149">
        <f t="shared" ref="L19:L20" si="65">M19/K19</f>
        <v>0.90077563761774282</v>
      </c>
      <c r="M19" s="149">
        <f t="shared" ref="M19:M20" si="66">(D19/B19)/((1-H19)*(1-I19)*(1-J19))</f>
        <v>0.81193215854515222</v>
      </c>
      <c r="N19" s="151">
        <f t="shared" ref="N19:N20" si="67">K19^(1/3)</f>
        <v>0.96597904145477154</v>
      </c>
      <c r="O19" s="149">
        <f t="shared" ref="O19:O20" si="68">L19^(1/4)</f>
        <v>0.97421353251206988</v>
      </c>
      <c r="P19" s="150">
        <f t="shared" ref="P19:P20" si="69">M19^(1/7)</f>
        <v>0.97067590432829576</v>
      </c>
      <c r="Q19" s="143">
        <v>2011</v>
      </c>
      <c r="R19" s="152">
        <f t="shared" ref="R19:R20" si="70">1-K19</f>
        <v>9.8629975503725431E-2</v>
      </c>
      <c r="S19" s="153">
        <f t="shared" ref="S19:S20" si="71">1-L19</f>
        <v>9.9224362382257181E-2</v>
      </c>
      <c r="T19" s="154">
        <f t="shared" ref="T19:T20" si="72">1-M19</f>
        <v>0.18806784145484778</v>
      </c>
      <c r="U19" s="152">
        <f t="shared" ref="U19:U20" si="73">1-N19</f>
        <v>3.4020958545228464E-2</v>
      </c>
      <c r="V19" s="153">
        <f t="shared" ref="V19:V20" si="74">1-O19</f>
        <v>2.578646748793012E-2</v>
      </c>
      <c r="W19" s="154">
        <f t="shared" ref="W19:W20" si="75">1-P19</f>
        <v>2.9324095671704242E-2</v>
      </c>
      <c r="X19" s="283">
        <f t="shared" si="15"/>
        <v>3705</v>
      </c>
      <c r="Y19" s="283">
        <f t="shared" si="16"/>
        <v>4806</v>
      </c>
      <c r="Z19" s="283">
        <f t="shared" si="17"/>
        <v>0.77091136079900124</v>
      </c>
      <c r="AA19" s="283">
        <f t="shared" si="12"/>
        <v>0.93552814715403498</v>
      </c>
      <c r="AB19" s="283">
        <f t="shared" si="18"/>
        <v>1.0702669746239193</v>
      </c>
      <c r="AC19" s="436">
        <f t="shared" si="19"/>
        <v>0.7587635270136196</v>
      </c>
      <c r="AD19" s="436">
        <f t="shared" si="20"/>
        <v>0.78272921894344272</v>
      </c>
      <c r="AE19" s="283">
        <f t="shared" si="21"/>
        <v>3304</v>
      </c>
      <c r="AF19" s="283">
        <f t="shared" si="22"/>
        <v>3705</v>
      </c>
      <c r="AG19" s="283">
        <f t="shared" si="23"/>
        <v>0.89176788124156547</v>
      </c>
      <c r="AH19" s="283">
        <f t="shared" si="13"/>
        <v>0.90351620698102597</v>
      </c>
      <c r="AI19" s="283">
        <f t="shared" si="24"/>
        <v>1.1116418818799183</v>
      </c>
      <c r="AJ19" s="436">
        <f t="shared" si="25"/>
        <v>0.88131851753857737</v>
      </c>
      <c r="AK19" s="436">
        <f t="shared" si="26"/>
        <v>0.90159452259160067</v>
      </c>
      <c r="AL19" s="283">
        <f t="shared" si="27"/>
        <v>3304</v>
      </c>
      <c r="AM19" s="283">
        <f t="shared" si="28"/>
        <v>4806</v>
      </c>
      <c r="AN19" s="283">
        <f t="shared" si="29"/>
        <v>0.68747399084477734</v>
      </c>
      <c r="AO19" s="283">
        <f t="shared" si="14"/>
        <v>0.94116590683162482</v>
      </c>
      <c r="AP19" s="283">
        <f t="shared" si="30"/>
        <v>1.0632750196869041</v>
      </c>
      <c r="AQ19" s="436">
        <f t="shared" si="31"/>
        <v>0.6741542646309463</v>
      </c>
      <c r="AR19" s="436">
        <f t="shared" si="32"/>
        <v>0.70056561242374893</v>
      </c>
    </row>
    <row r="20" spans="1:44" ht="15" customHeight="1">
      <c r="A20" s="143">
        <v>2012</v>
      </c>
      <c r="B20" s="277">
        <v>2755</v>
      </c>
      <c r="C20" s="277">
        <v>2218</v>
      </c>
      <c r="D20" s="277">
        <v>1982</v>
      </c>
      <c r="E20" s="149">
        <f t="shared" si="61"/>
        <v>0.8050816696914701</v>
      </c>
      <c r="F20" s="149">
        <f t="shared" si="62"/>
        <v>0.89359783588818753</v>
      </c>
      <c r="G20" s="149">
        <f t="shared" si="63"/>
        <v>0.7194192377495463</v>
      </c>
      <c r="H20" s="285">
        <v>0.14476227729842581</v>
      </c>
      <c r="I20" s="287"/>
      <c r="J20" s="190">
        <v>4.7E-2</v>
      </c>
      <c r="K20" s="149">
        <f t="shared" si="64"/>
        <v>0.98777991128627329</v>
      </c>
      <c r="L20" s="149">
        <f t="shared" si="65"/>
        <v>0.89359783588818753</v>
      </c>
      <c r="M20" s="149">
        <f t="shared" si="66"/>
        <v>0.88267799105923972</v>
      </c>
      <c r="N20" s="151">
        <f t="shared" si="67"/>
        <v>0.9959099312400902</v>
      </c>
      <c r="O20" s="149">
        <f t="shared" si="68"/>
        <v>0.97226695880440839</v>
      </c>
      <c r="P20" s="150">
        <f t="shared" si="69"/>
        <v>0.98233014404769325</v>
      </c>
      <c r="Q20" s="143">
        <v>2012</v>
      </c>
      <c r="R20" s="152">
        <f t="shared" si="70"/>
        <v>1.2220088713726707E-2</v>
      </c>
      <c r="S20" s="153">
        <f t="shared" si="71"/>
        <v>0.10640216411181247</v>
      </c>
      <c r="T20" s="154">
        <f t="shared" si="72"/>
        <v>0.11732200894076028</v>
      </c>
      <c r="U20" s="152">
        <f t="shared" si="73"/>
        <v>4.090068759909804E-3</v>
      </c>
      <c r="V20" s="153">
        <f t="shared" si="74"/>
        <v>2.7733041195591612E-2</v>
      </c>
      <c r="W20" s="154">
        <f t="shared" si="75"/>
        <v>1.7669855952306746E-2</v>
      </c>
      <c r="X20" s="283">
        <f t="shared" si="15"/>
        <v>2218</v>
      </c>
      <c r="Y20" s="283">
        <f t="shared" si="16"/>
        <v>2755</v>
      </c>
      <c r="Z20" s="283">
        <f t="shared" si="17"/>
        <v>0.8050816696914701</v>
      </c>
      <c r="AA20" s="283">
        <f t="shared" si="12"/>
        <v>0.91132081175955204</v>
      </c>
      <c r="AB20" s="283">
        <f t="shared" si="18"/>
        <v>1.1003994708829243</v>
      </c>
      <c r="AC20" s="436">
        <f t="shared" si="19"/>
        <v>0.78978705495144053</v>
      </c>
      <c r="AD20" s="436">
        <f t="shared" si="20"/>
        <v>0.81972524269184621</v>
      </c>
      <c r="AE20" s="283">
        <f t="shared" si="21"/>
        <v>1982</v>
      </c>
      <c r="AF20" s="283">
        <f t="shared" si="22"/>
        <v>2218</v>
      </c>
      <c r="AG20" s="283">
        <f t="shared" si="23"/>
        <v>0.89359783588818753</v>
      </c>
      <c r="AH20" s="283">
        <f t="shared" si="13"/>
        <v>0.87702407935123061</v>
      </c>
      <c r="AI20" s="283">
        <f t="shared" si="24"/>
        <v>1.1488162054693802</v>
      </c>
      <c r="AJ20" s="436">
        <f t="shared" si="25"/>
        <v>0.88001590018805853</v>
      </c>
      <c r="AK20" s="436">
        <f t="shared" si="26"/>
        <v>0.90612952468219277</v>
      </c>
      <c r="AL20" s="283">
        <f t="shared" si="27"/>
        <v>1982</v>
      </c>
      <c r="AM20" s="283">
        <f t="shared" si="28"/>
        <v>2755</v>
      </c>
      <c r="AN20" s="283">
        <f t="shared" si="29"/>
        <v>0.7194192377495463</v>
      </c>
      <c r="AO20" s="283">
        <f t="shared" si="14"/>
        <v>0.92096678549744659</v>
      </c>
      <c r="AP20" s="283">
        <f t="shared" si="30"/>
        <v>1.0875200609216429</v>
      </c>
      <c r="AQ20" s="436">
        <f t="shared" si="31"/>
        <v>0.70223395728771465</v>
      </c>
      <c r="AR20" s="436">
        <f t="shared" si="32"/>
        <v>0.73613715479182384</v>
      </c>
    </row>
    <row r="21" spans="1:44" ht="15" customHeight="1">
      <c r="A21" s="143">
        <v>2013</v>
      </c>
      <c r="B21" s="277">
        <v>2827</v>
      </c>
      <c r="C21" s="277">
        <v>2104</v>
      </c>
      <c r="D21" s="277">
        <v>1977</v>
      </c>
      <c r="E21" s="149">
        <f t="shared" ref="E21:E22" si="76">C21/B21</f>
        <v>0.744251857092324</v>
      </c>
      <c r="F21" s="149">
        <f t="shared" ref="F21:F22" si="77">G21/E21</f>
        <v>0.93963878326996197</v>
      </c>
      <c r="G21" s="149">
        <f t="shared" ref="G21:G22" si="78">D21/B21</f>
        <v>0.69932790944464096</v>
      </c>
      <c r="H21" s="285">
        <v>0.14202185428995723</v>
      </c>
      <c r="I21" s="287"/>
      <c r="J21" s="190">
        <v>4.7E-2</v>
      </c>
      <c r="K21" s="149">
        <f t="shared" ref="K21" si="79">(C21/B21)/((1-H21)*(1-J21))</f>
        <v>0.91022927788263508</v>
      </c>
      <c r="L21" s="149">
        <f t="shared" ref="L21" si="80">M21/K21</f>
        <v>0.93963878326996197</v>
      </c>
      <c r="M21" s="149">
        <f t="shared" ref="M21" si="81">(D21/B21)/((1-H21)*(1-I21)*(1-J21))</f>
        <v>0.85528673116633536</v>
      </c>
      <c r="N21" s="151">
        <f t="shared" ref="N21" si="82">K21^(1/3)</f>
        <v>0.96913348693613299</v>
      </c>
      <c r="O21" s="149">
        <f t="shared" ref="O21" si="83">L21^(1/4)</f>
        <v>0.98455556992938564</v>
      </c>
      <c r="P21" s="150">
        <f t="shared" ref="P21" si="84">M21^(1/7)</f>
        <v>0.97791628042026046</v>
      </c>
      <c r="Q21" s="143">
        <v>2013</v>
      </c>
      <c r="R21" s="152">
        <f t="shared" ref="R21" si="85">1-K21</f>
        <v>8.9770722117364921E-2</v>
      </c>
      <c r="S21" s="153">
        <f t="shared" ref="S21" si="86">1-L21</f>
        <v>6.0361216730038025E-2</v>
      </c>
      <c r="T21" s="154">
        <f t="shared" ref="T21" si="87">1-M21</f>
        <v>0.14471326883366464</v>
      </c>
      <c r="U21" s="152">
        <f t="shared" ref="U21" si="88">1-N21</f>
        <v>3.0866513063867007E-2</v>
      </c>
      <c r="V21" s="153">
        <f t="shared" ref="V21" si="89">1-O21</f>
        <v>1.5444430070614357E-2</v>
      </c>
      <c r="W21" s="154">
        <f t="shared" ref="W21:W23" si="90">1-P21</f>
        <v>2.2083719579739536E-2</v>
      </c>
      <c r="X21" s="283">
        <f t="shared" si="15"/>
        <v>2104</v>
      </c>
      <c r="Y21" s="283">
        <f t="shared" si="16"/>
        <v>2827</v>
      </c>
      <c r="Z21" s="283">
        <f t="shared" si="17"/>
        <v>0.744251857092324</v>
      </c>
      <c r="AA21" s="283">
        <f t="shared" si="12"/>
        <v>0.91980551405248101</v>
      </c>
      <c r="AB21" s="283">
        <f t="shared" si="18"/>
        <v>1.0891507289976963</v>
      </c>
      <c r="AC21" s="436">
        <f t="shared" si="19"/>
        <v>0.72774491429246912</v>
      </c>
      <c r="AD21" s="436">
        <f t="shared" si="20"/>
        <v>0.76025166886011297</v>
      </c>
      <c r="AE21" s="283">
        <f t="shared" si="21"/>
        <v>1977</v>
      </c>
      <c r="AF21" s="283">
        <f t="shared" si="22"/>
        <v>2104</v>
      </c>
      <c r="AG21" s="283">
        <f t="shared" si="23"/>
        <v>0.93963878326996197</v>
      </c>
      <c r="AH21" s="283">
        <f t="shared" si="13"/>
        <v>0.84201198582649706</v>
      </c>
      <c r="AI21" s="283">
        <f t="shared" si="24"/>
        <v>1.2055523093024128</v>
      </c>
      <c r="AJ21" s="436">
        <f t="shared" si="25"/>
        <v>0.92859763451376698</v>
      </c>
      <c r="AK21" s="436">
        <f t="shared" si="26"/>
        <v>0.9494342703740738</v>
      </c>
      <c r="AL21" s="283">
        <f t="shared" si="27"/>
        <v>1977</v>
      </c>
      <c r="AM21" s="283">
        <f t="shared" si="28"/>
        <v>2827</v>
      </c>
      <c r="AN21" s="283">
        <f t="shared" si="29"/>
        <v>0.69932790944464096</v>
      </c>
      <c r="AO21" s="283">
        <f t="shared" si="14"/>
        <v>0.92336944206850013</v>
      </c>
      <c r="AP21" s="283">
        <f t="shared" si="30"/>
        <v>1.0844339251228035</v>
      </c>
      <c r="AQ21" s="436">
        <f t="shared" si="31"/>
        <v>0.6820476147917941</v>
      </c>
      <c r="AR21" s="436">
        <f t="shared" si="32"/>
        <v>0.7161946324875168</v>
      </c>
    </row>
    <row r="22" spans="1:44" ht="15" customHeight="1">
      <c r="A22" s="143">
        <v>2014</v>
      </c>
      <c r="B22" s="139">
        <v>3852</v>
      </c>
      <c r="C22" s="139">
        <v>2977</v>
      </c>
      <c r="D22" s="139">
        <v>2964</v>
      </c>
      <c r="E22" s="129">
        <f t="shared" si="76"/>
        <v>0.77284527518172375</v>
      </c>
      <c r="F22" s="129">
        <f t="shared" si="77"/>
        <v>0.99563318777292575</v>
      </c>
      <c r="G22" s="129">
        <f t="shared" si="78"/>
        <v>0.76947040498442365</v>
      </c>
      <c r="H22" s="285">
        <v>0.14226839026391092</v>
      </c>
      <c r="I22" s="287"/>
      <c r="J22" s="190">
        <v>4.7E-2</v>
      </c>
      <c r="K22" s="149">
        <f t="shared" ref="K22" si="91">(C22/B22)/((1-H22)*(1-J22))</f>
        <v>0.94547106048801655</v>
      </c>
      <c r="L22" s="149">
        <f t="shared" ref="L22" si="92">M22/K22</f>
        <v>0.99563318777292575</v>
      </c>
      <c r="M22" s="149">
        <f t="shared" ref="M22" si="93">(D22/B22)/((1-H22)*(1-I22)*(1-J22))</f>
        <v>0.94134236590073261</v>
      </c>
      <c r="N22" s="151">
        <f t="shared" ref="N22" si="94">K22^(1/3)</f>
        <v>0.98148292100726553</v>
      </c>
      <c r="O22" s="149">
        <f t="shared" ref="O22" si="95">L22^(1/4)</f>
        <v>0.99890650465228825</v>
      </c>
      <c r="P22" s="150">
        <f t="shared" ref="P22" si="96">M22^(1/7)</f>
        <v>0.99140169673866196</v>
      </c>
      <c r="Q22" s="143">
        <v>2014</v>
      </c>
      <c r="R22" s="152">
        <f t="shared" ref="R22" si="97">1-K22</f>
        <v>5.4528939511983454E-2</v>
      </c>
      <c r="S22" s="153">
        <f t="shared" ref="S22" si="98">1-L22</f>
        <v>4.366812227074246E-3</v>
      </c>
      <c r="T22" s="154">
        <f t="shared" ref="T22" si="99">1-M22</f>
        <v>5.8657634099267386E-2</v>
      </c>
      <c r="U22" s="152">
        <f t="shared" ref="U22" si="100">1-N22</f>
        <v>1.851707899273447E-2</v>
      </c>
      <c r="V22" s="153">
        <f t="shared" ref="V22" si="101">1-O22</f>
        <v>1.0934953477117482E-3</v>
      </c>
      <c r="W22" s="154">
        <f t="shared" si="90"/>
        <v>8.5983032613380361E-3</v>
      </c>
      <c r="X22" s="451">
        <f t="shared" si="15"/>
        <v>2977</v>
      </c>
      <c r="Y22" s="451">
        <f t="shared" si="16"/>
        <v>3852</v>
      </c>
      <c r="Z22" s="451">
        <f t="shared" si="17"/>
        <v>0.77284527518172375</v>
      </c>
      <c r="AA22" s="451">
        <f t="shared" si="12"/>
        <v>0.92814133133403487</v>
      </c>
      <c r="AB22" s="451">
        <f t="shared" si="18"/>
        <v>1.0791485236969269</v>
      </c>
      <c r="AC22" s="445">
        <f t="shared" si="19"/>
        <v>0.7592796025548989</v>
      </c>
      <c r="AD22" s="445">
        <f t="shared" si="20"/>
        <v>0.78599577395799369</v>
      </c>
      <c r="AE22" s="451">
        <f t="shared" si="21"/>
        <v>2964</v>
      </c>
      <c r="AF22" s="451">
        <f t="shared" si="22"/>
        <v>2977</v>
      </c>
      <c r="AG22" s="451">
        <f t="shared" si="23"/>
        <v>0.99563318777292575</v>
      </c>
      <c r="AH22" s="451">
        <f t="shared" si="13"/>
        <v>0.62878926170286797</v>
      </c>
      <c r="AI22" s="451">
        <f t="shared" si="24"/>
        <v>1.8796896951624567</v>
      </c>
      <c r="AJ22" s="445">
        <f t="shared" si="25"/>
        <v>0.99254419444064568</v>
      </c>
      <c r="AK22" s="445">
        <f t="shared" si="26"/>
        <v>0.99767286993754334</v>
      </c>
      <c r="AL22" s="451">
        <f t="shared" si="27"/>
        <v>2964</v>
      </c>
      <c r="AM22" s="451">
        <f t="shared" si="28"/>
        <v>3852</v>
      </c>
      <c r="AN22" s="451">
        <f t="shared" si="29"/>
        <v>0.76947040498442365</v>
      </c>
      <c r="AO22" s="451">
        <f t="shared" si="14"/>
        <v>0.92848640698565221</v>
      </c>
      <c r="AP22" s="451">
        <f t="shared" si="30"/>
        <v>1.0787083319721025</v>
      </c>
      <c r="AQ22" s="445">
        <f t="shared" si="31"/>
        <v>0.75583856928217918</v>
      </c>
      <c r="AR22" s="445">
        <f t="shared" si="32"/>
        <v>0.78269222914111725</v>
      </c>
    </row>
    <row r="23" spans="1:44" ht="15" customHeight="1">
      <c r="A23" s="143">
        <v>2015</v>
      </c>
      <c r="B23" s="139">
        <v>2508</v>
      </c>
      <c r="C23" s="139">
        <v>2000</v>
      </c>
      <c r="D23" s="139">
        <v>1899</v>
      </c>
      <c r="E23" s="129">
        <f t="shared" ref="E23" si="102">C23/B23</f>
        <v>0.79744816586921852</v>
      </c>
      <c r="F23" s="129">
        <f t="shared" ref="F23" si="103">G23/E23</f>
        <v>0.94950000000000001</v>
      </c>
      <c r="G23" s="129">
        <f t="shared" ref="G23" si="104">D23/B23</f>
        <v>0.75717703349282295</v>
      </c>
      <c r="H23" s="285">
        <v>0.15062591320143742</v>
      </c>
      <c r="I23" s="285"/>
      <c r="J23" s="190">
        <v>4.7E-2</v>
      </c>
      <c r="K23" s="149">
        <f t="shared" ref="K23" si="105">(C23/B23)/((1-H23)*(1-J23))</f>
        <v>0.98516858747312641</v>
      </c>
      <c r="L23" s="149">
        <f t="shared" ref="L23" si="106">M23/K23</f>
        <v>0.9494999999999999</v>
      </c>
      <c r="M23" s="149">
        <f t="shared" ref="M23" si="107">(D23/B23)/((1-H23)*(1-I23)*(1-J23))</f>
        <v>0.93541757380573343</v>
      </c>
      <c r="N23" s="151">
        <f t="shared" ref="N23" si="108">K23^(1/3)</f>
        <v>0.99503155122398856</v>
      </c>
      <c r="O23" s="149">
        <f t="shared" ref="O23" si="109">L23^(1/4)</f>
        <v>0.98712861681480135</v>
      </c>
      <c r="P23" s="150">
        <f t="shared" ref="P23" si="110">M23^(1/7)</f>
        <v>0.99050787358861203</v>
      </c>
      <c r="Q23" s="143">
        <v>2015</v>
      </c>
      <c r="R23" s="152">
        <f t="shared" ref="R23" si="111">1-K23</f>
        <v>1.4831412526873589E-2</v>
      </c>
      <c r="S23" s="153">
        <f t="shared" ref="S23" si="112">1-L23</f>
        <v>5.05000000000001E-2</v>
      </c>
      <c r="T23" s="154">
        <f t="shared" ref="T23" si="113">1-M23</f>
        <v>6.4582426194266573E-2</v>
      </c>
      <c r="U23" s="152">
        <f t="shared" ref="U23" si="114">1-N23</f>
        <v>4.968448776011436E-3</v>
      </c>
      <c r="V23" s="153">
        <f t="shared" ref="V23" si="115">1-O23</f>
        <v>1.2871383185198648E-2</v>
      </c>
      <c r="W23" s="154">
        <f t="shared" si="90"/>
        <v>9.4921264113879689E-3</v>
      </c>
      <c r="X23" s="451">
        <f t="shared" ref="X23" si="116">C23</f>
        <v>2000</v>
      </c>
      <c r="Y23" s="451">
        <f t="shared" ref="Y23" si="117">B23</f>
        <v>2508</v>
      </c>
      <c r="Z23" s="451">
        <f t="shared" ref="Z23" si="118">X23/Y23</f>
        <v>0.79744816586921852</v>
      </c>
      <c r="AA23" s="451">
        <f t="shared" ref="AA23" si="119">_xlfn.F.INV(0.05/2, 2*X23, 2*(Y23-X23+1))</f>
        <v>0.9085378257468526</v>
      </c>
      <c r="AB23" s="451">
        <f t="shared" ref="AB23" si="120">_xlfn.F.INV(1-0.05/2, 2*(X23+1), 2*(Y23-X23))</f>
        <v>1.1038983218858942</v>
      </c>
      <c r="AC23" s="445">
        <f t="shared" ref="AC23" si="121">IF(X23=0, 0, 1/(1 +(Y23-X23+1)/(X23*AA23)))</f>
        <v>0.78117650658819182</v>
      </c>
      <c r="AD23" s="445">
        <f t="shared" ref="AD23" si="122">IF(X23=Y23, 1, 1/(1 + (Y23-X23)/(AB23*(X23+1))))</f>
        <v>0.81302223171977817</v>
      </c>
      <c r="AE23" s="451">
        <f t="shared" ref="AE23" si="123">D23</f>
        <v>1899</v>
      </c>
      <c r="AF23" s="451">
        <f t="shared" ref="AF23" si="124">C23</f>
        <v>2000</v>
      </c>
      <c r="AG23" s="451">
        <f t="shared" ref="AG23" si="125">AE23/AF23</f>
        <v>0.94950000000000001</v>
      </c>
      <c r="AH23" s="451">
        <f t="shared" ref="AH23" si="126">_xlfn.F.INV(0.05/2, 2*AE23, 2*(AF23-AE23+1))</f>
        <v>0.82644675747144392</v>
      </c>
      <c r="AI23" s="451">
        <f t="shared" ref="AI23" si="127">_xlfn.F.INV(1-0.05/2, 2*(AE23+1), 2*(AF23-AE23))</f>
        <v>1.2333843192321388</v>
      </c>
      <c r="AJ23" s="445">
        <f t="shared" ref="AJ23" si="128">IF(AE23=0, 0, 1/(1 +(AF23-AE23+1)/(AE23*AH23)))</f>
        <v>0.93897413337199431</v>
      </c>
      <c r="AK23" s="445">
        <f t="shared" ref="AK23" si="129">IF(AE23=AF23, 1, 1/(1 + (AF23-AE23)/(AI23*(AE23+1))))</f>
        <v>0.95868157751866523</v>
      </c>
      <c r="AL23" s="451">
        <f t="shared" ref="AL23" si="130">D23</f>
        <v>1899</v>
      </c>
      <c r="AM23" s="451">
        <f t="shared" ref="AM23" si="131">B23</f>
        <v>2508</v>
      </c>
      <c r="AN23" s="451">
        <f t="shared" ref="AN23" si="132">AL23/AM23</f>
        <v>0.75717703349282295</v>
      </c>
      <c r="AO23" s="451">
        <f t="shared" ref="AO23" si="133">_xlfn.F.INV(0.05/2, 2*AL23, 2*(AM23-AL23+1))</f>
        <v>0.91377982876755492</v>
      </c>
      <c r="AP23" s="451">
        <f t="shared" ref="AP23" si="134">_xlfn.F.INV(1-0.05/2, 2*(AL23+1), 2*(AM23-AL23))</f>
        <v>1.0967894820473612</v>
      </c>
      <c r="AQ23" s="445">
        <f t="shared" ref="AQ23" si="135">IF(AL23=0, 0, 1/(1 +(AM23-AL23+1)/(AL23*AO23)))</f>
        <v>0.7399017820758067</v>
      </c>
      <c r="AR23" s="445">
        <f t="shared" ref="AR23" si="136">IF(AL23=AM23, 1, 1/(1 + (AM23-AL23)/(AP23*(AL23+1))))</f>
        <v>0.77384975438877202</v>
      </c>
    </row>
    <row r="24" spans="1:44" ht="26.4" customHeight="1">
      <c r="A24" s="143">
        <v>2016</v>
      </c>
      <c r="B24" s="139">
        <v>1647</v>
      </c>
      <c r="C24" s="139">
        <v>1278</v>
      </c>
      <c r="D24" s="139">
        <v>1161</v>
      </c>
      <c r="E24" s="129">
        <f t="shared" ref="E24:E26" si="137">C24/B24</f>
        <v>0.77595628415300544</v>
      </c>
      <c r="F24" s="129">
        <f t="shared" ref="F24:F26" si="138">G24/E24</f>
        <v>0.90845070422535212</v>
      </c>
      <c r="G24" s="129">
        <f t="shared" ref="G24:G26" si="139">D24/B24</f>
        <v>0.70491803278688525</v>
      </c>
      <c r="H24" s="285">
        <v>0.16091754653504534</v>
      </c>
      <c r="I24" s="285"/>
      <c r="J24" s="190">
        <v>4.7E-2</v>
      </c>
      <c r="K24" s="149">
        <f t="shared" ref="K24" si="140">(C24/B24)/((1-H24)*(1-J24))</f>
        <v>0.97037525793134516</v>
      </c>
      <c r="L24" s="149">
        <f t="shared" ref="L24" si="141">M24/K24</f>
        <v>0.90845070422535223</v>
      </c>
      <c r="M24" s="149">
        <f t="shared" ref="M24" si="142">(D24/B24)/((1-H24)*(1-I24)*(1-J24))</f>
        <v>0.88153808643058829</v>
      </c>
      <c r="N24" s="151">
        <f t="shared" ref="N24" si="143">K24^(1/3)</f>
        <v>0.99002593474600309</v>
      </c>
      <c r="O24" s="149">
        <f t="shared" ref="O24" si="144">L24^(1/4)</f>
        <v>0.97628213332735714</v>
      </c>
      <c r="P24" s="150">
        <f t="shared" ref="P24" si="145">M24^(1/7)</f>
        <v>0.98214881551699507</v>
      </c>
      <c r="Q24" s="143">
        <v>2016</v>
      </c>
      <c r="R24" s="152">
        <f t="shared" ref="R24" si="146">1-K24</f>
        <v>2.9624742068654841E-2</v>
      </c>
      <c r="S24" s="153">
        <f t="shared" ref="S24" si="147">1-L24</f>
        <v>9.1549295774647765E-2</v>
      </c>
      <c r="T24" s="154">
        <f t="shared" ref="T24" si="148">1-M24</f>
        <v>0.11846191356941171</v>
      </c>
      <c r="U24" s="152">
        <f t="shared" ref="U24" si="149">1-N24</f>
        <v>9.974065253996911E-3</v>
      </c>
      <c r="V24" s="153">
        <f t="shared" ref="V24" si="150">1-O24</f>
        <v>2.3717866672642862E-2</v>
      </c>
      <c r="W24" s="154">
        <f t="shared" ref="W24" si="151">1-P24</f>
        <v>1.7851184483004934E-2</v>
      </c>
      <c r="X24" s="451">
        <f t="shared" ref="X24" si="152">C24</f>
        <v>1278</v>
      </c>
      <c r="Y24" s="451">
        <f t="shared" ref="Y24" si="153">B24</f>
        <v>1647</v>
      </c>
      <c r="Z24" s="451">
        <f t="shared" ref="Z24" si="154">X24/Y24</f>
        <v>0.77595628415300544</v>
      </c>
      <c r="AA24" s="451">
        <f t="shared" ref="AA24" si="155">_xlfn.F.INV(0.05/2, 2*X24, 2*(Y24-X24+1))</f>
        <v>0.89234160026823939</v>
      </c>
      <c r="AB24" s="451">
        <f t="shared" ref="AB24" si="156">_xlfn.F.INV(1-0.05/2, 2*(X24+1), 2*(Y24-X24))</f>
        <v>1.124982831000765</v>
      </c>
      <c r="AC24" s="445">
        <f t="shared" ref="AC24" si="157">IF(X24=0, 0, 1/(1 +(Y24-X24+1)/(X24*AA24)))</f>
        <v>0.75503381755499599</v>
      </c>
      <c r="AD24" s="445">
        <f t="shared" ref="AD24" si="158">IF(X24=Y24, 1, 1/(1 + (Y24-X24)/(AB24*(X24+1))))</f>
        <v>0.79589048907066517</v>
      </c>
      <c r="AE24" s="451">
        <f t="shared" ref="AE24" si="159">D24</f>
        <v>1161</v>
      </c>
      <c r="AF24" s="451">
        <f t="shared" ref="AF24" si="160">C24</f>
        <v>1278</v>
      </c>
      <c r="AG24" s="451">
        <f t="shared" ref="AG24" si="161">AE24/AF24</f>
        <v>0.90845070422535212</v>
      </c>
      <c r="AH24" s="451">
        <f t="shared" ref="AH24" si="162">_xlfn.F.INV(0.05/2, 2*AE24, 2*(AF24-AE24+1))</f>
        <v>0.83333327117236711</v>
      </c>
      <c r="AI24" s="451">
        <f t="shared" ref="AI24" si="163">_xlfn.F.INV(1-0.05/2, 2*(AE24+1), 2*(AF24-AE24))</f>
        <v>1.2189392270841348</v>
      </c>
      <c r="AJ24" s="445">
        <f t="shared" ref="AJ24" si="164">IF(AE24=0, 0, 1/(1 +(AF24-AE24+1)/(AE24*AH24)))</f>
        <v>0.89129432718086887</v>
      </c>
      <c r="AK24" s="445">
        <f t="shared" ref="AK24" si="165">IF(AE24=AF24, 1, 1/(1 + (AF24-AE24)/(AI24*(AE24+1))))</f>
        <v>0.92369933692559703</v>
      </c>
      <c r="AL24" s="451">
        <f t="shared" ref="AL24" si="166">D24</f>
        <v>1161</v>
      </c>
      <c r="AM24" s="451">
        <f t="shared" ref="AM24" si="167">B24</f>
        <v>1647</v>
      </c>
      <c r="AN24" s="451">
        <f t="shared" ref="AN24" si="168">AL24/AM24</f>
        <v>0.70491803278688525</v>
      </c>
      <c r="AO24" s="451">
        <f t="shared" ref="AO24" si="169">_xlfn.F.INV(0.05/2, 2*AL24, 2*(AM24-AL24+1))</f>
        <v>0.90059229263603413</v>
      </c>
      <c r="AP24" s="451">
        <f t="shared" ref="AP24" si="170">_xlfn.F.INV(1-0.05/2, 2*(AL24+1), 2*(AM24-AL24))</f>
        <v>1.1130384125798209</v>
      </c>
      <c r="AQ24" s="445">
        <f t="shared" ref="AQ24" si="171">IF(AL24=0, 0, 1/(1 +(AM24-AL24+1)/(AL24*AO24)))</f>
        <v>0.68223677161709095</v>
      </c>
      <c r="AR24" s="445">
        <f t="shared" ref="AR24" si="172">IF(AL24=AM24, 1, 1/(1 + (AM24-AL24)/(AP24*(AL24+1))))</f>
        <v>0.72686664993046857</v>
      </c>
    </row>
    <row r="25" spans="1:44" ht="26.4" customHeight="1">
      <c r="A25" s="143">
        <v>2017</v>
      </c>
      <c r="B25" s="139">
        <v>1299</v>
      </c>
      <c r="C25" s="139">
        <v>1002</v>
      </c>
      <c r="D25" s="139">
        <v>962</v>
      </c>
      <c r="E25" s="129">
        <f t="shared" si="137"/>
        <v>0.77136258660508084</v>
      </c>
      <c r="F25" s="129">
        <f t="shared" si="138"/>
        <v>0.96007984031936133</v>
      </c>
      <c r="G25" s="129">
        <f t="shared" si="139"/>
        <v>0.74056966897613552</v>
      </c>
      <c r="H25" s="285">
        <v>0.10504278782531981</v>
      </c>
      <c r="I25" s="285"/>
      <c r="J25" s="190">
        <v>4.7E-2</v>
      </c>
      <c r="K25" s="149">
        <f t="shared" ref="K25:K33" si="173">(C25/B25)/((1-H25)*(1-J25))</f>
        <v>0.90440592235312356</v>
      </c>
      <c r="L25" s="149">
        <f t="shared" ref="L25:L33" si="174">M25/K25</f>
        <v>0.96007984031936133</v>
      </c>
      <c r="M25" s="149">
        <f t="shared" ref="M25:M33" si="175">(D25/B25)/((1-H25)*(1-I25)*(1-J25))</f>
        <v>0.86830189351667153</v>
      </c>
      <c r="N25" s="151">
        <f t="shared" ref="N25:N33" si="176">K25^(1/3)</f>
        <v>0.96706232849955287</v>
      </c>
      <c r="O25" s="149">
        <f t="shared" ref="O25:O33" si="177">L25^(1/4)</f>
        <v>0.98986698076486157</v>
      </c>
      <c r="P25" s="150">
        <f t="shared" ref="P25:P33" si="178">M25^(1/7)</f>
        <v>0.98002843861567912</v>
      </c>
      <c r="Q25" s="143">
        <v>2017</v>
      </c>
      <c r="R25" s="152">
        <f t="shared" ref="R25:R33" si="179">1-K25</f>
        <v>9.5594077646876441E-2</v>
      </c>
      <c r="S25" s="153">
        <f t="shared" ref="S25:S33" si="180">1-L25</f>
        <v>3.9920159680638667E-2</v>
      </c>
      <c r="T25" s="154">
        <f t="shared" ref="T25:T33" si="181">1-M25</f>
        <v>0.13169810648332847</v>
      </c>
      <c r="U25" s="152">
        <f t="shared" ref="U25:U33" si="182">1-N25</f>
        <v>3.293767150044713E-2</v>
      </c>
      <c r="V25" s="153">
        <f t="shared" ref="V25:V33" si="183">1-O25</f>
        <v>1.013301923513843E-2</v>
      </c>
      <c r="W25" s="154">
        <f t="shared" ref="W25:W33" si="184">1-P25</f>
        <v>1.9971561384320879E-2</v>
      </c>
      <c r="X25" s="451">
        <f t="shared" ref="X25:X33" si="185">C25</f>
        <v>1002</v>
      </c>
      <c r="Y25" s="451">
        <f t="shared" ref="Y25:Y33" si="186">B25</f>
        <v>1299</v>
      </c>
      <c r="Z25" s="451">
        <f t="shared" ref="Z25:Z33" si="187">X25/Y25</f>
        <v>0.77136258660508084</v>
      </c>
      <c r="AA25" s="451">
        <f t="shared" ref="AA25:AA33" si="188">_xlfn.F.INV(0.05/2, 2*X25, 2*(Y25-X25+1))</f>
        <v>0.88062526794758955</v>
      </c>
      <c r="AB25" s="451">
        <f t="shared" ref="AB25:AB33" si="189">_xlfn.F.INV(1-0.05/2, 2*(X25+1), 2*(Y25-X25))</f>
        <v>1.1409760953876746</v>
      </c>
      <c r="AC25" s="445">
        <f t="shared" ref="AC25:AC33" si="190">IF(X25=0, 0, 1/(1 +(Y25-X25+1)/(X25*AA25)))</f>
        <v>0.74754032231505074</v>
      </c>
      <c r="AD25" s="445">
        <f t="shared" ref="AD25:AD33" si="191">IF(X25=Y25, 1, 1/(1 + (Y25-X25)/(AB25*(X25+1))))</f>
        <v>0.79395018650490945</v>
      </c>
      <c r="AE25" s="451">
        <f t="shared" ref="AE25:AE33" si="192">D25</f>
        <v>962</v>
      </c>
      <c r="AF25" s="451">
        <f t="shared" ref="AF25:AF33" si="193">C25</f>
        <v>1002</v>
      </c>
      <c r="AG25" s="451">
        <f t="shared" ref="AG25:AG33" si="194">AE25/AF25</f>
        <v>0.96007984031936133</v>
      </c>
      <c r="AH25" s="451">
        <f t="shared" ref="AH25:AH33" si="195">_xlfn.F.INV(0.05/2, 2*AE25, 2*(AF25-AE25+1))</f>
        <v>0.74713493574046119</v>
      </c>
      <c r="AI25" s="451">
        <f t="shared" ref="AI25:AI33" si="196">_xlfn.F.INV(1-0.05/2, 2*(AE25+1), 2*(AF25-AE25))</f>
        <v>1.4072560753029077</v>
      </c>
      <c r="AJ25" s="445">
        <f t="shared" ref="AJ25:AJ33" si="197">IF(AE25=0, 0, 1/(1 +(AF25-AE25+1)/(AE25*AH25)))</f>
        <v>0.94603444008567594</v>
      </c>
      <c r="AK25" s="445">
        <f t="shared" ref="AK25:AK33" si="198">IF(AE25=AF25, 1, 1/(1 + (AF25-AE25)/(AI25*(AE25+1))))</f>
        <v>0.97133002043224415</v>
      </c>
      <c r="AL25" s="451">
        <f t="shared" ref="AL25:AL33" si="199">D25</f>
        <v>962</v>
      </c>
      <c r="AM25" s="451">
        <f t="shared" ref="AM25:AM33" si="200">B25</f>
        <v>1299</v>
      </c>
      <c r="AN25" s="451">
        <f t="shared" ref="AN25:AN33" si="201">AL25/AM25</f>
        <v>0.74056966897613552</v>
      </c>
      <c r="AO25" s="451">
        <f t="shared" ref="AO25:AO33" si="202">_xlfn.F.INV(0.05/2, 2*AL25, 2*(AM25-AL25+1))</f>
        <v>0.88502312242352066</v>
      </c>
      <c r="AP25" s="451">
        <f t="shared" ref="AP25:AP33" si="203">_xlfn.F.INV(1-0.05/2, 2*(AL25+1), 2*(AM25-AL25))</f>
        <v>1.1342947427846946</v>
      </c>
      <c r="AQ25" s="445">
        <f t="shared" ref="AQ25:AQ33" si="204">IF(AL25=0, 0, 1/(1 +(AM25-AL25+1)/(AL25*AO25)))</f>
        <v>0.71582125092035187</v>
      </c>
      <c r="AR25" s="445">
        <f t="shared" ref="AR25:AR33" si="205">IF(AL25=AM25, 1, 1/(1 + (AM25-AL25)/(AP25*(AL25+1))))</f>
        <v>0.76422450976174738</v>
      </c>
    </row>
    <row r="26" spans="1:44" ht="26.4" customHeight="1">
      <c r="A26" s="143">
        <v>2018</v>
      </c>
      <c r="B26" s="139">
        <v>850</v>
      </c>
      <c r="C26" s="139">
        <v>676</v>
      </c>
      <c r="D26" s="139">
        <v>627</v>
      </c>
      <c r="E26" s="129">
        <f t="shared" si="137"/>
        <v>0.79529411764705882</v>
      </c>
      <c r="F26" s="129">
        <f t="shared" si="138"/>
        <v>0.9275147928994083</v>
      </c>
      <c r="G26" s="129">
        <f t="shared" si="139"/>
        <v>0.73764705882352943</v>
      </c>
      <c r="H26" s="285">
        <v>0.09</v>
      </c>
      <c r="I26" s="285"/>
      <c r="J26" s="190">
        <v>4.7E-2</v>
      </c>
      <c r="K26" s="149">
        <f t="shared" si="173"/>
        <v>0.91705097568933136</v>
      </c>
      <c r="L26" s="149">
        <f t="shared" si="174"/>
        <v>0.9275147928994083</v>
      </c>
      <c r="M26" s="149">
        <f t="shared" si="175"/>
        <v>0.85057834579469049</v>
      </c>
      <c r="N26" s="151">
        <f t="shared" si="176"/>
        <v>0.97154851528266117</v>
      </c>
      <c r="O26" s="149">
        <f t="shared" si="177"/>
        <v>0.98136420062736818</v>
      </c>
      <c r="P26" s="150">
        <f t="shared" si="178"/>
        <v>0.97714539323580141</v>
      </c>
      <c r="Q26" s="143">
        <v>2018</v>
      </c>
      <c r="R26" s="152">
        <f t="shared" si="179"/>
        <v>8.294902431066864E-2</v>
      </c>
      <c r="S26" s="153">
        <f t="shared" si="180"/>
        <v>7.2485207100591698E-2</v>
      </c>
      <c r="T26" s="154">
        <f t="shared" si="181"/>
        <v>0.14942165420530951</v>
      </c>
      <c r="U26" s="152">
        <f t="shared" si="182"/>
        <v>2.8451484717338826E-2</v>
      </c>
      <c r="V26" s="153">
        <f t="shared" si="183"/>
        <v>1.8635799372631823E-2</v>
      </c>
      <c r="W26" s="154">
        <f t="shared" si="184"/>
        <v>2.2854606764198593E-2</v>
      </c>
      <c r="X26" s="451">
        <f t="shared" si="185"/>
        <v>676</v>
      </c>
      <c r="Y26" s="451">
        <f t="shared" si="186"/>
        <v>850</v>
      </c>
      <c r="Z26" s="451">
        <f t="shared" si="187"/>
        <v>0.79529411764705882</v>
      </c>
      <c r="AA26" s="451">
        <f t="shared" si="188"/>
        <v>0.85017137495077477</v>
      </c>
      <c r="AB26" s="451">
        <f t="shared" si="189"/>
        <v>1.1864523366815325</v>
      </c>
      <c r="AC26" s="445">
        <f t="shared" si="190"/>
        <v>0.7665782307730612</v>
      </c>
      <c r="AD26" s="445">
        <f t="shared" si="191"/>
        <v>0.8219453815248976</v>
      </c>
      <c r="AE26" s="451">
        <f t="shared" si="192"/>
        <v>627</v>
      </c>
      <c r="AF26" s="451">
        <f t="shared" si="193"/>
        <v>676</v>
      </c>
      <c r="AG26" s="451">
        <f t="shared" si="194"/>
        <v>0.9275147928994083</v>
      </c>
      <c r="AH26" s="451">
        <f t="shared" si="195"/>
        <v>0.76233728548749125</v>
      </c>
      <c r="AI26" s="451">
        <f t="shared" si="196"/>
        <v>1.3641434352164903</v>
      </c>
      <c r="AJ26" s="445">
        <f t="shared" si="197"/>
        <v>0.90530042570614444</v>
      </c>
      <c r="AK26" s="445">
        <f t="shared" si="198"/>
        <v>0.94589712965810868</v>
      </c>
      <c r="AL26" s="451">
        <f t="shared" si="199"/>
        <v>627</v>
      </c>
      <c r="AM26" s="451">
        <f t="shared" si="200"/>
        <v>850</v>
      </c>
      <c r="AN26" s="451">
        <f t="shared" si="201"/>
        <v>0.73764705882352943</v>
      </c>
      <c r="AO26" s="451">
        <f t="shared" si="202"/>
        <v>0.86077630830218199</v>
      </c>
      <c r="AP26" s="451">
        <f t="shared" si="203"/>
        <v>1.1685442936126915</v>
      </c>
      <c r="AQ26" s="445">
        <f t="shared" si="204"/>
        <v>0.70669369967342077</v>
      </c>
      <c r="AR26" s="445">
        <f t="shared" si="205"/>
        <v>0.76694259808584009</v>
      </c>
    </row>
    <row r="27" spans="1:44" ht="26.4" customHeight="1">
      <c r="A27" s="143">
        <v>2019</v>
      </c>
      <c r="B27" s="139">
        <v>515</v>
      </c>
      <c r="C27" s="602">
        <v>400</v>
      </c>
      <c r="D27" s="602">
        <v>389</v>
      </c>
      <c r="E27" s="129">
        <f t="shared" ref="E27:E31" si="206">C27/B27</f>
        <v>0.77669902912621358</v>
      </c>
      <c r="F27" s="129">
        <f t="shared" ref="F27:F31" si="207">G27/E27</f>
        <v>0.97250000000000003</v>
      </c>
      <c r="G27" s="129">
        <f t="shared" ref="G27:G31" si="208">D27/B27</f>
        <v>0.75533980582524274</v>
      </c>
      <c r="H27" s="285"/>
      <c r="I27" s="285"/>
      <c r="J27" s="190">
        <v>4.7E-2</v>
      </c>
      <c r="K27" s="149">
        <f t="shared" ref="K27:K30" si="209">(C27/B27)/((1-H27)*(1-J27))</f>
        <v>0.81500422783443194</v>
      </c>
      <c r="L27" s="149">
        <f t="shared" ref="L27:L30" si="210">M27/K27</f>
        <v>0.97250000000000003</v>
      </c>
      <c r="M27" s="149">
        <f t="shared" ref="M27:M30" si="211">(D27/B27)/((1-H27)*(1-I27)*(1-J27))</f>
        <v>0.79259161156898505</v>
      </c>
      <c r="N27" s="151">
        <f t="shared" ref="N27:N30" si="212">K27^(1/3)</f>
        <v>0.9340854786198638</v>
      </c>
      <c r="O27" s="149">
        <f t="shared" ref="O27:O30" si="213">L27^(1/4)</f>
        <v>0.99305294227739993</v>
      </c>
      <c r="P27" s="150">
        <f t="shared" ref="P27:P30" si="214">M27^(1/7)</f>
        <v>0.96733855110546396</v>
      </c>
      <c r="Q27" s="143"/>
      <c r="R27" s="152"/>
      <c r="S27" s="153"/>
      <c r="T27" s="154"/>
      <c r="U27" s="152"/>
      <c r="V27" s="153"/>
      <c r="W27" s="154"/>
      <c r="X27" s="451"/>
      <c r="Y27" s="451"/>
      <c r="Z27" s="451"/>
      <c r="AA27" s="451"/>
      <c r="AB27" s="451"/>
      <c r="AC27" s="445"/>
      <c r="AD27" s="445"/>
      <c r="AE27" s="451"/>
      <c r="AF27" s="451"/>
      <c r="AG27" s="451"/>
      <c r="AH27" s="451"/>
      <c r="AI27" s="451"/>
      <c r="AJ27" s="445"/>
      <c r="AK27" s="445"/>
      <c r="AL27" s="451"/>
      <c r="AM27" s="451"/>
      <c r="AN27" s="451"/>
      <c r="AO27" s="451"/>
      <c r="AP27" s="451"/>
      <c r="AQ27" s="445"/>
      <c r="AR27" s="445"/>
    </row>
    <row r="28" spans="1:44" ht="26.4" customHeight="1">
      <c r="A28" s="143">
        <v>2020</v>
      </c>
      <c r="B28" s="139">
        <v>639</v>
      </c>
      <c r="C28" s="602">
        <v>509</v>
      </c>
      <c r="D28" s="602">
        <v>477</v>
      </c>
      <c r="E28" s="129">
        <f t="shared" si="206"/>
        <v>0.79655712050078242</v>
      </c>
      <c r="F28" s="129">
        <f t="shared" si="207"/>
        <v>0.93713163064833016</v>
      </c>
      <c r="G28" s="129">
        <f t="shared" si="208"/>
        <v>0.74647887323943662</v>
      </c>
      <c r="H28" s="285">
        <v>5.8000000000000003E-2</v>
      </c>
      <c r="I28" s="285"/>
      <c r="J28" s="190">
        <v>4.7E-2</v>
      </c>
      <c r="K28" s="149">
        <f t="shared" si="209"/>
        <v>0.88730539218066817</v>
      </c>
      <c r="L28" s="149">
        <f t="shared" si="210"/>
        <v>0.93713163064833005</v>
      </c>
      <c r="M28" s="149">
        <f t="shared" si="211"/>
        <v>0.83152194905732557</v>
      </c>
      <c r="N28" s="151">
        <f t="shared" si="212"/>
        <v>0.96092842480441742</v>
      </c>
      <c r="O28" s="149">
        <f t="shared" si="213"/>
        <v>0.98389816177630163</v>
      </c>
      <c r="P28" s="150">
        <f t="shared" si="214"/>
        <v>0.97398751112114912</v>
      </c>
      <c r="Q28" s="143"/>
      <c r="R28" s="152"/>
      <c r="S28" s="153"/>
      <c r="T28" s="154"/>
      <c r="U28" s="152"/>
      <c r="V28" s="153"/>
      <c r="W28" s="154"/>
      <c r="X28" s="451"/>
      <c r="Y28" s="451"/>
      <c r="Z28" s="451"/>
      <c r="AA28" s="451"/>
      <c r="AB28" s="451"/>
      <c r="AC28" s="445"/>
      <c r="AD28" s="445"/>
      <c r="AE28" s="451"/>
      <c r="AF28" s="451"/>
      <c r="AG28" s="451"/>
      <c r="AH28" s="451"/>
      <c r="AI28" s="451"/>
      <c r="AJ28" s="445"/>
      <c r="AK28" s="445"/>
      <c r="AL28" s="451"/>
      <c r="AM28" s="451"/>
      <c r="AN28" s="451"/>
      <c r="AO28" s="451"/>
      <c r="AP28" s="451"/>
      <c r="AQ28" s="445"/>
      <c r="AR28" s="445"/>
    </row>
    <row r="29" spans="1:44" ht="26.4" customHeight="1">
      <c r="A29" s="143">
        <v>2021</v>
      </c>
      <c r="B29" s="139">
        <v>630</v>
      </c>
      <c r="C29" s="602">
        <v>552</v>
      </c>
      <c r="D29" s="602">
        <v>545</v>
      </c>
      <c r="E29" s="129">
        <f t="shared" si="206"/>
        <v>0.87619047619047619</v>
      </c>
      <c r="F29" s="129">
        <f t="shared" si="207"/>
        <v>0.9873188405797102</v>
      </c>
      <c r="G29" s="129">
        <f t="shared" si="208"/>
        <v>0.86507936507936511</v>
      </c>
      <c r="H29" s="285">
        <v>5.6000000000000001E-2</v>
      </c>
      <c r="I29" s="285"/>
      <c r="J29" s="190">
        <v>4.7E-2</v>
      </c>
      <c r="K29" s="149">
        <f t="shared" si="209"/>
        <v>0.97394320810117507</v>
      </c>
      <c r="L29" s="149">
        <f t="shared" si="210"/>
        <v>0.9873188405797102</v>
      </c>
      <c r="M29" s="149">
        <f t="shared" si="211"/>
        <v>0.96159247901293554</v>
      </c>
      <c r="N29" s="151">
        <f t="shared" si="212"/>
        <v>0.99123785169618173</v>
      </c>
      <c r="O29" s="149">
        <f t="shared" si="213"/>
        <v>0.99681452153351491</v>
      </c>
      <c r="P29" s="150">
        <f t="shared" si="214"/>
        <v>0.99442068869892963</v>
      </c>
      <c r="Q29" s="143"/>
      <c r="R29" s="152"/>
      <c r="S29" s="153"/>
      <c r="T29" s="154"/>
      <c r="U29" s="152"/>
      <c r="V29" s="153"/>
      <c r="W29" s="154"/>
      <c r="X29" s="451"/>
      <c r="Y29" s="451"/>
      <c r="Z29" s="451"/>
      <c r="AA29" s="451"/>
      <c r="AB29" s="451"/>
      <c r="AC29" s="445"/>
      <c r="AD29" s="445"/>
      <c r="AE29" s="451"/>
      <c r="AF29" s="451"/>
      <c r="AG29" s="451"/>
      <c r="AH29" s="451"/>
      <c r="AI29" s="451"/>
      <c r="AJ29" s="445"/>
      <c r="AK29" s="445"/>
      <c r="AL29" s="451"/>
      <c r="AM29" s="451"/>
      <c r="AN29" s="451"/>
      <c r="AO29" s="451"/>
      <c r="AP29" s="451"/>
      <c r="AQ29" s="445"/>
      <c r="AR29" s="445"/>
    </row>
    <row r="30" spans="1:44" ht="26.4" customHeight="1">
      <c r="A30" s="143">
        <v>2022</v>
      </c>
      <c r="B30" s="139">
        <v>1253</v>
      </c>
      <c r="C30" s="602">
        <v>1018</v>
      </c>
      <c r="D30" s="602">
        <v>968</v>
      </c>
      <c r="E30" s="129">
        <f t="shared" si="206"/>
        <v>0.81245011971268954</v>
      </c>
      <c r="F30" s="129">
        <f t="shared" si="207"/>
        <v>0.95088408644400779</v>
      </c>
      <c r="G30" s="129">
        <f t="shared" si="208"/>
        <v>0.7725458898643256</v>
      </c>
      <c r="H30" s="289">
        <v>0.13650000000000001</v>
      </c>
      <c r="I30" s="285"/>
      <c r="J30" s="190">
        <v>4.7E-2</v>
      </c>
      <c r="K30" s="149">
        <f t="shared" si="209"/>
        <v>0.98728255782360352</v>
      </c>
      <c r="L30" s="149">
        <f t="shared" si="210"/>
        <v>0.9508840864440079</v>
      </c>
      <c r="M30" s="149">
        <f t="shared" si="211"/>
        <v>0.93879127305820065</v>
      </c>
      <c r="N30" s="151">
        <f t="shared" si="212"/>
        <v>0.995742754185586</v>
      </c>
      <c r="O30" s="149">
        <f t="shared" si="213"/>
        <v>0.98748815476007601</v>
      </c>
      <c r="P30" s="150">
        <f t="shared" si="214"/>
        <v>0.99101742783236646</v>
      </c>
      <c r="Q30" s="143"/>
      <c r="R30" s="152"/>
      <c r="S30" s="153"/>
      <c r="T30" s="154"/>
      <c r="U30" s="152"/>
      <c r="V30" s="153"/>
      <c r="W30" s="154"/>
      <c r="X30" s="451"/>
      <c r="Y30" s="451"/>
      <c r="Z30" s="451"/>
      <c r="AA30" s="451"/>
      <c r="AB30" s="451"/>
      <c r="AC30" s="445"/>
      <c r="AD30" s="445"/>
      <c r="AE30" s="451"/>
      <c r="AF30" s="451"/>
      <c r="AG30" s="451"/>
      <c r="AH30" s="451"/>
      <c r="AI30" s="451"/>
      <c r="AJ30" s="445"/>
      <c r="AK30" s="445"/>
      <c r="AL30" s="451"/>
      <c r="AM30" s="451"/>
      <c r="AN30" s="451"/>
      <c r="AO30" s="451"/>
      <c r="AP30" s="451"/>
      <c r="AQ30" s="445"/>
      <c r="AR30" s="445"/>
    </row>
    <row r="31" spans="1:44" ht="26.4" customHeight="1">
      <c r="A31" s="143">
        <v>2023</v>
      </c>
      <c r="B31" s="139">
        <v>1203</v>
      </c>
      <c r="C31" s="700">
        <v>1010</v>
      </c>
      <c r="D31" s="700">
        <v>957</v>
      </c>
      <c r="E31" s="129">
        <f t="shared" si="206"/>
        <v>0.83956774729842065</v>
      </c>
      <c r="F31" s="129">
        <f t="shared" si="207"/>
        <v>0.94752475247524748</v>
      </c>
      <c r="G31" s="129">
        <f t="shared" si="208"/>
        <v>0.79551122194513713</v>
      </c>
      <c r="H31" s="289">
        <v>9.0999999999999998E-2</v>
      </c>
      <c r="I31" s="285"/>
      <c r="J31" s="190">
        <v>4.7E-2</v>
      </c>
      <c r="K31" s="149">
        <f t="shared" ref="K31" si="215">(C31/B31)/((1-H31)*(1-J31))</f>
        <v>0.96916776885271183</v>
      </c>
      <c r="L31" s="149">
        <f t="shared" ref="L31" si="216">M31/K31</f>
        <v>0.94752475247524759</v>
      </c>
      <c r="M31" s="149">
        <f t="shared" ref="M31" si="217">(D31/B31)/((1-H31)*(1-I31)*(1-J31))</f>
        <v>0.9183104502891537</v>
      </c>
      <c r="N31" s="151">
        <f t="shared" ref="N31" si="218">K31^(1/3)</f>
        <v>0.9896151171476858</v>
      </c>
      <c r="O31" s="149">
        <f t="shared" ref="O31" si="219">L31^(1/4)</f>
        <v>0.98661483422156715</v>
      </c>
      <c r="P31" s="150">
        <f t="shared" ref="P31" si="220">M31^(1/7)</f>
        <v>0.98789955433481802</v>
      </c>
      <c r="Q31" s="143"/>
      <c r="R31" s="152"/>
      <c r="S31" s="153"/>
      <c r="T31" s="154"/>
      <c r="U31" s="152"/>
      <c r="V31" s="153"/>
      <c r="W31" s="154"/>
      <c r="X31" s="451"/>
      <c r="Y31" s="451"/>
      <c r="Z31" s="451"/>
      <c r="AA31" s="451"/>
      <c r="AB31" s="451"/>
      <c r="AC31" s="445"/>
      <c r="AD31" s="445"/>
      <c r="AE31" s="451"/>
      <c r="AF31" s="451"/>
      <c r="AG31" s="451"/>
      <c r="AH31" s="451"/>
      <c r="AI31" s="451"/>
      <c r="AJ31" s="445"/>
      <c r="AK31" s="445"/>
      <c r="AL31" s="451"/>
      <c r="AM31" s="451"/>
      <c r="AN31" s="451"/>
      <c r="AO31" s="451"/>
      <c r="AP31" s="451"/>
      <c r="AQ31" s="445"/>
      <c r="AR31" s="445"/>
    </row>
    <row r="32" spans="1:44" ht="26.4" customHeight="1">
      <c r="A32" s="143"/>
      <c r="B32" s="139"/>
      <c r="C32" s="139"/>
      <c r="D32" s="139"/>
      <c r="E32" s="129"/>
      <c r="F32" s="129"/>
      <c r="G32" s="129"/>
      <c r="H32" s="285"/>
      <c r="I32" s="285"/>
      <c r="J32" s="190">
        <v>4.7E-2</v>
      </c>
      <c r="K32" s="149" t="e">
        <f t="shared" si="173"/>
        <v>#DIV/0!</v>
      </c>
      <c r="L32" s="149" t="e">
        <f t="shared" si="174"/>
        <v>#DIV/0!</v>
      </c>
      <c r="M32" s="149" t="e">
        <f t="shared" si="175"/>
        <v>#DIV/0!</v>
      </c>
      <c r="N32" s="151" t="e">
        <f t="shared" si="176"/>
        <v>#DIV/0!</v>
      </c>
      <c r="O32" s="149" t="e">
        <f t="shared" si="177"/>
        <v>#DIV/0!</v>
      </c>
      <c r="P32" s="150" t="e">
        <f t="shared" si="178"/>
        <v>#DIV/0!</v>
      </c>
      <c r="Q32" s="143">
        <v>2019</v>
      </c>
      <c r="R32" s="152" t="e">
        <f t="shared" si="179"/>
        <v>#DIV/0!</v>
      </c>
      <c r="S32" s="153" t="e">
        <f t="shared" si="180"/>
        <v>#DIV/0!</v>
      </c>
      <c r="T32" s="154" t="e">
        <f t="shared" si="181"/>
        <v>#DIV/0!</v>
      </c>
      <c r="U32" s="152" t="e">
        <f t="shared" si="182"/>
        <v>#DIV/0!</v>
      </c>
      <c r="V32" s="153" t="e">
        <f t="shared" si="183"/>
        <v>#DIV/0!</v>
      </c>
      <c r="W32" s="154" t="e">
        <f t="shared" si="184"/>
        <v>#DIV/0!</v>
      </c>
      <c r="X32" s="451">
        <f t="shared" si="185"/>
        <v>0</v>
      </c>
      <c r="Y32" s="451">
        <f t="shared" si="186"/>
        <v>0</v>
      </c>
      <c r="Z32" s="451" t="e">
        <f t="shared" si="187"/>
        <v>#DIV/0!</v>
      </c>
      <c r="AA32" s="451" t="e">
        <f t="shared" si="188"/>
        <v>#NUM!</v>
      </c>
      <c r="AB32" s="451" t="e">
        <f t="shared" si="189"/>
        <v>#NUM!</v>
      </c>
      <c r="AC32" s="445">
        <f t="shared" si="190"/>
        <v>0</v>
      </c>
      <c r="AD32" s="445">
        <f t="shared" si="191"/>
        <v>1</v>
      </c>
      <c r="AE32" s="451">
        <f t="shared" si="192"/>
        <v>0</v>
      </c>
      <c r="AF32" s="451">
        <f t="shared" si="193"/>
        <v>0</v>
      </c>
      <c r="AG32" s="451" t="e">
        <f t="shared" si="194"/>
        <v>#DIV/0!</v>
      </c>
      <c r="AH32" s="451" t="e">
        <f t="shared" si="195"/>
        <v>#NUM!</v>
      </c>
      <c r="AI32" s="451" t="e">
        <f t="shared" si="196"/>
        <v>#NUM!</v>
      </c>
      <c r="AJ32" s="445">
        <f t="shared" si="197"/>
        <v>0</v>
      </c>
      <c r="AK32" s="445">
        <f t="shared" si="198"/>
        <v>1</v>
      </c>
      <c r="AL32" s="451">
        <f t="shared" si="199"/>
        <v>0</v>
      </c>
      <c r="AM32" s="451">
        <f t="shared" si="200"/>
        <v>0</v>
      </c>
      <c r="AN32" s="451" t="e">
        <f t="shared" si="201"/>
        <v>#DIV/0!</v>
      </c>
      <c r="AO32" s="451" t="e">
        <f t="shared" si="202"/>
        <v>#NUM!</v>
      </c>
      <c r="AP32" s="451" t="e">
        <f t="shared" si="203"/>
        <v>#NUM!</v>
      </c>
      <c r="AQ32" s="445">
        <f t="shared" si="204"/>
        <v>0</v>
      </c>
      <c r="AR32" s="445">
        <f t="shared" si="205"/>
        <v>1</v>
      </c>
    </row>
    <row r="33" spans="1:44" ht="26.4" customHeight="1">
      <c r="A33" s="143">
        <v>2020</v>
      </c>
      <c r="B33" s="139"/>
      <c r="C33" s="139"/>
      <c r="D33" s="139"/>
      <c r="E33" s="129"/>
      <c r="F33" s="129"/>
      <c r="G33" s="129"/>
      <c r="H33" s="285"/>
      <c r="I33" s="285"/>
      <c r="J33" s="190">
        <v>4.7E-2</v>
      </c>
      <c r="K33" s="149" t="e">
        <f t="shared" si="173"/>
        <v>#DIV/0!</v>
      </c>
      <c r="L33" s="149" t="e">
        <f t="shared" si="174"/>
        <v>#DIV/0!</v>
      </c>
      <c r="M33" s="149" t="e">
        <f t="shared" si="175"/>
        <v>#DIV/0!</v>
      </c>
      <c r="N33" s="151" t="e">
        <f t="shared" si="176"/>
        <v>#DIV/0!</v>
      </c>
      <c r="O33" s="149" t="e">
        <f t="shared" si="177"/>
        <v>#DIV/0!</v>
      </c>
      <c r="P33" s="150" t="e">
        <f t="shared" si="178"/>
        <v>#DIV/0!</v>
      </c>
      <c r="Q33" s="143">
        <v>2020</v>
      </c>
      <c r="R33" s="152" t="e">
        <f t="shared" si="179"/>
        <v>#DIV/0!</v>
      </c>
      <c r="S33" s="153" t="e">
        <f t="shared" si="180"/>
        <v>#DIV/0!</v>
      </c>
      <c r="T33" s="154" t="e">
        <f t="shared" si="181"/>
        <v>#DIV/0!</v>
      </c>
      <c r="U33" s="152" t="e">
        <f t="shared" si="182"/>
        <v>#DIV/0!</v>
      </c>
      <c r="V33" s="153" t="e">
        <f t="shared" si="183"/>
        <v>#DIV/0!</v>
      </c>
      <c r="W33" s="154" t="e">
        <f t="shared" si="184"/>
        <v>#DIV/0!</v>
      </c>
      <c r="X33" s="451">
        <f t="shared" si="185"/>
        <v>0</v>
      </c>
      <c r="Y33" s="451">
        <f t="shared" si="186"/>
        <v>0</v>
      </c>
      <c r="Z33" s="451" t="e">
        <f t="shared" si="187"/>
        <v>#DIV/0!</v>
      </c>
      <c r="AA33" s="451" t="e">
        <f t="shared" si="188"/>
        <v>#NUM!</v>
      </c>
      <c r="AB33" s="451" t="e">
        <f t="shared" si="189"/>
        <v>#NUM!</v>
      </c>
      <c r="AC33" s="445">
        <f t="shared" si="190"/>
        <v>0</v>
      </c>
      <c r="AD33" s="445">
        <f t="shared" si="191"/>
        <v>1</v>
      </c>
      <c r="AE33" s="451">
        <f t="shared" si="192"/>
        <v>0</v>
      </c>
      <c r="AF33" s="451">
        <f t="shared" si="193"/>
        <v>0</v>
      </c>
      <c r="AG33" s="451" t="e">
        <f t="shared" si="194"/>
        <v>#DIV/0!</v>
      </c>
      <c r="AH33" s="451" t="e">
        <f t="shared" si="195"/>
        <v>#NUM!</v>
      </c>
      <c r="AI33" s="451" t="e">
        <f t="shared" si="196"/>
        <v>#NUM!</v>
      </c>
      <c r="AJ33" s="445">
        <f t="shared" si="197"/>
        <v>0</v>
      </c>
      <c r="AK33" s="445">
        <f t="shared" si="198"/>
        <v>1</v>
      </c>
      <c r="AL33" s="451">
        <f t="shared" si="199"/>
        <v>0</v>
      </c>
      <c r="AM33" s="451">
        <f t="shared" si="200"/>
        <v>0</v>
      </c>
      <c r="AN33" s="451" t="e">
        <f t="shared" si="201"/>
        <v>#DIV/0!</v>
      </c>
      <c r="AO33" s="451" t="e">
        <f t="shared" si="202"/>
        <v>#NUM!</v>
      </c>
      <c r="AP33" s="451" t="e">
        <f t="shared" si="203"/>
        <v>#NUM!</v>
      </c>
      <c r="AQ33" s="445">
        <f t="shared" si="204"/>
        <v>0</v>
      </c>
      <c r="AR33" s="445">
        <f t="shared" si="205"/>
        <v>1</v>
      </c>
    </row>
    <row r="34" spans="1:44" ht="26.4" customHeight="1">
      <c r="A34" s="264" t="s">
        <v>112</v>
      </c>
      <c r="B34" s="463">
        <f>AVERAGE(B20:B24)</f>
        <v>2717.8</v>
      </c>
      <c r="C34" s="463">
        <f t="shared" ref="C34:P34" si="221">AVERAGE(C20:C24)</f>
        <v>2115.4</v>
      </c>
      <c r="D34" s="463">
        <f t="shared" si="221"/>
        <v>1996.6</v>
      </c>
      <c r="E34" s="144">
        <f t="shared" si="221"/>
        <v>0.7791166503975484</v>
      </c>
      <c r="F34" s="144">
        <f t="shared" si="221"/>
        <v>0.93736410223128552</v>
      </c>
      <c r="G34" s="144">
        <f t="shared" si="221"/>
        <v>0.73006252369166391</v>
      </c>
      <c r="H34" s="144">
        <f>AVERAGE(H20:H24)</f>
        <v>0.14811919631775533</v>
      </c>
      <c r="I34" s="144" t="e">
        <f t="shared" si="221"/>
        <v>#DIV/0!</v>
      </c>
      <c r="J34" s="144">
        <f t="shared" si="221"/>
        <v>4.7E-2</v>
      </c>
      <c r="K34" s="144">
        <f t="shared" si="221"/>
        <v>0.95980481901227921</v>
      </c>
      <c r="L34" s="144">
        <f t="shared" si="221"/>
        <v>0.93736410223128552</v>
      </c>
      <c r="M34" s="144">
        <f>1-AVERAGE(M16:M25)</f>
        <v>0.1340772412074106</v>
      </c>
      <c r="N34" s="144">
        <f>AVERAGE(N22:N26)</f>
        <v>0.98103025015189416</v>
      </c>
      <c r="O34" s="144">
        <f t="shared" si="221"/>
        <v>0.98382795670564815</v>
      </c>
      <c r="P34" s="144">
        <f t="shared" si="221"/>
        <v>0.98486096206244456</v>
      </c>
      <c r="Q34" s="264" t="s">
        <v>112</v>
      </c>
      <c r="R34" s="231">
        <f>AVERAGE(R20:R24)</f>
        <v>4.0195180987720701E-2</v>
      </c>
      <c r="S34" s="231">
        <f t="shared" ref="S34:W34" si="222">AVERAGE(S20:S24)</f>
        <v>6.2635897768714519E-2</v>
      </c>
      <c r="T34" s="231">
        <f t="shared" si="222"/>
        <v>0.10074745032747412</v>
      </c>
      <c r="U34" s="231">
        <f>1-N34</f>
        <v>1.8969749848105844E-2</v>
      </c>
      <c r="V34" s="231">
        <f t="shared" si="222"/>
        <v>1.6172043294351846E-2</v>
      </c>
      <c r="W34" s="231">
        <f t="shared" si="222"/>
        <v>1.5139037937555444E-2</v>
      </c>
      <c r="X34" s="451">
        <f t="shared" ref="X34" si="223">C34</f>
        <v>2115.4</v>
      </c>
      <c r="Y34" s="451">
        <f t="shared" ref="Y34" si="224">B34</f>
        <v>2717.8</v>
      </c>
      <c r="Z34" s="451">
        <f t="shared" ref="Z34" si="225">X34/Y34</f>
        <v>0.77835013613952464</v>
      </c>
      <c r="AA34" s="451">
        <f t="shared" ref="AA34" si="226">_xlfn.F.INV(0.05/2, 2*X34, 2*(Y34-X34+1))</f>
        <v>0.91451615802827035</v>
      </c>
      <c r="AB34" s="451">
        <f t="shared" ref="AB34" si="227">_xlfn.F.INV(1-0.05/2, 2*(X34+1), 2*(Y34-X34))</f>
        <v>1.0960650106088139</v>
      </c>
      <c r="AC34" s="445">
        <f t="shared" ref="AC34" si="228">IF(X34=0, 0, 1/(1 +(Y34-X34+1)/(X34*AA34)))</f>
        <v>0.76225069683113555</v>
      </c>
      <c r="AD34" s="445">
        <f t="shared" ref="AD34" si="229">IF(X34=Y34, 1, 1/(1 + (Y34-X34)/(AB34*(X34+1))))</f>
        <v>0.79384773671216413</v>
      </c>
      <c r="AE34" s="451">
        <f t="shared" ref="AE34" si="230">D34</f>
        <v>1996.6</v>
      </c>
      <c r="AF34" s="451">
        <f t="shared" ref="AF34" si="231">C34</f>
        <v>2115.4</v>
      </c>
      <c r="AG34" s="451">
        <f t="shared" ref="AG34" si="232">AE34/AF34</f>
        <v>0.94384040843339312</v>
      </c>
      <c r="AH34" s="451">
        <f t="shared" ref="AH34" si="233">_xlfn.F.INV(0.05/2, 2*AE34, 2*(AF34-AE34+1))</f>
        <v>0.83755184493395229</v>
      </c>
      <c r="AI34" s="451">
        <f t="shared" ref="AI34" si="234">_xlfn.F.INV(1-0.05/2, 2*(AE34+1), 2*(AF34-AE34))</f>
        <v>1.2134021646757747</v>
      </c>
      <c r="AJ34" s="445">
        <f t="shared" ref="AJ34" si="235">IF(AE34=0, 0, 1/(1 +(AF34-AE34+1)/(AE34*AH34)))</f>
        <v>0.93314941101664362</v>
      </c>
      <c r="AK34" s="445">
        <f t="shared" ref="AK34" si="236">IF(AE34=AF34, 1, 1/(1 + (AF34-AE34)/(AI34*(AE34+1))))</f>
        <v>0.95327786757882327</v>
      </c>
      <c r="AL34" s="451">
        <f t="shared" ref="AL34" si="237">D34</f>
        <v>1996.6</v>
      </c>
      <c r="AM34" s="451">
        <f t="shared" ref="AM34" si="238">B34</f>
        <v>2717.8</v>
      </c>
      <c r="AN34" s="451">
        <f t="shared" ref="AN34" si="239">AL34/AM34</f>
        <v>0.734638310398116</v>
      </c>
      <c r="AO34" s="451">
        <f t="shared" ref="AO34" si="240">_xlfn.F.INV(0.05/2, 2*AL34, 2*(AM34-AL34+1))</f>
        <v>0.91917294077692124</v>
      </c>
      <c r="AP34" s="451">
        <f t="shared" ref="AP34" si="241">_xlfn.F.INV(1-0.05/2, 2*(AL34+1), 2*(AM34-AL34))</f>
        <v>1.0898534423848485</v>
      </c>
      <c r="AQ34" s="445">
        <f t="shared" ref="AQ34" si="242">IF(AL34=0, 0, 1/(1 +(AM34-AL34+1)/(AL34*AO34)))</f>
        <v>0.71760610140522751</v>
      </c>
      <c r="AR34" s="445">
        <f t="shared" ref="AR34" si="243">IF(AL34=AM34, 1, 1/(1 + (AM34-AL34)/(AP34*(AL34+1))))</f>
        <v>0.75116372332928727</v>
      </c>
    </row>
    <row r="35" spans="1:44" ht="26.4" customHeight="1">
      <c r="A35" s="264"/>
      <c r="B35" s="505"/>
      <c r="C35" s="505"/>
      <c r="D35" s="505"/>
      <c r="E35" s="145"/>
      <c r="F35" s="145"/>
      <c r="G35" s="145"/>
      <c r="H35" s="145"/>
      <c r="I35" s="145"/>
      <c r="J35" s="145"/>
      <c r="K35" s="145"/>
      <c r="L35" s="145"/>
      <c r="M35" s="506">
        <f>1-MIN(M16:M25)</f>
        <v>0.18837062016261297</v>
      </c>
      <c r="N35" s="145">
        <f>MAX(N22:N26)</f>
        <v>0.99503155122398856</v>
      </c>
      <c r="O35" s="145"/>
      <c r="P35" s="145"/>
      <c r="Q35" s="264"/>
      <c r="R35" s="232"/>
      <c r="S35" s="232"/>
      <c r="T35" s="232"/>
      <c r="U35" s="231">
        <f t="shared" ref="U35:U36" si="244">1-N35</f>
        <v>4.968448776011436E-3</v>
      </c>
      <c r="V35" s="232"/>
      <c r="W35" s="232"/>
      <c r="X35" s="20"/>
      <c r="Y35" s="20"/>
      <c r="Z35" s="20"/>
      <c r="AA35" s="20"/>
      <c r="AB35" s="20"/>
      <c r="AC35" s="445"/>
      <c r="AD35" s="445"/>
      <c r="AE35" s="20"/>
      <c r="AF35" s="20"/>
      <c r="AG35" s="20"/>
      <c r="AH35" s="20"/>
      <c r="AI35" s="20"/>
      <c r="AJ35" s="445"/>
      <c r="AK35" s="445"/>
      <c r="AL35" s="20"/>
      <c r="AM35" s="20"/>
      <c r="AN35" s="20"/>
      <c r="AO35" s="20"/>
      <c r="AP35" s="20"/>
      <c r="AQ35" s="445"/>
      <c r="AR35" s="445"/>
    </row>
    <row r="36" spans="1:44" ht="26.4" customHeight="1">
      <c r="A36" s="264"/>
      <c r="B36" s="505"/>
      <c r="C36" s="505"/>
      <c r="D36" s="505"/>
      <c r="E36" s="145"/>
      <c r="F36" s="145"/>
      <c r="G36" s="145"/>
      <c r="H36" s="145"/>
      <c r="I36" s="145"/>
      <c r="J36" s="145"/>
      <c r="K36" s="145"/>
      <c r="L36" s="145"/>
      <c r="M36" s="507">
        <f>1-MAX(M16:M25)</f>
        <v>5.8657634099267386E-2</v>
      </c>
      <c r="N36" s="145">
        <f>MIN(N22:N26)</f>
        <v>0.96706232849955287</v>
      </c>
      <c r="O36" s="145"/>
      <c r="P36" s="145"/>
      <c r="Q36" s="264"/>
      <c r="R36" s="232"/>
      <c r="S36" s="232"/>
      <c r="T36" s="232"/>
      <c r="U36" s="231">
        <f t="shared" si="244"/>
        <v>3.293767150044713E-2</v>
      </c>
      <c r="V36" s="232"/>
      <c r="W36" s="232"/>
      <c r="X36" s="20"/>
      <c r="Y36" s="20"/>
      <c r="Z36" s="20"/>
      <c r="AA36" s="20"/>
      <c r="AB36" s="20"/>
      <c r="AC36" s="445"/>
      <c r="AD36" s="445"/>
      <c r="AE36" s="20"/>
      <c r="AF36" s="20"/>
      <c r="AG36" s="20"/>
      <c r="AH36" s="20"/>
      <c r="AI36" s="20"/>
      <c r="AJ36" s="445"/>
      <c r="AK36" s="445"/>
      <c r="AL36" s="20"/>
      <c r="AM36" s="20"/>
      <c r="AN36" s="20"/>
      <c r="AO36" s="20"/>
      <c r="AP36" s="20"/>
      <c r="AQ36" s="445"/>
      <c r="AR36" s="445"/>
    </row>
    <row r="37" spans="1:44" ht="26.4" customHeight="1">
      <c r="A37" s="264"/>
      <c r="B37" s="505"/>
      <c r="C37" s="505"/>
      <c r="D37" s="505"/>
      <c r="E37" s="145"/>
      <c r="F37" s="145"/>
      <c r="G37" s="145"/>
      <c r="H37" s="145"/>
      <c r="I37" s="145"/>
      <c r="J37" s="145"/>
      <c r="K37" s="145"/>
      <c r="L37" s="145"/>
      <c r="M37" s="145"/>
      <c r="N37" s="145"/>
      <c r="O37" s="145"/>
      <c r="P37" s="145"/>
      <c r="Q37" s="264"/>
      <c r="R37" s="232"/>
      <c r="S37" s="232"/>
      <c r="T37" s="232"/>
      <c r="U37" s="232"/>
      <c r="V37" s="232"/>
      <c r="W37" s="232"/>
      <c r="X37" s="20"/>
      <c r="Y37" s="20"/>
      <c r="Z37" s="20"/>
      <c r="AA37" s="20"/>
      <c r="AB37" s="20"/>
      <c r="AC37" s="445"/>
      <c r="AD37" s="445"/>
      <c r="AE37" s="20"/>
      <c r="AF37" s="20"/>
      <c r="AG37" s="20"/>
      <c r="AH37" s="20"/>
      <c r="AI37" s="20"/>
      <c r="AJ37" s="445"/>
      <c r="AK37" s="445"/>
      <c r="AL37" s="20"/>
      <c r="AM37" s="20"/>
      <c r="AN37" s="20"/>
      <c r="AO37" s="20"/>
      <c r="AP37" s="20"/>
      <c r="AQ37" s="445"/>
      <c r="AR37" s="445"/>
    </row>
    <row r="38" spans="1:44" ht="15" customHeight="1">
      <c r="A38" s="67"/>
      <c r="B38" s="9"/>
      <c r="C38" s="9"/>
      <c r="D38" s="9"/>
      <c r="E38" s="9"/>
      <c r="F38" s="9"/>
      <c r="G38" s="9"/>
      <c r="H38" s="9"/>
      <c r="I38" s="9"/>
      <c r="J38" s="9"/>
      <c r="K38" s="9"/>
      <c r="L38" s="9"/>
      <c r="M38" s="9"/>
      <c r="N38" s="9"/>
      <c r="O38" s="9"/>
      <c r="P38" s="68"/>
      <c r="Q38" s="88"/>
      <c r="R38" s="11"/>
      <c r="S38" s="11"/>
      <c r="T38" s="11"/>
      <c r="U38" s="11"/>
      <c r="V38" s="11"/>
      <c r="W38" s="73"/>
    </row>
    <row r="39" spans="1:44" ht="15" customHeight="1">
      <c r="A39" s="92"/>
      <c r="B39" s="442" t="s">
        <v>3</v>
      </c>
      <c r="C39" s="443"/>
      <c r="D39" s="443"/>
      <c r="E39" s="443"/>
      <c r="F39" s="443"/>
      <c r="G39" s="443"/>
      <c r="H39" s="443"/>
      <c r="I39" s="443"/>
      <c r="J39" s="443"/>
      <c r="K39" s="443"/>
      <c r="L39" s="443"/>
      <c r="M39" s="443"/>
      <c r="N39" s="443"/>
      <c r="O39" s="443"/>
      <c r="P39" s="444"/>
      <c r="Q39" s="685" t="s">
        <v>40</v>
      </c>
      <c r="R39" s="686"/>
      <c r="S39" s="686"/>
      <c r="T39" s="686"/>
      <c r="U39" s="686"/>
      <c r="V39" s="686"/>
      <c r="W39" s="686"/>
    </row>
    <row r="40" spans="1:44" ht="30" customHeight="1">
      <c r="A40" s="93"/>
      <c r="B40" s="667" t="s">
        <v>15</v>
      </c>
      <c r="C40" s="668"/>
      <c r="D40" s="668"/>
      <c r="E40" s="667" t="s">
        <v>11</v>
      </c>
      <c r="F40" s="669"/>
      <c r="G40" s="670"/>
      <c r="H40" s="671" t="s">
        <v>23</v>
      </c>
      <c r="I40" s="681"/>
      <c r="J40" s="672"/>
      <c r="K40" s="673" t="s">
        <v>12</v>
      </c>
      <c r="L40" s="660"/>
      <c r="M40" s="674"/>
      <c r="N40" s="667" t="s">
        <v>16</v>
      </c>
      <c r="O40" s="669"/>
      <c r="P40" s="675"/>
      <c r="Q40" s="98"/>
      <c r="R40" s="676" t="s">
        <v>30</v>
      </c>
      <c r="S40" s="656"/>
      <c r="T40" s="657"/>
      <c r="U40" s="676" t="s">
        <v>46</v>
      </c>
      <c r="V40" s="656"/>
      <c r="W40" s="677"/>
    </row>
    <row r="41" spans="1:44" ht="57" customHeight="1">
      <c r="A41" s="94" t="s">
        <v>0</v>
      </c>
      <c r="B41" s="30" t="s">
        <v>1</v>
      </c>
      <c r="C41" s="18" t="s">
        <v>27</v>
      </c>
      <c r="D41" s="22" t="s">
        <v>24</v>
      </c>
      <c r="E41" s="30" t="s">
        <v>13</v>
      </c>
      <c r="F41" s="46" t="s">
        <v>29</v>
      </c>
      <c r="G41" s="22" t="s">
        <v>14</v>
      </c>
      <c r="H41" s="30" t="s">
        <v>32</v>
      </c>
      <c r="I41" s="71" t="s">
        <v>62</v>
      </c>
      <c r="J41" s="22" t="s">
        <v>17</v>
      </c>
      <c r="K41" s="30" t="s">
        <v>13</v>
      </c>
      <c r="L41" s="46" t="s">
        <v>29</v>
      </c>
      <c r="M41" s="18" t="s">
        <v>14</v>
      </c>
      <c r="N41" s="30" t="s">
        <v>25</v>
      </c>
      <c r="O41" s="46" t="s">
        <v>59</v>
      </c>
      <c r="P41" s="28" t="s">
        <v>26</v>
      </c>
      <c r="Q41" s="94" t="s">
        <v>0</v>
      </c>
      <c r="R41" s="30" t="s">
        <v>13</v>
      </c>
      <c r="S41" s="46" t="s">
        <v>29</v>
      </c>
      <c r="T41" s="18" t="s">
        <v>14</v>
      </c>
      <c r="U41" s="30" t="s">
        <v>21</v>
      </c>
      <c r="V41" s="46" t="s">
        <v>31</v>
      </c>
      <c r="W41" s="28" t="s">
        <v>22</v>
      </c>
      <c r="X41" s="433" t="s">
        <v>172</v>
      </c>
      <c r="Y41" s="433" t="s">
        <v>173</v>
      </c>
      <c r="Z41" s="283" t="s">
        <v>174</v>
      </c>
      <c r="AA41" s="283" t="s">
        <v>175</v>
      </c>
      <c r="AB41" s="283" t="s">
        <v>176</v>
      </c>
      <c r="AC41" s="437" t="s">
        <v>179</v>
      </c>
      <c r="AD41" s="437" t="s">
        <v>180</v>
      </c>
      <c r="AE41" s="283" t="s">
        <v>170</v>
      </c>
      <c r="AF41" s="283" t="s">
        <v>172</v>
      </c>
      <c r="AG41" s="283" t="s">
        <v>174</v>
      </c>
      <c r="AH41" s="283" t="s">
        <v>175</v>
      </c>
      <c r="AI41" s="283" t="s">
        <v>176</v>
      </c>
      <c r="AJ41" s="437" t="s">
        <v>181</v>
      </c>
      <c r="AK41" s="437" t="s">
        <v>182</v>
      </c>
      <c r="AL41" s="283" t="s">
        <v>170</v>
      </c>
      <c r="AM41" s="283" t="s">
        <v>171</v>
      </c>
      <c r="AN41" s="283" t="s">
        <v>174</v>
      </c>
      <c r="AO41" s="283" t="s">
        <v>175</v>
      </c>
      <c r="AP41" s="283" t="s">
        <v>176</v>
      </c>
      <c r="AQ41" s="437" t="s">
        <v>183</v>
      </c>
      <c r="AR41" s="437" t="s">
        <v>184</v>
      </c>
    </row>
    <row r="42" spans="1:44" ht="15" customHeight="1">
      <c r="A42" s="95" t="s">
        <v>60</v>
      </c>
      <c r="B42" s="19">
        <v>606</v>
      </c>
      <c r="C42" s="19">
        <v>448</v>
      </c>
      <c r="D42" s="19">
        <v>414</v>
      </c>
      <c r="E42" s="79">
        <f t="shared" ref="E42:E47" si="245">C42/B42</f>
        <v>0.73927392739273923</v>
      </c>
      <c r="F42" s="81">
        <f t="shared" ref="F42:F47" si="246">G42/E42</f>
        <v>0.92410714285714302</v>
      </c>
      <c r="G42" s="80">
        <f t="shared" ref="G42:G47" si="247">D42/B42</f>
        <v>0.68316831683168322</v>
      </c>
      <c r="H42" s="176">
        <v>8.1084410664407164E-2</v>
      </c>
      <c r="I42" s="72">
        <v>5.3181156284414673E-2</v>
      </c>
      <c r="J42" s="27">
        <v>3.7999999999999999E-2</v>
      </c>
      <c r="K42" s="79">
        <f t="shared" ref="K42:K47" si="248">(C42/B42)/((1-H42)*(1-J42))</f>
        <v>0.83628575346773992</v>
      </c>
      <c r="L42" s="81">
        <f t="shared" ref="L42:L47" si="249">M42/K42</f>
        <v>0.97601262267941846</v>
      </c>
      <c r="M42" s="80">
        <f t="shared" ref="M42:M47" si="250">(D42/B42)/((1-H42)*(1-I42)*(1-J42))</f>
        <v>0.81622545155148241</v>
      </c>
      <c r="N42" s="27">
        <f t="shared" ref="N42:N47" si="251">K42^(1/3)</f>
        <v>0.94214605249641303</v>
      </c>
      <c r="O42" s="47">
        <f t="shared" ref="O42:O47" si="252">L42^(1/4)</f>
        <v>0.99394844497313206</v>
      </c>
      <c r="P42" s="27">
        <f t="shared" ref="P42:P47" si="253">M42^(1/7)</f>
        <v>0.97140748952020295</v>
      </c>
      <c r="Q42" s="95" t="s">
        <v>60</v>
      </c>
      <c r="R42" s="42">
        <f t="shared" ref="R42:W47" si="254">1-K42</f>
        <v>0.16371424653226008</v>
      </c>
      <c r="S42" s="49">
        <f t="shared" si="254"/>
        <v>2.3987377320581538E-2</v>
      </c>
      <c r="T42" s="42">
        <f t="shared" si="254"/>
        <v>0.18377454844851759</v>
      </c>
      <c r="U42" s="89">
        <f t="shared" si="254"/>
        <v>5.7853947503586967E-2</v>
      </c>
      <c r="V42" s="90">
        <f t="shared" si="254"/>
        <v>6.0515550268679386E-3</v>
      </c>
      <c r="W42" s="91">
        <f t="shared" si="254"/>
        <v>2.8592510479797051E-2</v>
      </c>
      <c r="X42" s="283">
        <f>C42</f>
        <v>448</v>
      </c>
      <c r="Y42" s="283">
        <f>B42</f>
        <v>606</v>
      </c>
      <c r="Z42" s="283">
        <f>X42/Y42</f>
        <v>0.73927392739273923</v>
      </c>
      <c r="AA42" s="283">
        <f t="shared" ref="AA42:AA54" si="255">_xlfn.F.INV(0.05/2, 2*X42, 2*(Y42-X42+1))</f>
        <v>0.83759088033596252</v>
      </c>
      <c r="AB42" s="283">
        <f>_xlfn.F.INV(1-0.05/2, 2*(X42+1), 2*(Y42-X42))</f>
        <v>1.2038888629073488</v>
      </c>
      <c r="AC42" s="436">
        <f>IF(X42=0, 0, 1/(1 +(Y42-X42+1)/(X42*AA42)))</f>
        <v>0.7023813503592754</v>
      </c>
      <c r="AD42" s="436">
        <f>IF(X42=Y42, 1, 1/(1 + (Y42-X42)/(AB42*(X42+1))))</f>
        <v>0.77381592979269109</v>
      </c>
      <c r="AE42" s="283">
        <f>D42</f>
        <v>414</v>
      </c>
      <c r="AF42" s="283">
        <f>C42</f>
        <v>448</v>
      </c>
      <c r="AG42" s="283">
        <f>AE42/AF42</f>
        <v>0.9241071428571429</v>
      </c>
      <c r="AH42" s="283">
        <f t="shared" ref="AH42:AH54" si="256">_xlfn.F.INV(0.05/2, 2*AE42, 2*(AF42-AE42+1))</f>
        <v>0.72492951533475825</v>
      </c>
      <c r="AI42" s="283">
        <f>_xlfn.F.INV(1-0.05/2, 2*(AE42+1), 2*(AF42-AE42))</f>
        <v>1.4601535252612483</v>
      </c>
      <c r="AJ42" s="436">
        <f>IF(AE42=0, 0, 1/(1 +(AF42-AE42+1)/(AE42*AH42)))</f>
        <v>0.89556005482430712</v>
      </c>
      <c r="AK42" s="436">
        <f>IF(AE42=AF42, 1, 1/(1 + (AF42-AE42)/(AI42*(AE42+1))))</f>
        <v>0.94687198772333991</v>
      </c>
      <c r="AL42" s="283">
        <f>D42</f>
        <v>414</v>
      </c>
      <c r="AM42" s="283">
        <f>B42</f>
        <v>606</v>
      </c>
      <c r="AN42" s="283">
        <f>AL42/AM42</f>
        <v>0.68316831683168322</v>
      </c>
      <c r="AO42" s="283">
        <f t="shared" ref="AO42:AO54" si="257">_xlfn.F.INV(0.05/2, 2*AL42, 2*(AM42-AL42+1))</f>
        <v>0.8450707987710856</v>
      </c>
      <c r="AP42" s="283">
        <f>_xlfn.F.INV(1-0.05/2, 2*(AL42+1), 2*(AM42-AL42))</f>
        <v>1.1900573140062787</v>
      </c>
      <c r="AQ42" s="436">
        <f>IF(AL42=0, 0, 1/(1 +(AM42-AL42+1)/(AL42*AO42)))</f>
        <v>0.64447510395603103</v>
      </c>
      <c r="AR42" s="436">
        <f>IF(AL42=AM42, 1, 1/(1 + (AM42-AL42)/(AP42*(AL42+1))))</f>
        <v>0.72006511385693106</v>
      </c>
    </row>
    <row r="43" spans="1:44" ht="15" customHeight="1">
      <c r="A43" s="96">
        <v>2003</v>
      </c>
      <c r="B43" s="20">
        <v>297</v>
      </c>
      <c r="C43" s="20">
        <v>248</v>
      </c>
      <c r="D43" s="20">
        <v>224</v>
      </c>
      <c r="E43" s="36">
        <f t="shared" si="245"/>
        <v>0.83501683501683499</v>
      </c>
      <c r="F43" s="47">
        <f t="shared" si="246"/>
        <v>0.90322580645161299</v>
      </c>
      <c r="G43" s="26">
        <f t="shared" si="247"/>
        <v>0.75420875420875422</v>
      </c>
      <c r="H43" s="176">
        <v>0.10756359035366819</v>
      </c>
      <c r="I43" s="72">
        <v>4.1326563783095696E-2</v>
      </c>
      <c r="J43" s="27">
        <v>5.2999999999999999E-2</v>
      </c>
      <c r="K43" s="36">
        <f t="shared" si="248"/>
        <v>0.98802508757036656</v>
      </c>
      <c r="L43" s="47">
        <f t="shared" si="249"/>
        <v>0.94216212980293113</v>
      </c>
      <c r="M43" s="26">
        <f t="shared" si="250"/>
        <v>0.93087982080402409</v>
      </c>
      <c r="N43" s="27">
        <f t="shared" si="251"/>
        <v>0.99599232250092817</v>
      </c>
      <c r="O43" s="47">
        <f t="shared" si="252"/>
        <v>0.98521589732653148</v>
      </c>
      <c r="P43" s="27">
        <f t="shared" si="253"/>
        <v>0.98982001382732332</v>
      </c>
      <c r="Q43" s="96">
        <v>2003</v>
      </c>
      <c r="R43" s="14">
        <f t="shared" si="254"/>
        <v>1.1974912429633444E-2</v>
      </c>
      <c r="S43" s="50">
        <f t="shared" si="254"/>
        <v>5.7837870197068875E-2</v>
      </c>
      <c r="T43" s="14">
        <f t="shared" si="254"/>
        <v>6.9120179195975906E-2</v>
      </c>
      <c r="U43" s="13">
        <f t="shared" si="254"/>
        <v>4.0076774990718267E-3</v>
      </c>
      <c r="V43" s="50">
        <f t="shared" si="254"/>
        <v>1.4784102673468524E-2</v>
      </c>
      <c r="W43" s="85">
        <f t="shared" si="254"/>
        <v>1.017998617267668E-2</v>
      </c>
      <c r="X43" s="283">
        <f t="shared" ref="X43:X54" si="258">C43</f>
        <v>248</v>
      </c>
      <c r="Y43" s="283">
        <f t="shared" ref="Y43:Y54" si="259">B43</f>
        <v>297</v>
      </c>
      <c r="Z43" s="283">
        <f t="shared" ref="Z43:Z54" si="260">X43/Y43</f>
        <v>0.83501683501683499</v>
      </c>
      <c r="AA43" s="283">
        <f t="shared" si="255"/>
        <v>0.74857645076858192</v>
      </c>
      <c r="AB43" s="283">
        <f t="shared" ref="AB43:AB54" si="261">_xlfn.F.INV(1-0.05/2, 2*(X43+1), 2*(Y43-X43))</f>
        <v>1.3823429492479533</v>
      </c>
      <c r="AC43" s="436">
        <f t="shared" ref="AC43:AC54" si="262">IF(X43=0, 0, 1/(1 +(Y43-X43+1)/(X43*AA43)))</f>
        <v>0.78781818341968379</v>
      </c>
      <c r="AD43" s="436">
        <f t="shared" ref="AD43:AD54" si="263">IF(X43=Y43, 1, 1/(1 + (Y43-X43)/(AB43*(X43+1))))</f>
        <v>0.8753825610294802</v>
      </c>
      <c r="AE43" s="283">
        <f t="shared" ref="AE43:AE54" si="264">D43</f>
        <v>224</v>
      </c>
      <c r="AF43" s="283">
        <f t="shared" ref="AF43:AF54" si="265">C43</f>
        <v>248</v>
      </c>
      <c r="AG43" s="283">
        <f t="shared" ref="AG43:AG54" si="266">AE43/AF43</f>
        <v>0.90322580645161288</v>
      </c>
      <c r="AH43" s="283">
        <f t="shared" si="256"/>
        <v>0.68237338778764922</v>
      </c>
      <c r="AI43" s="283">
        <f t="shared" ref="AI43:AI54" si="267">_xlfn.F.INV(1-0.05/2, 2*(AE43+1), 2*(AF43-AE43))</f>
        <v>1.5866277689004857</v>
      </c>
      <c r="AJ43" s="436">
        <f t="shared" ref="AJ43:AJ54" si="268">IF(AE43=0, 0, 1/(1 +(AF43-AE43+1)/(AE43*AH43)))</f>
        <v>0.85943340100983745</v>
      </c>
      <c r="AK43" s="436">
        <f t="shared" ref="AK43:AK54" si="269">IF(AE43=AF43, 1, 1/(1 + (AF43-AE43)/(AI43*(AE43+1))))</f>
        <v>0.93700642698271208</v>
      </c>
      <c r="AL43" s="283">
        <f t="shared" ref="AL43:AL54" si="270">D43</f>
        <v>224</v>
      </c>
      <c r="AM43" s="283">
        <f t="shared" ref="AM43:AM54" si="271">B43</f>
        <v>297</v>
      </c>
      <c r="AN43" s="283">
        <f t="shared" ref="AN43:AN54" si="272">AL43/AM43</f>
        <v>0.75420875420875422</v>
      </c>
      <c r="AO43" s="283">
        <f t="shared" si="257"/>
        <v>0.77511451960510669</v>
      </c>
      <c r="AP43" s="283">
        <f t="shared" ref="AP43:AP54" si="273">_xlfn.F.INV(1-0.05/2, 2*(AL43+1), 2*(AM43-AL43))</f>
        <v>1.3150335664239359</v>
      </c>
      <c r="AQ43" s="436">
        <f t="shared" ref="AQ43:AQ54" si="274">IF(AL43=0, 0, 1/(1 +(AM43-AL43+1)/(AL43*AO43)))</f>
        <v>0.70116181710046854</v>
      </c>
      <c r="AR43" s="436">
        <f t="shared" ref="AR43:AR54" si="275">IF(AL43=AM43, 1, 1/(1 + (AM43-AL43)/(AP43*(AL43+1))))</f>
        <v>0.8021050344721633</v>
      </c>
    </row>
    <row r="44" spans="1:44" ht="15" customHeight="1">
      <c r="A44" s="96">
        <v>2004</v>
      </c>
      <c r="B44" s="20">
        <v>357</v>
      </c>
      <c r="C44" s="20">
        <v>270</v>
      </c>
      <c r="D44" s="20">
        <v>252</v>
      </c>
      <c r="E44" s="36">
        <f t="shared" si="245"/>
        <v>0.75630252100840334</v>
      </c>
      <c r="F44" s="47">
        <f t="shared" si="246"/>
        <v>0.93333333333333346</v>
      </c>
      <c r="G44" s="26">
        <f t="shared" si="247"/>
        <v>0.70588235294117652</v>
      </c>
      <c r="H44" s="176">
        <v>9.3609841353533466E-2</v>
      </c>
      <c r="I44" s="72">
        <v>3.0654912192214077E-2</v>
      </c>
      <c r="J44" s="27">
        <v>4.7E-2</v>
      </c>
      <c r="K44" s="36">
        <f t="shared" si="248"/>
        <v>0.87556313174240796</v>
      </c>
      <c r="L44" s="47">
        <f t="shared" si="249"/>
        <v>0.96284939705436123</v>
      </c>
      <c r="M44" s="26">
        <f t="shared" si="250"/>
        <v>0.8430354334812058</v>
      </c>
      <c r="N44" s="27">
        <f t="shared" si="251"/>
        <v>0.95667073448294027</v>
      </c>
      <c r="O44" s="47">
        <f t="shared" si="252"/>
        <v>0.99058008085544969</v>
      </c>
      <c r="P44" s="27">
        <f t="shared" si="253"/>
        <v>0.97590276160276057</v>
      </c>
      <c r="Q44" s="96">
        <v>2004</v>
      </c>
      <c r="R44" s="14">
        <f t="shared" si="254"/>
        <v>0.12443686825759204</v>
      </c>
      <c r="S44" s="50">
        <f t="shared" si="254"/>
        <v>3.7150602945638767E-2</v>
      </c>
      <c r="T44" s="14">
        <f t="shared" si="254"/>
        <v>0.1569645665187942</v>
      </c>
      <c r="U44" s="13">
        <f t="shared" si="254"/>
        <v>4.3329265517059734E-2</v>
      </c>
      <c r="V44" s="50">
        <f t="shared" si="254"/>
        <v>9.419919144550315E-3</v>
      </c>
      <c r="W44" s="85">
        <f t="shared" si="254"/>
        <v>2.4097238397239429E-2</v>
      </c>
      <c r="X44" s="283">
        <f t="shared" si="258"/>
        <v>270</v>
      </c>
      <c r="Y44" s="283">
        <f t="shared" si="259"/>
        <v>357</v>
      </c>
      <c r="Z44" s="283">
        <f t="shared" si="260"/>
        <v>0.75630252100840334</v>
      </c>
      <c r="AA44" s="283">
        <f t="shared" si="255"/>
        <v>0.79158868324645471</v>
      </c>
      <c r="AB44" s="283">
        <f t="shared" si="261"/>
        <v>1.283724339846724</v>
      </c>
      <c r="AC44" s="436">
        <f t="shared" si="262"/>
        <v>0.70834750324445139</v>
      </c>
      <c r="AD44" s="436">
        <f t="shared" si="263"/>
        <v>0.79994908869796011</v>
      </c>
      <c r="AE44" s="283">
        <f t="shared" si="264"/>
        <v>252</v>
      </c>
      <c r="AF44" s="283">
        <f t="shared" si="265"/>
        <v>270</v>
      </c>
      <c r="AG44" s="283">
        <f t="shared" si="266"/>
        <v>0.93333333333333335</v>
      </c>
      <c r="AH44" s="283">
        <f t="shared" si="256"/>
        <v>0.65436166853004563</v>
      </c>
      <c r="AI44" s="283">
        <f t="shared" si="267"/>
        <v>1.7081190614730013</v>
      </c>
      <c r="AJ44" s="436">
        <f t="shared" si="268"/>
        <v>0.8966824969845697</v>
      </c>
      <c r="AK44" s="436">
        <f t="shared" si="269"/>
        <v>0.96001369509196499</v>
      </c>
      <c r="AL44" s="283">
        <f t="shared" si="270"/>
        <v>252</v>
      </c>
      <c r="AM44" s="283">
        <f t="shared" si="271"/>
        <v>357</v>
      </c>
      <c r="AN44" s="283">
        <f t="shared" si="272"/>
        <v>0.70588235294117652</v>
      </c>
      <c r="AO44" s="283">
        <f t="shared" si="257"/>
        <v>0.8008764060217396</v>
      </c>
      <c r="AP44" s="283">
        <f t="shared" si="273"/>
        <v>1.2629643495063678</v>
      </c>
      <c r="AQ44" s="436">
        <f t="shared" si="274"/>
        <v>0.65564386391224039</v>
      </c>
      <c r="AR44" s="436">
        <f t="shared" si="275"/>
        <v>0.75266764459165814</v>
      </c>
    </row>
    <row r="45" spans="1:44" ht="15" customHeight="1">
      <c r="A45" s="96">
        <v>2005</v>
      </c>
      <c r="B45" s="20">
        <v>291</v>
      </c>
      <c r="C45" s="20">
        <v>232</v>
      </c>
      <c r="D45" s="20">
        <v>217</v>
      </c>
      <c r="E45" s="36">
        <f t="shared" si="245"/>
        <v>0.79725085910652926</v>
      </c>
      <c r="F45" s="47">
        <f t="shared" si="246"/>
        <v>0.93534482758620685</v>
      </c>
      <c r="G45" s="26">
        <f t="shared" si="247"/>
        <v>0.74570446735395191</v>
      </c>
      <c r="H45" s="176">
        <v>8.6309912115780305E-2</v>
      </c>
      <c r="I45" s="72">
        <v>3.957662183467419E-2</v>
      </c>
      <c r="J45" s="27">
        <v>4.7E-2</v>
      </c>
      <c r="K45" s="36">
        <f t="shared" si="248"/>
        <v>0.91559451382293289</v>
      </c>
      <c r="L45" s="47">
        <f t="shared" si="249"/>
        <v>0.97388802568818567</v>
      </c>
      <c r="M45" s="26">
        <f t="shared" si="250"/>
        <v>0.89168653339795034</v>
      </c>
      <c r="N45" s="27">
        <f t="shared" si="251"/>
        <v>0.97103390443505999</v>
      </c>
      <c r="O45" s="47">
        <f t="shared" si="252"/>
        <v>0.99340709288344031</v>
      </c>
      <c r="P45" s="27">
        <f t="shared" si="253"/>
        <v>0.98375614517260179</v>
      </c>
      <c r="Q45" s="96">
        <v>2005</v>
      </c>
      <c r="R45" s="14">
        <f t="shared" si="254"/>
        <v>8.4405486177067113E-2</v>
      </c>
      <c r="S45" s="50">
        <f t="shared" si="254"/>
        <v>2.6111974311814334E-2</v>
      </c>
      <c r="T45" s="14">
        <f t="shared" si="254"/>
        <v>0.10831346660204966</v>
      </c>
      <c r="U45" s="13">
        <f t="shared" si="254"/>
        <v>2.8966095564940009E-2</v>
      </c>
      <c r="V45" s="50">
        <f t="shared" si="254"/>
        <v>6.5929071165596875E-3</v>
      </c>
      <c r="W45" s="85">
        <f t="shared" si="254"/>
        <v>1.6243854827398208E-2</v>
      </c>
      <c r="X45" s="283">
        <f t="shared" si="258"/>
        <v>232</v>
      </c>
      <c r="Y45" s="283">
        <f t="shared" si="259"/>
        <v>291</v>
      </c>
      <c r="Z45" s="283">
        <f t="shared" si="260"/>
        <v>0.79725085910652926</v>
      </c>
      <c r="AA45" s="283">
        <f t="shared" si="255"/>
        <v>0.76121154756594089</v>
      </c>
      <c r="AB45" s="283">
        <f t="shared" si="261"/>
        <v>1.3486811564103405</v>
      </c>
      <c r="AC45" s="436">
        <f t="shared" si="262"/>
        <v>0.7464085952412387</v>
      </c>
      <c r="AD45" s="436">
        <f t="shared" si="263"/>
        <v>0.84192591440580056</v>
      </c>
      <c r="AE45" s="283">
        <f t="shared" si="264"/>
        <v>217</v>
      </c>
      <c r="AF45" s="283">
        <f t="shared" si="265"/>
        <v>232</v>
      </c>
      <c r="AG45" s="283">
        <f t="shared" si="266"/>
        <v>0.93534482758620685</v>
      </c>
      <c r="AH45" s="283">
        <f t="shared" si="256"/>
        <v>0.63253684645178188</v>
      </c>
      <c r="AI45" s="283">
        <f t="shared" si="267"/>
        <v>1.8093584612369922</v>
      </c>
      <c r="AJ45" s="436">
        <f t="shared" si="268"/>
        <v>0.895602582198329</v>
      </c>
      <c r="AK45" s="436">
        <f t="shared" si="269"/>
        <v>0.96336460847897987</v>
      </c>
      <c r="AL45" s="283">
        <f t="shared" si="270"/>
        <v>217</v>
      </c>
      <c r="AM45" s="283">
        <f t="shared" si="271"/>
        <v>291</v>
      </c>
      <c r="AN45" s="283">
        <f t="shared" si="272"/>
        <v>0.74570446735395191</v>
      </c>
      <c r="AO45" s="283">
        <f t="shared" si="257"/>
        <v>0.77508203887681448</v>
      </c>
      <c r="AP45" s="283">
        <f t="shared" si="273"/>
        <v>1.3141914468309661</v>
      </c>
      <c r="AQ45" s="436">
        <f t="shared" si="274"/>
        <v>0.69160271501186987</v>
      </c>
      <c r="AR45" s="436">
        <f t="shared" si="275"/>
        <v>0.79472597515179555</v>
      </c>
    </row>
    <row r="46" spans="1:44" ht="15" customHeight="1">
      <c r="A46" s="96">
        <v>2006</v>
      </c>
      <c r="B46" s="20">
        <v>128</v>
      </c>
      <c r="C46" s="20">
        <v>94</v>
      </c>
      <c r="D46" s="20">
        <v>86</v>
      </c>
      <c r="E46" s="36">
        <f t="shared" si="245"/>
        <v>0.734375</v>
      </c>
      <c r="F46" s="47">
        <f t="shared" si="246"/>
        <v>0.91489361702127658</v>
      </c>
      <c r="G46" s="26">
        <f t="shared" si="247"/>
        <v>0.671875</v>
      </c>
      <c r="H46" s="176">
        <v>0.11064584596240835</v>
      </c>
      <c r="I46" s="72">
        <v>5.2070352189883373E-2</v>
      </c>
      <c r="J46" s="27">
        <v>4.7E-2</v>
      </c>
      <c r="K46" s="36">
        <f t="shared" si="248"/>
        <v>0.8664634455684046</v>
      </c>
      <c r="L46" s="47">
        <f t="shared" si="249"/>
        <v>0.96514927994376054</v>
      </c>
      <c r="M46" s="26">
        <f t="shared" si="250"/>
        <v>0.83626657058793541</v>
      </c>
      <c r="N46" s="27">
        <f t="shared" si="251"/>
        <v>0.95334497503112514</v>
      </c>
      <c r="O46" s="47">
        <f t="shared" si="252"/>
        <v>0.99117108198937343</v>
      </c>
      <c r="P46" s="27">
        <f t="shared" si="253"/>
        <v>0.97477950828079896</v>
      </c>
      <c r="Q46" s="96">
        <v>2006</v>
      </c>
      <c r="R46" s="14">
        <f t="shared" si="254"/>
        <v>0.1335365544315954</v>
      </c>
      <c r="S46" s="50">
        <f t="shared" si="254"/>
        <v>3.4850720056239459E-2</v>
      </c>
      <c r="T46" s="14">
        <f t="shared" si="254"/>
        <v>0.16373342941206459</v>
      </c>
      <c r="U46" s="13">
        <f t="shared" si="254"/>
        <v>4.6655024968874859E-2</v>
      </c>
      <c r="V46" s="50">
        <f t="shared" si="254"/>
        <v>8.8289180106265741E-3</v>
      </c>
      <c r="W46" s="85">
        <f t="shared" si="254"/>
        <v>2.5220491719201044E-2</v>
      </c>
      <c r="X46" s="283">
        <f t="shared" si="258"/>
        <v>94</v>
      </c>
      <c r="Y46" s="283">
        <f t="shared" si="259"/>
        <v>128</v>
      </c>
      <c r="Z46" s="283">
        <f t="shared" si="260"/>
        <v>0.734375</v>
      </c>
      <c r="AA46" s="283">
        <f t="shared" si="255"/>
        <v>0.68867616736318749</v>
      </c>
      <c r="AB46" s="283">
        <f t="shared" si="261"/>
        <v>1.5111299567598997</v>
      </c>
      <c r="AC46" s="436">
        <f t="shared" si="262"/>
        <v>0.64907200507021057</v>
      </c>
      <c r="AD46" s="436">
        <f t="shared" si="263"/>
        <v>0.80851256911305625</v>
      </c>
      <c r="AE46" s="283">
        <f t="shared" si="264"/>
        <v>86</v>
      </c>
      <c r="AF46" s="283">
        <f t="shared" si="265"/>
        <v>94</v>
      </c>
      <c r="AG46" s="283">
        <f t="shared" si="266"/>
        <v>0.91489361702127658</v>
      </c>
      <c r="AH46" s="283">
        <f t="shared" si="256"/>
        <v>0.54607509230702866</v>
      </c>
      <c r="AI46" s="283">
        <f t="shared" si="267"/>
        <v>2.3626974215478289</v>
      </c>
      <c r="AJ46" s="436">
        <f t="shared" si="268"/>
        <v>0.83917790012179372</v>
      </c>
      <c r="AK46" s="436">
        <f t="shared" si="269"/>
        <v>0.9625388675067571</v>
      </c>
      <c r="AL46" s="283">
        <f t="shared" si="270"/>
        <v>86</v>
      </c>
      <c r="AM46" s="283">
        <f t="shared" si="271"/>
        <v>128</v>
      </c>
      <c r="AN46" s="283">
        <f t="shared" si="272"/>
        <v>0.671875</v>
      </c>
      <c r="AO46" s="283">
        <f t="shared" si="257"/>
        <v>0.70003648374168792</v>
      </c>
      <c r="AP46" s="283">
        <f t="shared" si="273"/>
        <v>1.465770507322953</v>
      </c>
      <c r="AQ46" s="436">
        <f t="shared" si="274"/>
        <v>0.5833460009140633</v>
      </c>
      <c r="AR46" s="436">
        <f t="shared" si="275"/>
        <v>0.75224459632171758</v>
      </c>
    </row>
    <row r="47" spans="1:44" ht="15" customHeight="1" thickBot="1">
      <c r="A47" s="97">
        <v>2007</v>
      </c>
      <c r="B47" s="20">
        <v>141</v>
      </c>
      <c r="C47" s="20">
        <v>111</v>
      </c>
      <c r="D47" s="20">
        <v>87</v>
      </c>
      <c r="E47" s="36">
        <f t="shared" si="245"/>
        <v>0.78723404255319152</v>
      </c>
      <c r="F47" s="47">
        <f t="shared" si="246"/>
        <v>0.78378378378378377</v>
      </c>
      <c r="G47" s="26">
        <f t="shared" si="247"/>
        <v>0.61702127659574468</v>
      </c>
      <c r="H47" s="122">
        <v>9.3527512820647016E-2</v>
      </c>
      <c r="I47" s="27">
        <v>4.46770115108421E-2</v>
      </c>
      <c r="J47" s="27">
        <v>4.7E-2</v>
      </c>
      <c r="K47" s="36">
        <f t="shared" si="248"/>
        <v>0.91128944136747059</v>
      </c>
      <c r="L47" s="47">
        <f t="shared" si="249"/>
        <v>0.82043852521892824</v>
      </c>
      <c r="M47" s="26">
        <f t="shared" si="250"/>
        <v>0.74765696532310855</v>
      </c>
      <c r="N47" s="27">
        <f t="shared" si="251"/>
        <v>0.96950959777761747</v>
      </c>
      <c r="O47" s="47">
        <f t="shared" si="252"/>
        <v>0.95172507400797113</v>
      </c>
      <c r="P47" s="27">
        <f t="shared" si="253"/>
        <v>0.9593067125745538</v>
      </c>
      <c r="Q47" s="96">
        <v>2007</v>
      </c>
      <c r="R47" s="27">
        <f t="shared" si="254"/>
        <v>8.8710558632529413E-2</v>
      </c>
      <c r="S47" s="47">
        <f t="shared" si="254"/>
        <v>0.17956147478107176</v>
      </c>
      <c r="T47" s="27">
        <f t="shared" si="254"/>
        <v>0.25234303467689145</v>
      </c>
      <c r="U47" s="36">
        <f t="shared" si="254"/>
        <v>3.0490402222382529E-2</v>
      </c>
      <c r="V47" s="47">
        <f t="shared" si="254"/>
        <v>4.8274925992028872E-2</v>
      </c>
      <c r="W47" s="26">
        <f t="shared" si="254"/>
        <v>4.0693287425446201E-2</v>
      </c>
      <c r="X47" s="283">
        <f t="shared" si="258"/>
        <v>111</v>
      </c>
      <c r="Y47" s="283">
        <f t="shared" si="259"/>
        <v>141</v>
      </c>
      <c r="Z47" s="283">
        <f t="shared" si="260"/>
        <v>0.78723404255319152</v>
      </c>
      <c r="AA47" s="283">
        <f t="shared" si="255"/>
        <v>0.68510265465741504</v>
      </c>
      <c r="AB47" s="283">
        <f t="shared" si="261"/>
        <v>1.5371907563185585</v>
      </c>
      <c r="AC47" s="436">
        <f t="shared" si="262"/>
        <v>0.71040594037339966</v>
      </c>
      <c r="AD47" s="436">
        <f t="shared" si="263"/>
        <v>0.85160662884377569</v>
      </c>
      <c r="AE47" s="283">
        <f t="shared" si="264"/>
        <v>87</v>
      </c>
      <c r="AF47" s="283">
        <f t="shared" si="265"/>
        <v>111</v>
      </c>
      <c r="AG47" s="283">
        <f t="shared" si="266"/>
        <v>0.78378378378378377</v>
      </c>
      <c r="AH47" s="283">
        <f t="shared" si="256"/>
        <v>0.65660225336480393</v>
      </c>
      <c r="AI47" s="283">
        <f t="shared" si="267"/>
        <v>1.6249477523296767</v>
      </c>
      <c r="AJ47" s="436">
        <f t="shared" si="268"/>
        <v>0.69558375824170593</v>
      </c>
      <c r="AK47" s="436">
        <f t="shared" si="269"/>
        <v>0.85628346838833058</v>
      </c>
      <c r="AL47" s="283">
        <f t="shared" si="270"/>
        <v>87</v>
      </c>
      <c r="AM47" s="283">
        <f t="shared" si="271"/>
        <v>141</v>
      </c>
      <c r="AN47" s="283">
        <f t="shared" si="272"/>
        <v>0.61702127659574468</v>
      </c>
      <c r="AO47" s="283">
        <f t="shared" si="257"/>
        <v>0.71708212196580268</v>
      </c>
      <c r="AP47" s="283">
        <f t="shared" si="273"/>
        <v>1.4152875346935641</v>
      </c>
      <c r="AQ47" s="436">
        <f t="shared" si="274"/>
        <v>0.53146088763499233</v>
      </c>
      <c r="AR47" s="436">
        <f t="shared" si="275"/>
        <v>0.6975557515284494</v>
      </c>
    </row>
    <row r="48" spans="1:44" ht="15" customHeight="1" thickBot="1">
      <c r="A48" s="258" t="s">
        <v>81</v>
      </c>
      <c r="B48" s="160"/>
      <c r="C48" s="160"/>
      <c r="D48" s="160"/>
      <c r="E48" s="161">
        <f>AVERAGE(E42:E47)</f>
        <v>0.77490886417961635</v>
      </c>
      <c r="F48" s="161">
        <f t="shared" ref="F48:P48" si="276">AVERAGE(F42:F47)</f>
        <v>0.89911475183889278</v>
      </c>
      <c r="G48" s="161">
        <f t="shared" si="276"/>
        <v>0.69631002798855179</v>
      </c>
      <c r="H48" s="161">
        <f t="shared" si="276"/>
        <v>9.5456852211740759E-2</v>
      </c>
      <c r="I48" s="161">
        <f t="shared" si="276"/>
        <v>4.3581102965854018E-2</v>
      </c>
      <c r="J48" s="161">
        <f t="shared" si="276"/>
        <v>4.6499999999999993E-2</v>
      </c>
      <c r="K48" s="161">
        <f t="shared" si="276"/>
        <v>0.89887022892322044</v>
      </c>
      <c r="L48" s="161">
        <f t="shared" si="276"/>
        <v>0.94008333006459754</v>
      </c>
      <c r="M48" s="161">
        <f t="shared" si="276"/>
        <v>0.84429179585761782</v>
      </c>
      <c r="N48" s="161">
        <f t="shared" si="276"/>
        <v>0.96478293112068059</v>
      </c>
      <c r="O48" s="161">
        <f t="shared" si="276"/>
        <v>0.98434127867264964</v>
      </c>
      <c r="P48" s="161">
        <f t="shared" si="276"/>
        <v>0.97582877182970684</v>
      </c>
      <c r="Q48" s="259" t="s">
        <v>81</v>
      </c>
      <c r="R48" s="240">
        <f>AVERAGE(R42:R47)</f>
        <v>0.10112977107677958</v>
      </c>
      <c r="S48" s="240">
        <f t="shared" ref="S48:W48" si="277">AVERAGE(S42:S47)</f>
        <v>5.9916669935402456E-2</v>
      </c>
      <c r="T48" s="240">
        <f t="shared" si="277"/>
        <v>0.15570820414238223</v>
      </c>
      <c r="U48" s="240">
        <f t="shared" si="277"/>
        <v>3.5217068879319323E-2</v>
      </c>
      <c r="V48" s="240">
        <f t="shared" si="277"/>
        <v>1.5658721327350317E-2</v>
      </c>
      <c r="W48" s="240">
        <f t="shared" si="277"/>
        <v>2.4171228170293102E-2</v>
      </c>
      <c r="X48" s="283"/>
      <c r="Y48" s="283"/>
      <c r="Z48" s="283"/>
      <c r="AA48" s="283"/>
      <c r="AB48" s="283"/>
      <c r="AC48" s="436"/>
      <c r="AD48" s="436"/>
      <c r="AE48" s="283"/>
      <c r="AF48" s="283"/>
      <c r="AG48" s="283"/>
      <c r="AH48" s="283"/>
      <c r="AI48" s="283"/>
      <c r="AJ48" s="436"/>
      <c r="AK48" s="436"/>
      <c r="AL48" s="283"/>
      <c r="AM48" s="283"/>
      <c r="AN48" s="283"/>
      <c r="AO48" s="283"/>
      <c r="AP48" s="283"/>
      <c r="AQ48" s="436"/>
      <c r="AR48" s="436"/>
    </row>
    <row r="49" spans="1:44" ht="15" customHeight="1">
      <c r="A49" s="96">
        <v>2008</v>
      </c>
      <c r="B49" s="66">
        <v>1286</v>
      </c>
      <c r="C49" s="66">
        <v>845</v>
      </c>
      <c r="D49" s="66">
        <v>713</v>
      </c>
      <c r="E49" s="36">
        <f t="shared" ref="E49:E51" si="278">C49/B49</f>
        <v>0.65707620528771382</v>
      </c>
      <c r="F49" s="47">
        <f t="shared" ref="F49:F51" si="279">G49/E49</f>
        <v>0.84378698224852078</v>
      </c>
      <c r="G49" s="26">
        <f t="shared" ref="G49:G51" si="280">D49/B49</f>
        <v>0.55443234836702959</v>
      </c>
      <c r="H49" s="27">
        <v>0.13195500689752751</v>
      </c>
      <c r="I49" s="27">
        <v>4.3999999999999997E-2</v>
      </c>
      <c r="J49" s="27">
        <v>4.7E-2</v>
      </c>
      <c r="K49" s="36">
        <f t="shared" ref="K49" si="281">(C49/B49)/((1-H49)*(1-J49))</f>
        <v>0.79429275881633954</v>
      </c>
      <c r="L49" s="47">
        <f t="shared" ref="L49" si="282">M49/K49</f>
        <v>0.88262236636874558</v>
      </c>
      <c r="M49" s="26">
        <f t="shared" ref="M49" si="283">(D49/B49)/((1-H49)*(1-I49)*(1-J49))</f>
        <v>0.70106055437603687</v>
      </c>
      <c r="N49" s="27">
        <f t="shared" ref="N49" si="284">K49^(1/3)</f>
        <v>0.92610494063287985</v>
      </c>
      <c r="O49" s="47">
        <f t="shared" ref="O49" si="285">L49^(1/4)</f>
        <v>0.96926768139236064</v>
      </c>
      <c r="P49" s="27">
        <f t="shared" ref="P49" si="286">M49^(1/7)</f>
        <v>0.95052835336869501</v>
      </c>
      <c r="Q49" s="96">
        <v>2008</v>
      </c>
      <c r="R49" s="27">
        <f t="shared" ref="R49" si="287">1-K49</f>
        <v>0.20570724118366046</v>
      </c>
      <c r="S49" s="47">
        <f t="shared" ref="S49" si="288">1-L49</f>
        <v>0.11737763363125442</v>
      </c>
      <c r="T49" s="27">
        <f t="shared" ref="T49" si="289">1-M49</f>
        <v>0.29893944562396313</v>
      </c>
      <c r="U49" s="36">
        <f t="shared" ref="U49" si="290">1-N49</f>
        <v>7.3895059367120153E-2</v>
      </c>
      <c r="V49" s="47">
        <f t="shared" ref="V49" si="291">1-O49</f>
        <v>3.0732318607639364E-2</v>
      </c>
      <c r="W49" s="26">
        <f t="shared" ref="W49" si="292">1-P49</f>
        <v>4.9471646631304989E-2</v>
      </c>
      <c r="X49" s="283">
        <f t="shared" si="258"/>
        <v>845</v>
      </c>
      <c r="Y49" s="283">
        <f t="shared" si="259"/>
        <v>1286</v>
      </c>
      <c r="Z49" s="283">
        <f t="shared" si="260"/>
        <v>0.65707620528771382</v>
      </c>
      <c r="AA49" s="283">
        <f t="shared" si="255"/>
        <v>0.89220251932857586</v>
      </c>
      <c r="AB49" s="283">
        <f t="shared" si="261"/>
        <v>1.1232583253732775</v>
      </c>
      <c r="AC49" s="436">
        <f t="shared" si="262"/>
        <v>0.63040731928680582</v>
      </c>
      <c r="AD49" s="436">
        <f t="shared" si="263"/>
        <v>0.68302491540263799</v>
      </c>
      <c r="AE49" s="283">
        <f t="shared" si="264"/>
        <v>713</v>
      </c>
      <c r="AF49" s="283">
        <f t="shared" si="265"/>
        <v>845</v>
      </c>
      <c r="AG49" s="283">
        <f t="shared" si="266"/>
        <v>0.84378698224852067</v>
      </c>
      <c r="AH49" s="283">
        <f t="shared" si="256"/>
        <v>0.83571108392636195</v>
      </c>
      <c r="AI49" s="283">
        <f t="shared" si="267"/>
        <v>1.2117166344267374</v>
      </c>
      <c r="AJ49" s="436">
        <f t="shared" si="268"/>
        <v>0.81752375692262824</v>
      </c>
      <c r="AK49" s="436">
        <f t="shared" si="269"/>
        <v>0.86762480594029101</v>
      </c>
      <c r="AL49" s="283">
        <f t="shared" si="270"/>
        <v>713</v>
      </c>
      <c r="AM49" s="283">
        <f t="shared" si="271"/>
        <v>1286</v>
      </c>
      <c r="AN49" s="283">
        <f t="shared" si="272"/>
        <v>0.55443234836702959</v>
      </c>
      <c r="AO49" s="283">
        <f t="shared" si="257"/>
        <v>0.89616687645088611</v>
      </c>
      <c r="AP49" s="283">
        <f t="shared" si="273"/>
        <v>1.1166288465178607</v>
      </c>
      <c r="AQ49" s="436">
        <f t="shared" si="274"/>
        <v>0.52678019427769118</v>
      </c>
      <c r="AR49" s="436">
        <f t="shared" si="275"/>
        <v>0.58183515146277953</v>
      </c>
    </row>
    <row r="50" spans="1:44" ht="15" customHeight="1">
      <c r="A50" s="99">
        <v>2009</v>
      </c>
      <c r="B50" s="291">
        <v>1984</v>
      </c>
      <c r="C50" s="291">
        <v>1487</v>
      </c>
      <c r="D50" s="291">
        <v>1281</v>
      </c>
      <c r="E50" s="27">
        <f t="shared" si="278"/>
        <v>0.7494959677419355</v>
      </c>
      <c r="F50" s="47">
        <f t="shared" si="279"/>
        <v>0.86146603900470742</v>
      </c>
      <c r="G50" s="27">
        <f t="shared" si="280"/>
        <v>0.64566532258064513</v>
      </c>
      <c r="H50" s="27">
        <v>0.13329646864658393</v>
      </c>
      <c r="I50" s="279"/>
      <c r="J50" s="27">
        <v>4.7E-2</v>
      </c>
      <c r="K50" s="36">
        <f t="shared" ref="K50:K51" si="293">(C50/B50)/((1-H50)*(1-J50))</f>
        <v>0.90741474905739217</v>
      </c>
      <c r="L50" s="47">
        <f t="shared" ref="L50:L51" si="294">M50/K50</f>
        <v>0.86146603900470731</v>
      </c>
      <c r="M50" s="26">
        <f t="shared" ref="M50:M51" si="295">(D50/B50)/((1-H50)*(1-I50)*(1-J50))</f>
        <v>0.78170698960492213</v>
      </c>
      <c r="N50" s="27">
        <f t="shared" ref="N50:N51" si="296">K50^(1/3)</f>
        <v>0.96813356657089022</v>
      </c>
      <c r="O50" s="47">
        <f t="shared" ref="O50:O51" si="297">L50^(1/4)</f>
        <v>0.96340642941120225</v>
      </c>
      <c r="P50" s="27">
        <f t="shared" ref="P50:P51" si="298">M50^(1/7)</f>
        <v>0.96542951245855269</v>
      </c>
      <c r="Q50" s="99">
        <v>2009</v>
      </c>
      <c r="R50" s="27">
        <f t="shared" ref="R50:R51" si="299">1-K50</f>
        <v>9.2585250942607833E-2</v>
      </c>
      <c r="S50" s="47">
        <f t="shared" ref="S50:S51" si="300">1-L50</f>
        <v>0.13853396099529269</v>
      </c>
      <c r="T50" s="27">
        <f t="shared" ref="T50:T51" si="301">1-M50</f>
        <v>0.21829301039507787</v>
      </c>
      <c r="U50" s="36">
        <f t="shared" ref="U50:U51" si="302">1-N50</f>
        <v>3.1866433429109775E-2</v>
      </c>
      <c r="V50" s="47">
        <f t="shared" ref="V50:V51" si="303">1-O50</f>
        <v>3.6593570588797752E-2</v>
      </c>
      <c r="W50" s="26">
        <f t="shared" ref="W50:W51" si="304">1-P50</f>
        <v>3.4570487541447315E-2</v>
      </c>
      <c r="X50" s="283">
        <f t="shared" si="258"/>
        <v>1487</v>
      </c>
      <c r="Y50" s="283">
        <f t="shared" si="259"/>
        <v>1984</v>
      </c>
      <c r="Z50" s="283">
        <f t="shared" si="260"/>
        <v>0.7494959677419355</v>
      </c>
      <c r="AA50" s="283">
        <f t="shared" si="255"/>
        <v>0.90463887704923274</v>
      </c>
      <c r="AB50" s="283">
        <f t="shared" si="261"/>
        <v>1.10837395090513</v>
      </c>
      <c r="AC50" s="436">
        <f t="shared" si="262"/>
        <v>0.72981741665754507</v>
      </c>
      <c r="AD50" s="436">
        <f t="shared" si="263"/>
        <v>0.76843444020993223</v>
      </c>
      <c r="AE50" s="283">
        <f t="shared" si="264"/>
        <v>1281</v>
      </c>
      <c r="AF50" s="283">
        <f t="shared" si="265"/>
        <v>1487</v>
      </c>
      <c r="AG50" s="283">
        <f t="shared" si="266"/>
        <v>0.86146603900470742</v>
      </c>
      <c r="AH50" s="283">
        <f t="shared" si="256"/>
        <v>0.86672392875721627</v>
      </c>
      <c r="AI50" s="283">
        <f t="shared" si="267"/>
        <v>1.163293370079254</v>
      </c>
      <c r="AJ50" s="436">
        <f t="shared" si="268"/>
        <v>0.84285721747142006</v>
      </c>
      <c r="AK50" s="436">
        <f t="shared" si="269"/>
        <v>0.87863377692310562</v>
      </c>
      <c r="AL50" s="283">
        <f t="shared" si="270"/>
        <v>1281</v>
      </c>
      <c r="AM50" s="283">
        <f t="shared" si="271"/>
        <v>1984</v>
      </c>
      <c r="AN50" s="283">
        <f t="shared" si="272"/>
        <v>0.64566532258064513</v>
      </c>
      <c r="AO50" s="283">
        <f t="shared" si="257"/>
        <v>0.91268844281536088</v>
      </c>
      <c r="AP50" s="283">
        <f t="shared" si="273"/>
        <v>1.0970659242679985</v>
      </c>
      <c r="AQ50" s="436">
        <f t="shared" si="274"/>
        <v>0.62416328856558534</v>
      </c>
      <c r="AR50" s="436">
        <f t="shared" si="275"/>
        <v>0.66673596076372521</v>
      </c>
    </row>
    <row r="51" spans="1:44" ht="15" customHeight="1">
      <c r="A51" s="276">
        <v>2010</v>
      </c>
      <c r="B51" s="277">
        <v>1718</v>
      </c>
      <c r="C51" s="277">
        <v>1270</v>
      </c>
      <c r="D51" s="277">
        <v>1119</v>
      </c>
      <c r="E51" s="149">
        <f t="shared" si="278"/>
        <v>0.7392316647264261</v>
      </c>
      <c r="F51" s="149">
        <f t="shared" si="279"/>
        <v>0.88110236220472427</v>
      </c>
      <c r="G51" s="149">
        <f t="shared" si="280"/>
        <v>0.65133876600698482</v>
      </c>
      <c r="H51" s="285">
        <v>0.12625279419018334</v>
      </c>
      <c r="I51" s="287">
        <v>3.1E-2</v>
      </c>
      <c r="J51" s="27">
        <v>4.7E-2</v>
      </c>
      <c r="K51" s="149">
        <f t="shared" si="293"/>
        <v>0.88777285343220302</v>
      </c>
      <c r="L51" s="149">
        <f t="shared" si="294"/>
        <v>0.9092903634723678</v>
      </c>
      <c r="M51" s="149">
        <f t="shared" si="295"/>
        <v>0.80724330057826899</v>
      </c>
      <c r="N51" s="151">
        <f t="shared" si="296"/>
        <v>0.96109714459631701</v>
      </c>
      <c r="O51" s="149">
        <f t="shared" si="297"/>
        <v>0.97650764373313725</v>
      </c>
      <c r="P51" s="150">
        <f t="shared" si="298"/>
        <v>0.96987311621792671</v>
      </c>
      <c r="Q51" s="276">
        <v>2010</v>
      </c>
      <c r="R51" s="152">
        <f t="shared" si="299"/>
        <v>0.11222714656779698</v>
      </c>
      <c r="S51" s="153">
        <f t="shared" si="300"/>
        <v>9.0709636527632198E-2</v>
      </c>
      <c r="T51" s="154">
        <f t="shared" si="301"/>
        <v>0.19275669942173101</v>
      </c>
      <c r="U51" s="152">
        <f t="shared" si="302"/>
        <v>3.890285540368299E-2</v>
      </c>
      <c r="V51" s="153">
        <f t="shared" si="303"/>
        <v>2.3492356266862746E-2</v>
      </c>
      <c r="W51" s="154">
        <f t="shared" si="304"/>
        <v>3.0126883782073288E-2</v>
      </c>
      <c r="X51" s="283">
        <f t="shared" si="258"/>
        <v>1270</v>
      </c>
      <c r="Y51" s="283">
        <f t="shared" si="259"/>
        <v>1718</v>
      </c>
      <c r="Z51" s="283">
        <f t="shared" si="260"/>
        <v>0.7392316647264261</v>
      </c>
      <c r="AA51" s="283">
        <f t="shared" si="255"/>
        <v>0.89918794771392607</v>
      </c>
      <c r="AB51" s="283">
        <f t="shared" si="261"/>
        <v>1.1153318251698403</v>
      </c>
      <c r="AC51" s="436">
        <f t="shared" si="262"/>
        <v>0.71778200174074425</v>
      </c>
      <c r="AD51" s="436">
        <f t="shared" si="263"/>
        <v>0.75986107317163309</v>
      </c>
      <c r="AE51" s="283">
        <f t="shared" si="264"/>
        <v>1119</v>
      </c>
      <c r="AF51" s="283">
        <f t="shared" si="265"/>
        <v>1270</v>
      </c>
      <c r="AG51" s="283">
        <f t="shared" si="266"/>
        <v>0.88110236220472438</v>
      </c>
      <c r="AH51" s="283">
        <f t="shared" si="256"/>
        <v>0.84862420842087083</v>
      </c>
      <c r="AI51" s="283">
        <f t="shared" si="267"/>
        <v>1.1921505637845122</v>
      </c>
      <c r="AJ51" s="436">
        <f t="shared" si="268"/>
        <v>0.86202019544383923</v>
      </c>
      <c r="AK51" s="436">
        <f t="shared" si="269"/>
        <v>0.89839919052695061</v>
      </c>
      <c r="AL51" s="283">
        <f t="shared" si="270"/>
        <v>1119</v>
      </c>
      <c r="AM51" s="283">
        <f t="shared" si="271"/>
        <v>1718</v>
      </c>
      <c r="AN51" s="283">
        <f t="shared" si="272"/>
        <v>0.65133876600698482</v>
      </c>
      <c r="AO51" s="283">
        <f t="shared" si="257"/>
        <v>0.90623287810271935</v>
      </c>
      <c r="AP51" s="283">
        <f t="shared" si="273"/>
        <v>1.1051787199338672</v>
      </c>
      <c r="AQ51" s="436">
        <f t="shared" si="274"/>
        <v>0.62826996751240693</v>
      </c>
      <c r="AR51" s="436">
        <f t="shared" si="275"/>
        <v>0.67388940235226957</v>
      </c>
    </row>
    <row r="52" spans="1:44" ht="15" customHeight="1">
      <c r="A52" s="276">
        <v>2011</v>
      </c>
      <c r="B52">
        <v>1496</v>
      </c>
      <c r="C52">
        <v>1101</v>
      </c>
      <c r="D52">
        <v>947</v>
      </c>
      <c r="E52" s="149">
        <f t="shared" ref="E52:E54" si="305">C52/B52</f>
        <v>0.73596256684491979</v>
      </c>
      <c r="F52" s="149">
        <f t="shared" ref="F52:F54" si="306">G52/E52</f>
        <v>0.86012715712988197</v>
      </c>
      <c r="G52" s="149">
        <f t="shared" ref="G52:G54" si="307">D52/B52</f>
        <v>0.63302139037433158</v>
      </c>
      <c r="H52" s="285">
        <v>0.1025537774448709</v>
      </c>
      <c r="I52" s="287">
        <v>0.01</v>
      </c>
      <c r="J52" s="27">
        <v>4.7E-2</v>
      </c>
      <c r="K52" s="149">
        <f t="shared" ref="K52:K54" si="308">(C52/B52)/((1-H52)*(1-J52))</f>
        <v>0.86050696699786633</v>
      </c>
      <c r="L52" s="149">
        <f t="shared" ref="L52:L54" si="309">M52/K52</f>
        <v>0.86881531023220404</v>
      </c>
      <c r="M52" s="149">
        <f t="shared" ref="M52:M54" si="310">(D52/B52)/((1-H52)*(1-I52)*(1-J52))</f>
        <v>0.74762162748922423</v>
      </c>
      <c r="N52" s="151">
        <f t="shared" ref="N52:N54" si="311">K52^(1/3)</f>
        <v>0.95115536881103813</v>
      </c>
      <c r="O52" s="149">
        <f t="shared" ref="O52:O54" si="312">L52^(1/4)</f>
        <v>0.96545462275251082</v>
      </c>
      <c r="P52" s="150">
        <f t="shared" ref="P52:P54" si="313">M52^(1/7)</f>
        <v>0.95930023509900941</v>
      </c>
      <c r="Q52" s="276">
        <v>2011</v>
      </c>
      <c r="R52" s="152">
        <f t="shared" ref="R52:R54" si="314">1-K52</f>
        <v>0.13949303300213367</v>
      </c>
      <c r="S52" s="153">
        <f t="shared" ref="S52:S54" si="315">1-L52</f>
        <v>0.13118468976779596</v>
      </c>
      <c r="T52" s="154">
        <f t="shared" ref="T52:T54" si="316">1-M52</f>
        <v>0.25237837251077577</v>
      </c>
      <c r="U52" s="152">
        <f t="shared" ref="U52:U54" si="317">1-N52</f>
        <v>4.8844631188961873E-2</v>
      </c>
      <c r="V52" s="153">
        <f t="shared" ref="V52:V54" si="318">1-O52</f>
        <v>3.4545377247489184E-2</v>
      </c>
      <c r="W52" s="154">
        <f t="shared" ref="W52:W54" si="319">1-P52</f>
        <v>4.0699764900990587E-2</v>
      </c>
      <c r="X52" s="283">
        <f t="shared" si="258"/>
        <v>1101</v>
      </c>
      <c r="Y52" s="283">
        <f t="shared" si="259"/>
        <v>1496</v>
      </c>
      <c r="Z52" s="283">
        <f t="shared" si="260"/>
        <v>0.73596256684491979</v>
      </c>
      <c r="AA52" s="283">
        <f t="shared" si="255"/>
        <v>0.89285046724823758</v>
      </c>
      <c r="AB52" s="283">
        <f t="shared" si="261"/>
        <v>1.1236560030568075</v>
      </c>
      <c r="AC52" s="436">
        <f t="shared" si="262"/>
        <v>0.71284129448583167</v>
      </c>
      <c r="AD52" s="436">
        <f t="shared" si="263"/>
        <v>0.75815372699304995</v>
      </c>
      <c r="AE52" s="283">
        <f t="shared" si="264"/>
        <v>947</v>
      </c>
      <c r="AF52" s="283">
        <f t="shared" si="265"/>
        <v>1101</v>
      </c>
      <c r="AG52" s="283">
        <f t="shared" si="266"/>
        <v>0.86012715712988197</v>
      </c>
      <c r="AH52" s="283">
        <f t="shared" si="256"/>
        <v>0.84805405422842084</v>
      </c>
      <c r="AI52" s="283">
        <f t="shared" si="267"/>
        <v>1.1922485188058081</v>
      </c>
      <c r="AJ52" s="436">
        <f t="shared" si="268"/>
        <v>0.83822269395091664</v>
      </c>
      <c r="AK52" s="436">
        <f t="shared" si="269"/>
        <v>0.88008580211206799</v>
      </c>
      <c r="AL52" s="283">
        <f t="shared" si="270"/>
        <v>947</v>
      </c>
      <c r="AM52" s="283">
        <f t="shared" si="271"/>
        <v>1496</v>
      </c>
      <c r="AN52" s="283">
        <f t="shared" si="272"/>
        <v>0.63302139037433158</v>
      </c>
      <c r="AO52" s="283">
        <f t="shared" si="257"/>
        <v>0.90088430331889435</v>
      </c>
      <c r="AP52" s="283">
        <f t="shared" si="273"/>
        <v>1.1117198032775573</v>
      </c>
      <c r="AQ52" s="436">
        <f t="shared" si="274"/>
        <v>0.60802129129656357</v>
      </c>
      <c r="AR52" s="436">
        <f t="shared" si="275"/>
        <v>0.65749800545690962</v>
      </c>
    </row>
    <row r="53" spans="1:44" ht="15" customHeight="1">
      <c r="A53" s="143">
        <v>2012</v>
      </c>
      <c r="B53" s="277">
        <v>882</v>
      </c>
      <c r="C53" s="277">
        <v>644</v>
      </c>
      <c r="D53" s="277">
        <v>521</v>
      </c>
      <c r="E53" s="149">
        <f t="shared" si="305"/>
        <v>0.73015873015873012</v>
      </c>
      <c r="F53" s="149">
        <f t="shared" si="306"/>
        <v>0.80900621118012428</v>
      </c>
      <c r="G53" s="149">
        <f t="shared" si="307"/>
        <v>0.59070294784580502</v>
      </c>
      <c r="H53" s="285">
        <v>0.14476227729842581</v>
      </c>
      <c r="I53" s="287"/>
      <c r="J53" s="27">
        <v>4.7E-2</v>
      </c>
      <c r="K53" s="149">
        <f t="shared" si="308"/>
        <v>0.8958546105980606</v>
      </c>
      <c r="L53" s="149">
        <f t="shared" si="309"/>
        <v>0.80900621118012439</v>
      </c>
      <c r="M53" s="149">
        <f t="shared" si="310"/>
        <v>0.72475194428818268</v>
      </c>
      <c r="N53" s="151">
        <f t="shared" si="311"/>
        <v>0.964004758631829</v>
      </c>
      <c r="O53" s="149">
        <f t="shared" si="312"/>
        <v>0.94839217924430419</v>
      </c>
      <c r="P53" s="150">
        <f t="shared" si="313"/>
        <v>0.95505208180318457</v>
      </c>
      <c r="Q53" s="143">
        <v>2012</v>
      </c>
      <c r="R53" s="152">
        <f t="shared" si="314"/>
        <v>0.1041453894019394</v>
      </c>
      <c r="S53" s="153">
        <f t="shared" si="315"/>
        <v>0.19099378881987561</v>
      </c>
      <c r="T53" s="154">
        <f t="shared" si="316"/>
        <v>0.27524805571181732</v>
      </c>
      <c r="U53" s="152">
        <f t="shared" si="317"/>
        <v>3.5995241368171005E-2</v>
      </c>
      <c r="V53" s="153">
        <f t="shared" si="318"/>
        <v>5.160782075569581E-2</v>
      </c>
      <c r="W53" s="154">
        <f t="shared" si="319"/>
        <v>4.4947918196815428E-2</v>
      </c>
      <c r="X53" s="283">
        <f t="shared" si="258"/>
        <v>644</v>
      </c>
      <c r="Y53" s="283">
        <f t="shared" si="259"/>
        <v>882</v>
      </c>
      <c r="Z53" s="283">
        <f t="shared" si="260"/>
        <v>0.73015873015873012</v>
      </c>
      <c r="AA53" s="283">
        <f t="shared" si="255"/>
        <v>0.86413457145625761</v>
      </c>
      <c r="AB53" s="283">
        <f t="shared" si="261"/>
        <v>1.1634315826513815</v>
      </c>
      <c r="AC53" s="436">
        <f t="shared" si="262"/>
        <v>0.69956103126935198</v>
      </c>
      <c r="AD53" s="436">
        <f t="shared" si="263"/>
        <v>0.75921005620864257</v>
      </c>
      <c r="AE53" s="283">
        <f t="shared" si="264"/>
        <v>521</v>
      </c>
      <c r="AF53" s="283">
        <f t="shared" si="265"/>
        <v>644</v>
      </c>
      <c r="AG53" s="283">
        <f t="shared" si="266"/>
        <v>0.80900621118012417</v>
      </c>
      <c r="AH53" s="283">
        <f t="shared" si="256"/>
        <v>0.82679633894018634</v>
      </c>
      <c r="AI53" s="283">
        <f t="shared" si="267"/>
        <v>1.2249121328832238</v>
      </c>
      <c r="AJ53" s="436">
        <f t="shared" si="268"/>
        <v>0.77648027887912696</v>
      </c>
      <c r="AK53" s="436">
        <f t="shared" si="269"/>
        <v>0.83866824087493885</v>
      </c>
      <c r="AL53" s="283">
        <f t="shared" si="270"/>
        <v>521</v>
      </c>
      <c r="AM53" s="283">
        <f t="shared" si="271"/>
        <v>882</v>
      </c>
      <c r="AN53" s="283">
        <f t="shared" si="272"/>
        <v>0.59070294784580502</v>
      </c>
      <c r="AO53" s="283">
        <f t="shared" si="257"/>
        <v>0.87513413240787519</v>
      </c>
      <c r="AP53" s="283">
        <f t="shared" si="273"/>
        <v>1.1446394154807367</v>
      </c>
      <c r="AQ53" s="436">
        <f t="shared" si="274"/>
        <v>0.55742739207666325</v>
      </c>
      <c r="AR53" s="436">
        <f t="shared" si="275"/>
        <v>0.62337054613713183</v>
      </c>
    </row>
    <row r="54" spans="1:44" ht="15" customHeight="1">
      <c r="A54" s="143">
        <v>2013</v>
      </c>
      <c r="B54" s="277">
        <v>501</v>
      </c>
      <c r="C54" s="277">
        <v>322</v>
      </c>
      <c r="D54" s="277">
        <v>315</v>
      </c>
      <c r="E54" s="149">
        <f t="shared" si="305"/>
        <v>0.64271457085828343</v>
      </c>
      <c r="F54" s="149">
        <f t="shared" si="306"/>
        <v>0.97826086956521729</v>
      </c>
      <c r="G54" s="149">
        <f t="shared" si="307"/>
        <v>0.62874251497005984</v>
      </c>
      <c r="H54" s="285">
        <v>0.14202185428995723</v>
      </c>
      <c r="I54" s="287"/>
      <c r="J54" s="27">
        <v>4.7E-2</v>
      </c>
      <c r="K54" s="149">
        <f t="shared" si="308"/>
        <v>0.78604791394482465</v>
      </c>
      <c r="L54" s="149">
        <f t="shared" si="309"/>
        <v>0.97826086956521718</v>
      </c>
      <c r="M54" s="149">
        <f t="shared" si="310"/>
        <v>0.7689599158155892</v>
      </c>
      <c r="N54" s="151">
        <f t="shared" si="311"/>
        <v>0.92288943252888156</v>
      </c>
      <c r="O54" s="149">
        <f t="shared" si="312"/>
        <v>0.99452034171940418</v>
      </c>
      <c r="P54" s="150">
        <f t="shared" si="313"/>
        <v>0.96316463677229591</v>
      </c>
      <c r="Q54" s="143">
        <v>2013</v>
      </c>
      <c r="R54" s="152">
        <f t="shared" si="314"/>
        <v>0.21395208605517535</v>
      </c>
      <c r="S54" s="153">
        <f t="shared" si="315"/>
        <v>2.1739130434782816E-2</v>
      </c>
      <c r="T54" s="154">
        <f t="shared" si="316"/>
        <v>0.2310400841844108</v>
      </c>
      <c r="U54" s="152">
        <f t="shared" si="317"/>
        <v>7.7110567471118441E-2</v>
      </c>
      <c r="V54" s="153">
        <f t="shared" si="318"/>
        <v>5.4796582805958227E-3</v>
      </c>
      <c r="W54" s="154">
        <f t="shared" si="319"/>
        <v>3.6835363227704088E-2</v>
      </c>
      <c r="X54" s="283">
        <f t="shared" si="258"/>
        <v>322</v>
      </c>
      <c r="Y54" s="283">
        <f t="shared" si="259"/>
        <v>501</v>
      </c>
      <c r="Z54" s="283">
        <f t="shared" si="260"/>
        <v>0.64271457085828343</v>
      </c>
      <c r="AA54" s="283">
        <f t="shared" si="255"/>
        <v>0.8350591388026688</v>
      </c>
      <c r="AB54" s="283">
        <f t="shared" si="261"/>
        <v>1.2035790565520663</v>
      </c>
      <c r="AC54" s="436">
        <f t="shared" si="262"/>
        <v>0.59901003838376443</v>
      </c>
      <c r="AD54" s="436">
        <f t="shared" si="263"/>
        <v>0.68472373892769556</v>
      </c>
      <c r="AE54" s="283">
        <f t="shared" si="264"/>
        <v>315</v>
      </c>
      <c r="AF54" s="283">
        <f t="shared" si="265"/>
        <v>322</v>
      </c>
      <c r="AG54" s="283">
        <f t="shared" si="266"/>
        <v>0.97826086956521741</v>
      </c>
      <c r="AH54" s="283">
        <f t="shared" si="256"/>
        <v>0.54820490069552985</v>
      </c>
      <c r="AI54" s="283">
        <f t="shared" si="267"/>
        <v>2.4997279719837362</v>
      </c>
      <c r="AJ54" s="436">
        <f t="shared" si="268"/>
        <v>0.95572393833289082</v>
      </c>
      <c r="AK54" s="436">
        <f t="shared" si="269"/>
        <v>0.99121611659960973</v>
      </c>
      <c r="AL54" s="283">
        <f t="shared" si="270"/>
        <v>315</v>
      </c>
      <c r="AM54" s="283">
        <f t="shared" si="271"/>
        <v>501</v>
      </c>
      <c r="AN54" s="283">
        <f t="shared" si="272"/>
        <v>0.62874251497005984</v>
      </c>
      <c r="AO54" s="283">
        <f t="shared" si="257"/>
        <v>0.83606755045461867</v>
      </c>
      <c r="AP54" s="283">
        <f t="shared" si="273"/>
        <v>1.2014428803123656</v>
      </c>
      <c r="AQ54" s="436">
        <f t="shared" si="274"/>
        <v>0.58477780179686623</v>
      </c>
      <c r="AR54" s="436">
        <f t="shared" si="275"/>
        <v>0.67117821364517238</v>
      </c>
    </row>
    <row r="55" spans="1:44" ht="15" customHeight="1">
      <c r="A55" s="143">
        <v>2014</v>
      </c>
      <c r="B55" s="139">
        <v>895</v>
      </c>
      <c r="C55" s="139">
        <v>670</v>
      </c>
      <c r="D55" s="139">
        <v>593</v>
      </c>
      <c r="E55" s="149">
        <f t="shared" ref="E55" si="320">C55/B55</f>
        <v>0.74860335195530725</v>
      </c>
      <c r="F55" s="149">
        <f t="shared" ref="F55" si="321">G55/E55</f>
        <v>0.88507462686567173</v>
      </c>
      <c r="G55" s="149">
        <f t="shared" ref="G55" si="322">D55/B55</f>
        <v>0.66256983240223466</v>
      </c>
      <c r="H55" s="285">
        <v>0.14226839026391092</v>
      </c>
      <c r="I55" s="287"/>
      <c r="J55" s="27">
        <v>4.7E-2</v>
      </c>
      <c r="K55" s="149">
        <f t="shared" ref="K55" si="323">(C55/B55)/((1-H55)*(1-J55))</f>
        <v>0.9158143651607924</v>
      </c>
      <c r="L55" s="149">
        <f t="shared" ref="L55" si="324">M55/K55</f>
        <v>0.88507462686567162</v>
      </c>
      <c r="M55" s="149">
        <f t="shared" ref="M55" si="325">(D55/B55)/((1-H55)*(1-I55)*(1-J55))</f>
        <v>0.81056405752291028</v>
      </c>
      <c r="N55" s="151">
        <f t="shared" ref="N55" si="326">K55^(1/3)</f>
        <v>0.9711116193386774</v>
      </c>
      <c r="O55" s="149">
        <f t="shared" ref="O55" si="327">L55^(1/4)</f>
        <v>0.96994022960532089</v>
      </c>
      <c r="P55" s="150">
        <f t="shared" ref="P55" si="328">M55^(1/7)</f>
        <v>0.97044208066027837</v>
      </c>
      <c r="Q55" s="143">
        <v>2014</v>
      </c>
      <c r="R55" s="152">
        <f t="shared" ref="R55" si="329">1-K55</f>
        <v>8.4185634839207601E-2</v>
      </c>
      <c r="S55" s="153">
        <f t="shared" ref="S55" si="330">1-L55</f>
        <v>0.11492537313432838</v>
      </c>
      <c r="T55" s="154">
        <f t="shared" ref="T55" si="331">1-M55</f>
        <v>0.18943594247708972</v>
      </c>
      <c r="U55" s="152">
        <f t="shared" ref="U55" si="332">1-N55</f>
        <v>2.8888380661322599E-2</v>
      </c>
      <c r="V55" s="153">
        <f t="shared" ref="V55" si="333">1-O55</f>
        <v>3.0059770394679108E-2</v>
      </c>
      <c r="W55" s="154">
        <f t="shared" ref="W55" si="334">1-P55</f>
        <v>2.9557919339721628E-2</v>
      </c>
      <c r="X55" s="283">
        <f t="shared" ref="X55" si="335">C55</f>
        <v>670</v>
      </c>
      <c r="Y55" s="283">
        <f t="shared" ref="Y55" si="336">B55</f>
        <v>895</v>
      </c>
      <c r="Z55" s="283">
        <f t="shared" ref="Z55" si="337">X55/Y55</f>
        <v>0.74860335195530725</v>
      </c>
      <c r="AA55" s="283">
        <f t="shared" ref="AA55" si="338">_xlfn.F.INV(0.05/2, 2*X55, 2*(Y55-X55+1))</f>
        <v>0.86237986143135703</v>
      </c>
      <c r="AB55" s="283">
        <f t="shared" ref="AB55" si="339">_xlfn.F.INV(1-0.05/2, 2*(X55+1), 2*(Y55-X55))</f>
        <v>1.1665158807882514</v>
      </c>
      <c r="AC55" s="436">
        <f t="shared" ref="AC55" si="340">IF(X55=0, 0, 1/(1 +(Y55-X55+1)/(X55*AA55)))</f>
        <v>0.71883360985036937</v>
      </c>
      <c r="AD55" s="436">
        <f t="shared" ref="AD55" si="341">IF(X55=Y55, 1, 1/(1 + (Y55-X55)/(AB55*(X55+1))))</f>
        <v>0.77672638641292979</v>
      </c>
      <c r="AE55" s="283">
        <f t="shared" ref="AE55" si="342">D55</f>
        <v>593</v>
      </c>
      <c r="AF55" s="283">
        <f t="shared" ref="AF55" si="343">C55</f>
        <v>670</v>
      </c>
      <c r="AG55" s="283">
        <f t="shared" ref="AG55" si="344">AE55/AF55</f>
        <v>0.88507462686567162</v>
      </c>
      <c r="AH55" s="283">
        <f t="shared" ref="AH55" si="345">_xlfn.F.INV(0.05/2, 2*AE55, 2*(AF55-AE55+1))</f>
        <v>0.79780864448726385</v>
      </c>
      <c r="AI55" s="283">
        <f t="shared" ref="AI55" si="346">_xlfn.F.INV(1-0.05/2, 2*(AE55+1), 2*(AF55-AE55))</f>
        <v>1.2829335104814596</v>
      </c>
      <c r="AJ55" s="436">
        <f t="shared" ref="AJ55" si="347">IF(AE55=0, 0, 1/(1 +(AF55-AE55+1)/(AE55*AH55)))</f>
        <v>0.85846502354020693</v>
      </c>
      <c r="AK55" s="436">
        <f t="shared" ref="AK55" si="348">IF(AE55=AF55, 1, 1/(1 + (AF55-AE55)/(AI55*(AE55+1))))</f>
        <v>0.90823091304829373</v>
      </c>
      <c r="AL55" s="283">
        <f t="shared" ref="AL55" si="349">D55</f>
        <v>593</v>
      </c>
      <c r="AM55" s="283">
        <f t="shared" ref="AM55" si="350">B55</f>
        <v>895</v>
      </c>
      <c r="AN55" s="283">
        <f t="shared" ref="AN55" si="351">AL55/AM55</f>
        <v>0.66256983240223466</v>
      </c>
      <c r="AO55" s="283">
        <f t="shared" ref="AO55" si="352">_xlfn.F.INV(0.05/2, 2*AL55, 2*(AM55-AL55+1))</f>
        <v>0.87202415693172508</v>
      </c>
      <c r="AP55" s="283">
        <f t="shared" ref="AP55" si="353">_xlfn.F.INV(1-0.05/2, 2*(AL55+1), 2*(AM55-AL55))</f>
        <v>1.1505161482939004</v>
      </c>
      <c r="AQ55" s="436">
        <f t="shared" ref="AQ55" si="354">IF(AL55=0, 0, 1/(1 +(AM55-AL55+1)/(AL55*AO55)))</f>
        <v>0.63053751337950459</v>
      </c>
      <c r="AR55" s="436">
        <f t="shared" ref="AR55" si="355">IF(AL55=AM55, 1, 1/(1 + (AM55-AL55)/(AP55*(AL55+1))))</f>
        <v>0.69352752211600122</v>
      </c>
    </row>
    <row r="56" spans="1:44" ht="15" customHeight="1">
      <c r="A56" s="143">
        <v>2015</v>
      </c>
      <c r="B56">
        <v>957</v>
      </c>
      <c r="C56">
        <v>741</v>
      </c>
      <c r="D56">
        <v>668</v>
      </c>
      <c r="E56" s="149">
        <f t="shared" ref="E56:E57" si="356">C56/B56</f>
        <v>0.77429467084639503</v>
      </c>
      <c r="F56" s="149">
        <f t="shared" ref="F56:F57" si="357">G56/E56</f>
        <v>0.90148448043184881</v>
      </c>
      <c r="G56" s="149">
        <f t="shared" ref="G56:G57" si="358">D56/B56</f>
        <v>0.69801462904911182</v>
      </c>
      <c r="H56" s="285">
        <v>0.15062591320143742</v>
      </c>
      <c r="I56" s="287"/>
      <c r="J56" s="27">
        <v>4.7E-2</v>
      </c>
      <c r="K56" s="149">
        <f t="shared" ref="K56" si="359">(C56/B56)/((1-H56)*(1-J56))</f>
        <v>0.9565647271058032</v>
      </c>
      <c r="L56" s="149">
        <f t="shared" ref="L56" si="360">M56/K56</f>
        <v>0.90148448043184892</v>
      </c>
      <c r="M56" s="149">
        <f t="shared" ref="M56" si="361">(D56/B56)/((1-H56)*(1-I56)*(1-J56))</f>
        <v>0.86232825601440832</v>
      </c>
      <c r="N56" s="151">
        <f t="shared" ref="N56" si="362">K56^(1/3)</f>
        <v>0.9853067412337162</v>
      </c>
      <c r="O56" s="149">
        <f t="shared" ref="O56" si="363">L56^(1/4)</f>
        <v>0.97440513421155239</v>
      </c>
      <c r="P56" s="150">
        <f t="shared" ref="P56" si="364">M56^(1/7)</f>
        <v>0.97906240369990638</v>
      </c>
      <c r="Q56" s="143">
        <v>2015</v>
      </c>
      <c r="R56" s="152">
        <f t="shared" ref="R56" si="365">1-K56</f>
        <v>4.3435272894196797E-2</v>
      </c>
      <c r="S56" s="153">
        <f t="shared" ref="S56" si="366">1-L56</f>
        <v>9.8515519568151078E-2</v>
      </c>
      <c r="T56" s="154">
        <f t="shared" ref="T56" si="367">1-M56</f>
        <v>0.13767174398559168</v>
      </c>
      <c r="U56" s="152">
        <f t="shared" ref="U56" si="368">1-N56</f>
        <v>1.4693258766283801E-2</v>
      </c>
      <c r="V56" s="153">
        <f t="shared" ref="V56" si="369">1-O56</f>
        <v>2.5594865788447607E-2</v>
      </c>
      <c r="W56" s="154">
        <f t="shared" ref="W56" si="370">1-P56</f>
        <v>2.0937596300093619E-2</v>
      </c>
      <c r="X56" s="283">
        <f t="shared" ref="X56:X66" si="371">C56</f>
        <v>741</v>
      </c>
      <c r="Y56" s="283">
        <f t="shared" ref="Y56:Y66" si="372">B56</f>
        <v>957</v>
      </c>
      <c r="Z56" s="283">
        <f t="shared" ref="Z56:Z66" si="373">X56/Y56</f>
        <v>0.77429467084639503</v>
      </c>
      <c r="AA56" s="283">
        <f t="shared" ref="AA56:AA66" si="374">_xlfn.F.INV(0.05/2, 2*X56, 2*(Y56-X56+1))</f>
        <v>0.86220454806179903</v>
      </c>
      <c r="AB56" s="283">
        <f t="shared" ref="AB56:AB66" si="375">_xlfn.F.INV(1-0.05/2, 2*(X56+1), 2*(Y56-X56))</f>
        <v>1.1675276419500695</v>
      </c>
      <c r="AC56" s="436">
        <f t="shared" ref="AC56:AC66" si="376">IF(X56=0, 0, 1/(1 +(Y56-X56+1)/(X56*AA56)))</f>
        <v>0.74646380393867262</v>
      </c>
      <c r="AD56" s="436">
        <f t="shared" ref="AD56:AD66" si="377">IF(X56=Y56, 1, 1/(1 + (Y56-X56)/(AB56*(X56+1))))</f>
        <v>0.80042603688236891</v>
      </c>
      <c r="AE56" s="283">
        <f t="shared" ref="AE56:AE66" si="378">D56</f>
        <v>668</v>
      </c>
      <c r="AF56" s="283">
        <f t="shared" ref="AF56:AF66" si="379">C56</f>
        <v>741</v>
      </c>
      <c r="AG56" s="283">
        <f t="shared" ref="AG56:AG66" si="380">AE56/AF56</f>
        <v>0.90148448043184881</v>
      </c>
      <c r="AH56" s="283">
        <f t="shared" ref="AH56:AH66" si="381">_xlfn.F.INV(0.05/2, 2*AE56, 2*(AF56-AE56+1))</f>
        <v>0.79521542919903887</v>
      </c>
      <c r="AI56" s="283">
        <f t="shared" ref="AI56:AI66" si="382">_xlfn.F.INV(1-0.05/2, 2*(AE56+1), 2*(AF56-AE56))</f>
        <v>1.2895352110835481</v>
      </c>
      <c r="AJ56" s="436">
        <f t="shared" ref="AJ56:AJ66" si="383">IF(AE56=0, 0, 1/(1 +(AF56-AE56+1)/(AE56*AH56)))</f>
        <v>0.87772716074670742</v>
      </c>
      <c r="AK56" s="436">
        <f t="shared" ref="AK56:AK66" si="384">IF(AE56=AF56, 1, 1/(1 + (AF56-AE56)/(AI56*(AE56+1))))</f>
        <v>0.92198346304280687</v>
      </c>
      <c r="AL56" s="283">
        <f t="shared" ref="AL56:AL66" si="385">D56</f>
        <v>668</v>
      </c>
      <c r="AM56" s="283">
        <f t="shared" ref="AM56:AM66" si="386">B56</f>
        <v>957</v>
      </c>
      <c r="AN56" s="283">
        <f t="shared" ref="AN56:AN66" si="387">AL56/AM56</f>
        <v>0.69801462904911182</v>
      </c>
      <c r="AO56" s="283">
        <f t="shared" ref="AO56:AO66" si="388">_xlfn.F.INV(0.05/2, 2*AL56, 2*(AM56-AL56+1))</f>
        <v>0.87281112139839867</v>
      </c>
      <c r="AP56" s="283">
        <f t="shared" ref="AP56:AP66" si="389">_xlfn.F.INV(1-0.05/2, 2*(AL56+1), 2*(AM56-AL56))</f>
        <v>1.1502615886609591</v>
      </c>
      <c r="AQ56" s="436">
        <f t="shared" ref="AQ56:AQ66" si="390">IF(AL56=0, 0, 1/(1 +(AM56-AL56+1)/(AL56*AO56)))</f>
        <v>0.66782653587771124</v>
      </c>
      <c r="AR56" s="436">
        <f t="shared" ref="AR56:AR66" si="391">IF(AL56=AM56, 1, 1/(1 + (AM56-AL56)/(AP56*(AL56+1))))</f>
        <v>0.72697857940845212</v>
      </c>
    </row>
    <row r="57" spans="1:44" ht="15" customHeight="1">
      <c r="A57" s="143">
        <v>2016</v>
      </c>
      <c r="B57">
        <v>735</v>
      </c>
      <c r="C57">
        <v>522</v>
      </c>
      <c r="D57">
        <v>459</v>
      </c>
      <c r="E57" s="149">
        <f t="shared" si="356"/>
        <v>0.71020408163265303</v>
      </c>
      <c r="F57" s="149">
        <f t="shared" si="357"/>
        <v>0.8793103448275863</v>
      </c>
      <c r="G57" s="149">
        <f t="shared" si="358"/>
        <v>0.6244897959183674</v>
      </c>
      <c r="H57" s="285">
        <v>0.16091754653504534</v>
      </c>
      <c r="I57" s="287"/>
      <c r="J57" s="27">
        <v>4.7E-2</v>
      </c>
      <c r="K57" s="149">
        <f t="shared" ref="K57:K65" si="392">(C57/B57)/((1-H57)*(1-J57))</f>
        <v>0.88814857611525999</v>
      </c>
      <c r="L57" s="149">
        <f t="shared" ref="L57:L65" si="393">M57/K57</f>
        <v>0.87931034482758619</v>
      </c>
      <c r="M57" s="149">
        <f t="shared" ref="M57:M65" si="394">(D57/B57)/((1-H57)*(1-I57)*(1-J57))</f>
        <v>0.78095823072203896</v>
      </c>
      <c r="N57" s="151">
        <f t="shared" ref="N57:N65" si="395">K57^(1/3)</f>
        <v>0.96123271045496039</v>
      </c>
      <c r="O57" s="149">
        <f t="shared" ref="O57:O65" si="396">L57^(1/4)</f>
        <v>0.96835710999350633</v>
      </c>
      <c r="P57" s="150">
        <f t="shared" ref="P57:P65" si="397">M57^(1/7)</f>
        <v>0.96529735281046603</v>
      </c>
      <c r="Q57" s="143">
        <v>2016</v>
      </c>
      <c r="R57" s="152">
        <f t="shared" ref="R57:R65" si="398">1-K57</f>
        <v>0.11185142388474001</v>
      </c>
      <c r="S57" s="153">
        <f t="shared" ref="S57:S65" si="399">1-L57</f>
        <v>0.12068965517241381</v>
      </c>
      <c r="T57" s="154">
        <f t="shared" ref="T57:T65" si="400">1-M57</f>
        <v>0.21904176927796104</v>
      </c>
      <c r="U57" s="152">
        <f t="shared" ref="U57:U65" si="401">1-N57</f>
        <v>3.8767289545039607E-2</v>
      </c>
      <c r="V57" s="153">
        <f t="shared" ref="V57:V65" si="402">1-O57</f>
        <v>3.1642890006493674E-2</v>
      </c>
      <c r="W57" s="154">
        <f t="shared" ref="W57:W65" si="403">1-P57</f>
        <v>3.4702647189533975E-2</v>
      </c>
      <c r="X57" s="283">
        <f t="shared" ref="X57:X65" si="404">C57</f>
        <v>522</v>
      </c>
      <c r="Y57" s="283">
        <f t="shared" ref="Y57:Y65" si="405">B57</f>
        <v>735</v>
      </c>
      <c r="Z57" s="283">
        <f t="shared" ref="Z57:Z65" si="406">X57/Y57</f>
        <v>0.71020408163265303</v>
      </c>
      <c r="AA57" s="283">
        <f t="shared" ref="AA57:AA65" si="407">_xlfn.F.INV(0.05/2, 2*X57, 2*(Y57-X57+1))</f>
        <v>0.85507120869615705</v>
      </c>
      <c r="AB57" s="283">
        <f t="shared" ref="AB57:AB65" si="408">_xlfn.F.INV(1-0.05/2, 2*(X57+1), 2*(Y57-X57))</f>
        <v>1.1760886624486349</v>
      </c>
      <c r="AC57" s="436">
        <f t="shared" ref="AC57:AC65" si="409">IF(X57=0, 0, 1/(1 +(Y57-X57+1)/(X57*AA57)))</f>
        <v>0.67592804297840969</v>
      </c>
      <c r="AD57" s="436">
        <f t="shared" ref="AD57:AD65" si="410">IF(X57=Y57, 1, 1/(1 + (Y57-X57)/(AB57*(X57+1))))</f>
        <v>0.74278293924215844</v>
      </c>
      <c r="AE57" s="283">
        <f t="shared" ref="AE57:AE65" si="411">D57</f>
        <v>459</v>
      </c>
      <c r="AF57" s="283">
        <f t="shared" ref="AF57:AF65" si="412">C57</f>
        <v>522</v>
      </c>
      <c r="AG57" s="283">
        <f t="shared" ref="AG57:AG65" si="413">AE57/AF57</f>
        <v>0.87931034482758619</v>
      </c>
      <c r="AH57" s="283">
        <f t="shared" ref="AH57:AH65" si="414">_xlfn.F.INV(0.05/2, 2*AE57, 2*(AF57-AE57+1))</f>
        <v>0.77933724909683721</v>
      </c>
      <c r="AI57" s="283">
        <f t="shared" ref="AI57:AI65" si="415">_xlfn.F.INV(1-0.05/2, 2*(AE57+1), 2*(AF57-AE57))</f>
        <v>1.3200325740007883</v>
      </c>
      <c r="AJ57" s="436">
        <f t="shared" ref="AJ57:AJ65" si="416">IF(AE57=0, 0, 1/(1 +(AF57-AE57+1)/(AE57*AH57)))</f>
        <v>0.84823902636710569</v>
      </c>
      <c r="AK57" s="436">
        <f t="shared" ref="AK57:AK65" si="417">IF(AE57=AF57, 1, 1/(1 + (AF57-AE57)/(AI57*(AE57+1))))</f>
        <v>0.90600031109390133</v>
      </c>
      <c r="AL57" s="283">
        <f t="shared" ref="AL57:AL65" si="418">D57</f>
        <v>459</v>
      </c>
      <c r="AM57" s="283">
        <f t="shared" ref="AM57:AM65" si="419">B57</f>
        <v>735</v>
      </c>
      <c r="AN57" s="283">
        <f t="shared" ref="AN57:AN65" si="420">AL57/AM57</f>
        <v>0.6244897959183674</v>
      </c>
      <c r="AO57" s="283">
        <f t="shared" ref="AO57:AO65" si="421">_xlfn.F.INV(0.05/2, 2*AL57, 2*(AM57-AL57+1))</f>
        <v>0.86255650465506428</v>
      </c>
      <c r="AP57" s="283">
        <f t="shared" ref="AP57:AP65" si="422">_xlfn.F.INV(1-0.05/2, 2*(AL57+1), 2*(AM57-AL57))</f>
        <v>1.1627304148633431</v>
      </c>
      <c r="AQ57" s="436">
        <f t="shared" ref="AQ57:AQ65" si="423">IF(AL57=0, 0, 1/(1 +(AM57-AL57+1)/(AL57*AO57)))</f>
        <v>0.58835715661121024</v>
      </c>
      <c r="AR57" s="436">
        <f t="shared" ref="AR57:AR65" si="424">IF(AL57=AM57, 1, 1/(1 + (AM57-AL57)/(AP57*(AL57+1))))</f>
        <v>0.65961896672298836</v>
      </c>
    </row>
    <row r="58" spans="1:44" ht="15" customHeight="1">
      <c r="A58" s="143">
        <v>2017</v>
      </c>
      <c r="B58">
        <v>598</v>
      </c>
      <c r="C58">
        <v>434</v>
      </c>
      <c r="D58">
        <v>379</v>
      </c>
      <c r="E58" s="149">
        <f t="shared" ref="E58:E59" si="425">C58/B58</f>
        <v>0.72575250836120397</v>
      </c>
      <c r="F58" s="149">
        <f t="shared" ref="F58:F59" si="426">G58/E58</f>
        <v>0.87327188940092171</v>
      </c>
      <c r="G58" s="149">
        <f t="shared" ref="G58:G59" si="427">D58/B58</f>
        <v>0.63377926421404684</v>
      </c>
      <c r="H58" s="285">
        <v>0.10504278782531981</v>
      </c>
      <c r="I58" s="287"/>
      <c r="J58" s="27">
        <v>4.7E-2</v>
      </c>
      <c r="K58" s="149">
        <f t="shared" si="392"/>
        <v>0.85092909368776004</v>
      </c>
      <c r="L58" s="149">
        <f t="shared" si="393"/>
        <v>0.87327188940092171</v>
      </c>
      <c r="M58" s="149">
        <f t="shared" si="394"/>
        <v>0.74309245739092411</v>
      </c>
      <c r="N58" s="151">
        <f t="shared" si="395"/>
        <v>0.94761324913460765</v>
      </c>
      <c r="O58" s="149">
        <f t="shared" si="396"/>
        <v>0.96669032072987993</v>
      </c>
      <c r="P58" s="150">
        <f t="shared" si="397"/>
        <v>0.95846785127307099</v>
      </c>
      <c r="Q58" s="143">
        <v>2017</v>
      </c>
      <c r="R58" s="152">
        <f t="shared" si="398"/>
        <v>0.14907090631223996</v>
      </c>
      <c r="S58" s="153">
        <f t="shared" si="399"/>
        <v>0.12672811059907829</v>
      </c>
      <c r="T58" s="154">
        <f t="shared" si="400"/>
        <v>0.25690754260907589</v>
      </c>
      <c r="U58" s="152">
        <f t="shared" si="401"/>
        <v>5.2386750865392351E-2</v>
      </c>
      <c r="V58" s="153">
        <f t="shared" si="402"/>
        <v>3.3309679270120074E-2</v>
      </c>
      <c r="W58" s="154">
        <f t="shared" si="403"/>
        <v>4.1532148726929008E-2</v>
      </c>
      <c r="X58" s="283">
        <f t="shared" si="404"/>
        <v>434</v>
      </c>
      <c r="Y58" s="283">
        <f t="shared" si="405"/>
        <v>598</v>
      </c>
      <c r="Z58" s="283">
        <f t="shared" si="406"/>
        <v>0.72575250836120397</v>
      </c>
      <c r="AA58" s="283">
        <f t="shared" si="407"/>
        <v>0.83875479093476768</v>
      </c>
      <c r="AB58" s="283">
        <f t="shared" si="408"/>
        <v>1.2014728632738012</v>
      </c>
      <c r="AC58" s="436">
        <f t="shared" si="409"/>
        <v>0.68810228114991534</v>
      </c>
      <c r="AD58" s="436">
        <f t="shared" si="410"/>
        <v>0.76115601497400165</v>
      </c>
      <c r="AE58" s="283">
        <f t="shared" si="411"/>
        <v>379</v>
      </c>
      <c r="AF58" s="283">
        <f t="shared" si="412"/>
        <v>434</v>
      </c>
      <c r="AG58" s="283">
        <f t="shared" si="413"/>
        <v>0.87327188940092171</v>
      </c>
      <c r="AH58" s="283">
        <f t="shared" si="414"/>
        <v>0.76578415664687038</v>
      </c>
      <c r="AI58" s="283">
        <f t="shared" si="415"/>
        <v>1.3487217765351136</v>
      </c>
      <c r="AJ58" s="436">
        <f t="shared" si="416"/>
        <v>0.83825883107060273</v>
      </c>
      <c r="AK58" s="436">
        <f t="shared" si="417"/>
        <v>0.90308613824397121</v>
      </c>
      <c r="AL58" s="283">
        <f t="shared" si="418"/>
        <v>379</v>
      </c>
      <c r="AM58" s="283">
        <f t="shared" si="419"/>
        <v>598</v>
      </c>
      <c r="AN58" s="283">
        <f t="shared" si="420"/>
        <v>0.63377926421404684</v>
      </c>
      <c r="AO58" s="283">
        <f t="shared" si="421"/>
        <v>0.84836662352881609</v>
      </c>
      <c r="AP58" s="283">
        <f t="shared" si="422"/>
        <v>1.1833499919420236</v>
      </c>
      <c r="AQ58" s="436">
        <f t="shared" si="423"/>
        <v>0.59374436517239537</v>
      </c>
      <c r="AR58" s="436">
        <f t="shared" si="424"/>
        <v>0.67248565292323881</v>
      </c>
    </row>
    <row r="59" spans="1:44" ht="15" customHeight="1">
      <c r="A59" s="143">
        <v>2018</v>
      </c>
      <c r="B59">
        <v>111</v>
      </c>
      <c r="C59">
        <v>86</v>
      </c>
      <c r="D59">
        <v>73</v>
      </c>
      <c r="E59" s="149">
        <f t="shared" si="425"/>
        <v>0.77477477477477474</v>
      </c>
      <c r="F59" s="149">
        <f t="shared" si="426"/>
        <v>0.84883720930232565</v>
      </c>
      <c r="G59" s="149">
        <f t="shared" si="427"/>
        <v>0.65765765765765771</v>
      </c>
      <c r="H59" s="285">
        <v>0.09</v>
      </c>
      <c r="I59" s="287"/>
      <c r="J59" s="27">
        <v>4.7E-2</v>
      </c>
      <c r="K59" s="149">
        <f t="shared" si="392"/>
        <v>0.89339019034716838</v>
      </c>
      <c r="L59" s="149">
        <f t="shared" si="393"/>
        <v>0.84883720930232565</v>
      </c>
      <c r="M59" s="149">
        <f t="shared" si="394"/>
        <v>0.75834283599236396</v>
      </c>
      <c r="N59" s="151">
        <f t="shared" si="395"/>
        <v>0.96311998163858226</v>
      </c>
      <c r="O59" s="149">
        <f t="shared" si="396"/>
        <v>0.95985604030925065</v>
      </c>
      <c r="P59" s="150">
        <f t="shared" si="397"/>
        <v>0.96125351567822659</v>
      </c>
      <c r="Q59" s="143">
        <v>2018</v>
      </c>
      <c r="R59" s="152">
        <f t="shared" si="398"/>
        <v>0.10660980965283162</v>
      </c>
      <c r="S59" s="153">
        <f t="shared" si="399"/>
        <v>0.15116279069767435</v>
      </c>
      <c r="T59" s="154">
        <f t="shared" si="400"/>
        <v>0.24165716400763604</v>
      </c>
      <c r="U59" s="152">
        <f t="shared" si="401"/>
        <v>3.6880018361417743E-2</v>
      </c>
      <c r="V59" s="153">
        <f t="shared" si="402"/>
        <v>4.0143959690749353E-2</v>
      </c>
      <c r="W59" s="154">
        <f t="shared" si="403"/>
        <v>3.8746484321773411E-2</v>
      </c>
      <c r="X59" s="283">
        <f t="shared" si="404"/>
        <v>86</v>
      </c>
      <c r="Y59" s="283">
        <f t="shared" si="405"/>
        <v>111</v>
      </c>
      <c r="Z59" s="283">
        <f t="shared" si="406"/>
        <v>0.77477477477477474</v>
      </c>
      <c r="AA59" s="283">
        <f t="shared" si="407"/>
        <v>0.65966931206475987</v>
      </c>
      <c r="AB59" s="283">
        <f t="shared" si="408"/>
        <v>1.6110342451247139</v>
      </c>
      <c r="AC59" s="436">
        <f t="shared" si="409"/>
        <v>0.68573057564999906</v>
      </c>
      <c r="AD59" s="436">
        <f t="shared" si="410"/>
        <v>0.84863161098684448</v>
      </c>
      <c r="AE59" s="283">
        <f t="shared" si="411"/>
        <v>73</v>
      </c>
      <c r="AF59" s="283">
        <f t="shared" si="412"/>
        <v>86</v>
      </c>
      <c r="AG59" s="283">
        <f t="shared" si="413"/>
        <v>0.84883720930232553</v>
      </c>
      <c r="AH59" s="283">
        <f t="shared" si="414"/>
        <v>0.59223761853812285</v>
      </c>
      <c r="AI59" s="283">
        <f t="shared" si="415"/>
        <v>1.9404668352813284</v>
      </c>
      <c r="AJ59" s="436">
        <f t="shared" si="416"/>
        <v>0.75538735822810277</v>
      </c>
      <c r="AK59" s="436">
        <f t="shared" si="417"/>
        <v>0.9169830600887896</v>
      </c>
      <c r="AL59" s="283">
        <f t="shared" si="418"/>
        <v>73</v>
      </c>
      <c r="AM59" s="283">
        <f t="shared" si="419"/>
        <v>111</v>
      </c>
      <c r="AN59" s="283">
        <f t="shared" si="420"/>
        <v>0.65765765765765771</v>
      </c>
      <c r="AO59" s="283">
        <f t="shared" si="421"/>
        <v>0.6843129782999644</v>
      </c>
      <c r="AP59" s="283">
        <f t="shared" si="422"/>
        <v>1.50100966101267</v>
      </c>
      <c r="AQ59" s="436">
        <f t="shared" si="423"/>
        <v>0.56157532576431368</v>
      </c>
      <c r="AR59" s="436">
        <f t="shared" si="424"/>
        <v>0.74509426349275321</v>
      </c>
    </row>
    <row r="60" spans="1:44" ht="15" customHeight="1">
      <c r="A60" s="143">
        <v>2019</v>
      </c>
      <c r="B60">
        <v>156</v>
      </c>
      <c r="C60" s="602">
        <v>117</v>
      </c>
      <c r="D60" s="602">
        <v>113</v>
      </c>
      <c r="E60" s="149">
        <f t="shared" ref="E60:E64" si="428">C60/B60</f>
        <v>0.75</v>
      </c>
      <c r="F60" s="149">
        <f t="shared" ref="F60:F64" si="429">G60/E60</f>
        <v>0.96581196581196582</v>
      </c>
      <c r="G60" s="149">
        <f t="shared" ref="G60:G64" si="430">D60/B60</f>
        <v>0.72435897435897434</v>
      </c>
      <c r="H60" s="285"/>
      <c r="I60" s="287"/>
      <c r="J60" s="27">
        <v>4.7E-2</v>
      </c>
      <c r="K60" s="149">
        <f t="shared" ref="K60:K64" si="431">(C60/B60)/((1-H60)*(1-J60))</f>
        <v>0.78698845750262336</v>
      </c>
      <c r="L60" s="149">
        <f t="shared" ref="L60:L64" si="432">M60/K60</f>
        <v>0.96581196581196582</v>
      </c>
      <c r="M60" s="149">
        <f t="shared" ref="M60:M64" si="433">(D60/B60)/((1-H60)*(1-I60)*(1-J60))</f>
        <v>0.76008286921193535</v>
      </c>
      <c r="N60" s="151"/>
      <c r="O60" s="149"/>
      <c r="P60" s="150"/>
      <c r="Q60" s="143"/>
      <c r="R60" s="152"/>
      <c r="S60" s="153"/>
      <c r="T60" s="154"/>
      <c r="U60" s="152"/>
      <c r="V60" s="153"/>
      <c r="W60" s="154"/>
      <c r="X60" s="283"/>
      <c r="Y60" s="283"/>
      <c r="Z60" s="283"/>
      <c r="AA60" s="283"/>
      <c r="AB60" s="283"/>
      <c r="AC60" s="436"/>
      <c r="AD60" s="436"/>
      <c r="AE60" s="283"/>
      <c r="AF60" s="283"/>
      <c r="AG60" s="283"/>
      <c r="AH60" s="283"/>
      <c r="AI60" s="283"/>
      <c r="AJ60" s="436"/>
      <c r="AK60" s="436"/>
      <c r="AL60" s="283"/>
      <c r="AM60" s="283"/>
      <c r="AN60" s="283"/>
      <c r="AO60" s="283"/>
      <c r="AP60" s="283"/>
      <c r="AQ60" s="436"/>
      <c r="AR60" s="436"/>
    </row>
    <row r="61" spans="1:44" ht="15" customHeight="1">
      <c r="A61" s="143">
        <v>2020</v>
      </c>
      <c r="B61">
        <v>510</v>
      </c>
      <c r="C61" s="602">
        <v>396</v>
      </c>
      <c r="D61" s="602">
        <v>343</v>
      </c>
      <c r="E61" s="149">
        <f t="shared" si="428"/>
        <v>0.77647058823529413</v>
      </c>
      <c r="F61" s="149">
        <f t="shared" si="429"/>
        <v>0.86616161616161624</v>
      </c>
      <c r="G61" s="149">
        <f t="shared" si="430"/>
        <v>0.67254901960784319</v>
      </c>
      <c r="H61" s="285">
        <v>5.8000000000000003E-2</v>
      </c>
      <c r="I61" s="287"/>
      <c r="J61" s="27">
        <v>4.7E-2</v>
      </c>
      <c r="K61" s="149">
        <f t="shared" si="431"/>
        <v>0.86493048907494519</v>
      </c>
      <c r="L61" s="149">
        <f t="shared" si="432"/>
        <v>0.86616161616161613</v>
      </c>
      <c r="M61" s="149">
        <f t="shared" si="433"/>
        <v>0.74916959028461161</v>
      </c>
      <c r="N61" s="151"/>
      <c r="O61" s="149"/>
      <c r="P61" s="150"/>
      <c r="Q61" s="143"/>
      <c r="R61" s="152"/>
      <c r="S61" s="153"/>
      <c r="T61" s="154"/>
      <c r="U61" s="152"/>
      <c r="V61" s="153"/>
      <c r="W61" s="154"/>
      <c r="X61" s="283"/>
      <c r="Y61" s="283"/>
      <c r="Z61" s="283"/>
      <c r="AA61" s="283"/>
      <c r="AB61" s="283"/>
      <c r="AC61" s="436"/>
      <c r="AD61" s="436"/>
      <c r="AE61" s="283"/>
      <c r="AF61" s="283"/>
      <c r="AG61" s="283"/>
      <c r="AH61" s="283"/>
      <c r="AI61" s="283"/>
      <c r="AJ61" s="436"/>
      <c r="AK61" s="436"/>
      <c r="AL61" s="283"/>
      <c r="AM61" s="283"/>
      <c r="AN61" s="283"/>
      <c r="AO61" s="283"/>
      <c r="AP61" s="283"/>
      <c r="AQ61" s="436"/>
      <c r="AR61" s="436"/>
    </row>
    <row r="62" spans="1:44" ht="15" customHeight="1">
      <c r="A62" s="143">
        <v>2021</v>
      </c>
      <c r="B62">
        <v>177</v>
      </c>
      <c r="C62" s="602">
        <v>140</v>
      </c>
      <c r="D62" s="602">
        <v>126</v>
      </c>
      <c r="E62" s="149">
        <f t="shared" si="428"/>
        <v>0.79096045197740117</v>
      </c>
      <c r="F62" s="149">
        <f t="shared" si="429"/>
        <v>0.89999999999999991</v>
      </c>
      <c r="G62" s="149">
        <f t="shared" si="430"/>
        <v>0.71186440677966101</v>
      </c>
      <c r="H62" s="285">
        <v>5.6000000000000001E-2</v>
      </c>
      <c r="I62" s="287"/>
      <c r="J62" s="27">
        <v>4.7E-2</v>
      </c>
      <c r="K62" s="149">
        <f t="shared" si="431"/>
        <v>0.87920444356959437</v>
      </c>
      <c r="L62" s="149">
        <f t="shared" si="432"/>
        <v>0.89999999999999991</v>
      </c>
      <c r="M62" s="149">
        <f t="shared" si="433"/>
        <v>0.79128399921263481</v>
      </c>
      <c r="N62" s="151"/>
      <c r="O62" s="149"/>
      <c r="P62" s="150"/>
      <c r="Q62" s="143"/>
      <c r="R62" s="152"/>
      <c r="S62" s="153"/>
      <c r="T62" s="154"/>
      <c r="U62" s="152"/>
      <c r="V62" s="153"/>
      <c r="W62" s="154"/>
      <c r="X62" s="283"/>
      <c r="Y62" s="283"/>
      <c r="Z62" s="283"/>
      <c r="AA62" s="283"/>
      <c r="AB62" s="283"/>
      <c r="AC62" s="436"/>
      <c r="AD62" s="436"/>
      <c r="AE62" s="283"/>
      <c r="AF62" s="283"/>
      <c r="AG62" s="283"/>
      <c r="AH62" s="283"/>
      <c r="AI62" s="283"/>
      <c r="AJ62" s="436"/>
      <c r="AK62" s="436"/>
      <c r="AL62" s="283"/>
      <c r="AM62" s="283"/>
      <c r="AN62" s="283"/>
      <c r="AO62" s="283"/>
      <c r="AP62" s="283"/>
      <c r="AQ62" s="436"/>
      <c r="AR62" s="436"/>
    </row>
    <row r="63" spans="1:44" ht="15" customHeight="1">
      <c r="A63" s="143">
        <v>2022</v>
      </c>
      <c r="B63">
        <v>154</v>
      </c>
      <c r="C63" s="602">
        <v>115</v>
      </c>
      <c r="D63" s="602">
        <v>99</v>
      </c>
      <c r="E63" s="149">
        <f t="shared" si="428"/>
        <v>0.74675324675324672</v>
      </c>
      <c r="F63" s="149">
        <f t="shared" si="429"/>
        <v>0.86086956521739144</v>
      </c>
      <c r="G63" s="149">
        <f t="shared" si="430"/>
        <v>0.6428571428571429</v>
      </c>
      <c r="H63" s="289">
        <v>0.13650000000000001</v>
      </c>
      <c r="I63" s="287"/>
      <c r="J63" s="27">
        <v>4.7E-2</v>
      </c>
      <c r="K63" s="149">
        <f t="shared" si="431"/>
        <v>0.90744826990529015</v>
      </c>
      <c r="L63" s="149">
        <f t="shared" si="432"/>
        <v>0.86086956521739133</v>
      </c>
      <c r="M63" s="149">
        <f t="shared" si="433"/>
        <v>0.78119459757064114</v>
      </c>
      <c r="N63" s="151"/>
      <c r="O63" s="149"/>
      <c r="P63" s="150"/>
      <c r="Q63" s="143"/>
      <c r="R63" s="152"/>
      <c r="S63" s="153"/>
      <c r="T63" s="154"/>
      <c r="U63" s="152"/>
      <c r="V63" s="153"/>
      <c r="W63" s="154"/>
      <c r="X63" s="283"/>
      <c r="Y63" s="283"/>
      <c r="Z63" s="283"/>
      <c r="AA63" s="283"/>
      <c r="AB63" s="283"/>
      <c r="AC63" s="436"/>
      <c r="AD63" s="436"/>
      <c r="AE63" s="283"/>
      <c r="AF63" s="283"/>
      <c r="AG63" s="283"/>
      <c r="AH63" s="283"/>
      <c r="AI63" s="283"/>
      <c r="AJ63" s="436"/>
      <c r="AK63" s="436"/>
      <c r="AL63" s="283"/>
      <c r="AM63" s="283"/>
      <c r="AN63" s="283"/>
      <c r="AO63" s="283"/>
      <c r="AP63" s="283"/>
      <c r="AQ63" s="436"/>
      <c r="AR63" s="436"/>
    </row>
    <row r="64" spans="1:44" ht="15" customHeight="1">
      <c r="A64" s="143">
        <v>2023</v>
      </c>
      <c r="B64">
        <v>182</v>
      </c>
      <c r="C64" s="700">
        <v>148</v>
      </c>
      <c r="D64" s="700">
        <v>129</v>
      </c>
      <c r="E64" s="149">
        <f t="shared" si="428"/>
        <v>0.81318681318681318</v>
      </c>
      <c r="F64" s="149">
        <f t="shared" si="429"/>
        <v>0.87162162162162171</v>
      </c>
      <c r="G64" s="149">
        <f t="shared" si="430"/>
        <v>0.70879120879120883</v>
      </c>
      <c r="H64" s="289">
        <v>9.0999999999999998E-2</v>
      </c>
      <c r="I64" s="287"/>
      <c r="J64" s="27">
        <v>4.7E-2</v>
      </c>
      <c r="K64" s="149">
        <f t="shared" si="431"/>
        <v>0.93871453725172571</v>
      </c>
      <c r="L64" s="149">
        <f t="shared" si="432"/>
        <v>0.87162162162162171</v>
      </c>
      <c r="M64" s="149">
        <f t="shared" si="433"/>
        <v>0.81820388719913939</v>
      </c>
      <c r="N64" s="151">
        <f t="shared" si="395"/>
        <v>0.97913937258479256</v>
      </c>
      <c r="O64" s="149">
        <f t="shared" si="396"/>
        <v>0.96623329535340829</v>
      </c>
      <c r="P64" s="150">
        <f t="shared" si="397"/>
        <v>0.97174350903238016</v>
      </c>
      <c r="Q64" s="143">
        <v>2019</v>
      </c>
      <c r="R64" s="152">
        <f t="shared" si="398"/>
        <v>6.1285462748274289E-2</v>
      </c>
      <c r="S64" s="153">
        <f t="shared" si="399"/>
        <v>0.12837837837837829</v>
      </c>
      <c r="T64" s="154">
        <f t="shared" si="400"/>
        <v>0.18179611280086061</v>
      </c>
      <c r="U64" s="152">
        <f t="shared" si="401"/>
        <v>2.0860627415207444E-2</v>
      </c>
      <c r="V64" s="153">
        <f t="shared" si="402"/>
        <v>3.3766704646591705E-2</v>
      </c>
      <c r="W64" s="154">
        <f t="shared" si="403"/>
        <v>2.8256490967619841E-2</v>
      </c>
      <c r="X64" s="283">
        <f t="shared" si="404"/>
        <v>148</v>
      </c>
      <c r="Y64" s="283">
        <f t="shared" si="405"/>
        <v>182</v>
      </c>
      <c r="Z64" s="283">
        <f t="shared" si="406"/>
        <v>0.81318681318681318</v>
      </c>
      <c r="AA64" s="283">
        <f t="shared" si="407"/>
        <v>0.70514712563581639</v>
      </c>
      <c r="AB64" s="283">
        <f t="shared" si="408"/>
        <v>1.4877792372716907</v>
      </c>
      <c r="AC64" s="436">
        <f t="shared" si="409"/>
        <v>0.74885509242445059</v>
      </c>
      <c r="AD64" s="436">
        <f t="shared" si="410"/>
        <v>0.86702081181012014</v>
      </c>
      <c r="AE64" s="283">
        <f t="shared" si="411"/>
        <v>129</v>
      </c>
      <c r="AF64" s="283">
        <f t="shared" si="412"/>
        <v>148</v>
      </c>
      <c r="AG64" s="283">
        <f t="shared" si="413"/>
        <v>0.8716216216216216</v>
      </c>
      <c r="AH64" s="283">
        <f t="shared" si="414"/>
        <v>0.64743892701846983</v>
      </c>
      <c r="AI64" s="283">
        <f t="shared" si="415"/>
        <v>1.7016948916609365</v>
      </c>
      <c r="AJ64" s="436">
        <f t="shared" si="416"/>
        <v>0.8067999120002185</v>
      </c>
      <c r="AK64" s="436">
        <f t="shared" si="417"/>
        <v>0.92090594691928962</v>
      </c>
      <c r="AL64" s="283">
        <f t="shared" si="418"/>
        <v>129</v>
      </c>
      <c r="AM64" s="283">
        <f t="shared" si="419"/>
        <v>182</v>
      </c>
      <c r="AN64" s="283">
        <f t="shared" si="420"/>
        <v>0.70879120879120883</v>
      </c>
      <c r="AO64" s="283">
        <f t="shared" si="421"/>
        <v>0.73457513709567435</v>
      </c>
      <c r="AP64" s="283">
        <f t="shared" si="422"/>
        <v>1.3933913672796234</v>
      </c>
      <c r="AQ64" s="436">
        <f t="shared" si="423"/>
        <v>0.63699966351737014</v>
      </c>
      <c r="AR64" s="436">
        <f t="shared" si="424"/>
        <v>0.77364055132049248</v>
      </c>
    </row>
    <row r="65" spans="1:44" ht="15" customHeight="1">
      <c r="A65" s="143">
        <v>2024</v>
      </c>
      <c r="E65" s="149"/>
      <c r="F65" s="149"/>
      <c r="G65" s="149"/>
      <c r="H65" s="285"/>
      <c r="I65" s="287"/>
      <c r="J65" s="27">
        <v>4.7E-2</v>
      </c>
      <c r="K65" s="149" t="e">
        <f t="shared" si="392"/>
        <v>#DIV/0!</v>
      </c>
      <c r="L65" s="149" t="e">
        <f t="shared" si="393"/>
        <v>#DIV/0!</v>
      </c>
      <c r="M65" s="149" t="e">
        <f t="shared" si="394"/>
        <v>#DIV/0!</v>
      </c>
      <c r="N65" s="151" t="e">
        <f t="shared" si="395"/>
        <v>#DIV/0!</v>
      </c>
      <c r="O65" s="149" t="e">
        <f t="shared" si="396"/>
        <v>#DIV/0!</v>
      </c>
      <c r="P65" s="150" t="e">
        <f t="shared" si="397"/>
        <v>#DIV/0!</v>
      </c>
      <c r="Q65" s="143">
        <v>2020</v>
      </c>
      <c r="R65" s="152" t="e">
        <f t="shared" si="398"/>
        <v>#DIV/0!</v>
      </c>
      <c r="S65" s="153" t="e">
        <f t="shared" si="399"/>
        <v>#DIV/0!</v>
      </c>
      <c r="T65" s="154" t="e">
        <f t="shared" si="400"/>
        <v>#DIV/0!</v>
      </c>
      <c r="U65" s="152" t="e">
        <f t="shared" si="401"/>
        <v>#DIV/0!</v>
      </c>
      <c r="V65" s="153" t="e">
        <f t="shared" si="402"/>
        <v>#DIV/0!</v>
      </c>
      <c r="W65" s="154" t="e">
        <f t="shared" si="403"/>
        <v>#DIV/0!</v>
      </c>
      <c r="X65" s="283">
        <f t="shared" si="404"/>
        <v>0</v>
      </c>
      <c r="Y65" s="283">
        <f t="shared" si="405"/>
        <v>0</v>
      </c>
      <c r="Z65" s="283" t="e">
        <f t="shared" si="406"/>
        <v>#DIV/0!</v>
      </c>
      <c r="AA65" s="283" t="e">
        <f t="shared" si="407"/>
        <v>#NUM!</v>
      </c>
      <c r="AB65" s="283" t="e">
        <f t="shared" si="408"/>
        <v>#NUM!</v>
      </c>
      <c r="AC65" s="436">
        <f t="shared" si="409"/>
        <v>0</v>
      </c>
      <c r="AD65" s="436">
        <f t="shared" si="410"/>
        <v>1</v>
      </c>
      <c r="AE65" s="283">
        <f t="shared" si="411"/>
        <v>0</v>
      </c>
      <c r="AF65" s="283">
        <f t="shared" si="412"/>
        <v>0</v>
      </c>
      <c r="AG65" s="283" t="e">
        <f t="shared" si="413"/>
        <v>#DIV/0!</v>
      </c>
      <c r="AH65" s="283" t="e">
        <f t="shared" si="414"/>
        <v>#NUM!</v>
      </c>
      <c r="AI65" s="283" t="e">
        <f t="shared" si="415"/>
        <v>#NUM!</v>
      </c>
      <c r="AJ65" s="436">
        <f t="shared" si="416"/>
        <v>0</v>
      </c>
      <c r="AK65" s="436">
        <f t="shared" si="417"/>
        <v>1</v>
      </c>
      <c r="AL65" s="283">
        <f t="shared" si="418"/>
        <v>0</v>
      </c>
      <c r="AM65" s="283">
        <f t="shared" si="419"/>
        <v>0</v>
      </c>
      <c r="AN65" s="283" t="e">
        <f t="shared" si="420"/>
        <v>#DIV/0!</v>
      </c>
      <c r="AO65" s="283" t="e">
        <f t="shared" si="421"/>
        <v>#NUM!</v>
      </c>
      <c r="AP65" s="283" t="e">
        <f t="shared" si="422"/>
        <v>#NUM!</v>
      </c>
      <c r="AQ65" s="436">
        <f t="shared" si="423"/>
        <v>0</v>
      </c>
      <c r="AR65" s="436">
        <f t="shared" si="424"/>
        <v>1</v>
      </c>
    </row>
    <row r="66" spans="1:44" ht="26.4" customHeight="1">
      <c r="A66" s="143">
        <v>2016</v>
      </c>
      <c r="B66">
        <v>784</v>
      </c>
      <c r="C66">
        <v>581</v>
      </c>
      <c r="D66">
        <v>509</v>
      </c>
      <c r="E66" s="149">
        <f t="shared" ref="E66" si="434">C66/B66</f>
        <v>0.7410714285714286</v>
      </c>
      <c r="F66" s="149">
        <f t="shared" ref="F66" si="435">G66/E66</f>
        <v>0.87607573149741824</v>
      </c>
      <c r="G66" s="149">
        <f t="shared" ref="G66" si="436">D66/B66</f>
        <v>0.64923469387755106</v>
      </c>
      <c r="H66" s="285">
        <v>0.159</v>
      </c>
      <c r="I66" s="287"/>
      <c r="J66" s="27">
        <v>4.7E-2</v>
      </c>
      <c r="K66" s="149">
        <f t="shared" ref="K66" si="437">(C66/B66)/((1-H66)*(1-J66))</f>
        <v>0.92463679820958233</v>
      </c>
      <c r="L66" s="149">
        <f t="shared" ref="L66" si="438">M66/K66</f>
        <v>0.24568702766278802</v>
      </c>
      <c r="M66" s="144">
        <f>1-AVERAGE(M49:M58)</f>
        <v>0.2271712666197494</v>
      </c>
      <c r="N66" s="144">
        <f>1-AVERAGE(N49:N58)</f>
        <v>4.4135046806620393E-2</v>
      </c>
      <c r="O66" s="149">
        <f t="shared" ref="O66" si="439">L66^(1/4)</f>
        <v>0.70403711814336889</v>
      </c>
      <c r="P66" s="150">
        <f t="shared" ref="P66" si="440">M66^(1/7)</f>
        <v>0.80918996001089372</v>
      </c>
      <c r="Q66" s="143">
        <v>2016</v>
      </c>
      <c r="R66" s="152">
        <f t="shared" ref="R66" si="441">1-K66</f>
        <v>7.5363201790417667E-2</v>
      </c>
      <c r="S66" s="153">
        <f t="shared" ref="S66" si="442">1-L66</f>
        <v>0.75431297233721195</v>
      </c>
      <c r="T66" s="154">
        <f t="shared" ref="T66" si="443">1-M66</f>
        <v>0.7728287333802506</v>
      </c>
      <c r="U66" s="152">
        <f t="shared" ref="U66" si="444">1-N66</f>
        <v>0.95586495319337961</v>
      </c>
      <c r="V66" s="153">
        <f t="shared" ref="V66" si="445">1-O66</f>
        <v>0.29596288185663111</v>
      </c>
      <c r="W66" s="154">
        <f t="shared" ref="W66" si="446">1-P66</f>
        <v>0.19081003998910628</v>
      </c>
      <c r="X66" s="451">
        <f t="shared" si="371"/>
        <v>581</v>
      </c>
      <c r="Y66" s="451">
        <f t="shared" si="372"/>
        <v>784</v>
      </c>
      <c r="Z66" s="451">
        <f t="shared" si="373"/>
        <v>0.7410714285714286</v>
      </c>
      <c r="AA66" s="451">
        <f t="shared" si="374"/>
        <v>0.85506216262594159</v>
      </c>
      <c r="AB66" s="451">
        <f t="shared" si="375"/>
        <v>1.1771156714740303</v>
      </c>
      <c r="AC66" s="445">
        <f t="shared" si="376"/>
        <v>0.70890041953867888</v>
      </c>
      <c r="AD66" s="445">
        <f t="shared" si="377"/>
        <v>0.7714173294202189</v>
      </c>
      <c r="AE66" s="451">
        <f t="shared" si="378"/>
        <v>509</v>
      </c>
      <c r="AF66" s="451">
        <f t="shared" si="379"/>
        <v>581</v>
      </c>
      <c r="AG66" s="451">
        <f t="shared" si="380"/>
        <v>0.87607573149741824</v>
      </c>
      <c r="AH66" s="451">
        <f t="shared" si="381"/>
        <v>0.79088712382800674</v>
      </c>
      <c r="AI66" s="451">
        <f t="shared" si="382"/>
        <v>1.2958870147702779</v>
      </c>
      <c r="AJ66" s="445">
        <f t="shared" si="383"/>
        <v>0.84649726074439158</v>
      </c>
      <c r="AK66" s="445">
        <f t="shared" si="384"/>
        <v>0.90176044967629598</v>
      </c>
      <c r="AL66" s="451">
        <f t="shared" si="385"/>
        <v>509</v>
      </c>
      <c r="AM66" s="451">
        <f t="shared" si="386"/>
        <v>784</v>
      </c>
      <c r="AN66" s="451">
        <f t="shared" si="387"/>
        <v>0.64923469387755106</v>
      </c>
      <c r="AO66" s="451">
        <f t="shared" si="388"/>
        <v>0.86500671403285723</v>
      </c>
      <c r="AP66" s="451">
        <f t="shared" si="389"/>
        <v>1.159966463973392</v>
      </c>
      <c r="AQ66" s="445">
        <f t="shared" si="390"/>
        <v>0.61468035322228365</v>
      </c>
      <c r="AR66" s="445">
        <f t="shared" si="391"/>
        <v>0.68266163448348305</v>
      </c>
    </row>
    <row r="67" spans="1:44" ht="26.4" customHeight="1">
      <c r="A67" s="264" t="s">
        <v>112</v>
      </c>
      <c r="B67" s="463">
        <f>AVERAGE(B53:B66)</f>
        <v>510.92307692307691</v>
      </c>
      <c r="C67" s="463">
        <f t="shared" ref="C67" si="447">AVERAGE(C53:C66)</f>
        <v>378.15384615384613</v>
      </c>
      <c r="D67" s="463">
        <f t="shared" ref="D67" si="448">AVERAGE(D53:D66)</f>
        <v>332.84615384615387</v>
      </c>
      <c r="E67" s="144">
        <f t="shared" ref="E67" si="449">AVERAGE(E53:E66)</f>
        <v>0.74807270902396406</v>
      </c>
      <c r="F67" s="144">
        <f t="shared" ref="F67" si="450">AVERAGE(F53:F66)</f>
        <v>0.88582970245259307</v>
      </c>
      <c r="G67" s="144">
        <f t="shared" ref="G67" si="451">AVERAGE(G53:G66)</f>
        <v>0.66197016064074354</v>
      </c>
      <c r="H67" s="144">
        <f t="shared" ref="H67" si="452">AVERAGE(H53:H66)</f>
        <v>0.11967823078450805</v>
      </c>
      <c r="I67" s="144" t="e">
        <f t="shared" ref="I67" si="453">AVERAGE(I53:I66)</f>
        <v>#DIV/0!</v>
      </c>
      <c r="J67" s="144">
        <f t="shared" ref="J67" si="454">AVERAGE(J53:J66)</f>
        <v>4.7E-2</v>
      </c>
      <c r="K67" s="144" t="e">
        <f>AVERAGE(K53:K66)</f>
        <v>#DIV/0!</v>
      </c>
      <c r="L67" s="144" t="e">
        <f t="shared" ref="L67" si="455">AVERAGE(L53:L66)</f>
        <v>#DIV/0!</v>
      </c>
      <c r="M67" s="145">
        <f>1-MIN(M49:M58)</f>
        <v>0.29893944562396313</v>
      </c>
      <c r="N67" s="506">
        <f>1-MIN(N49:N58)</f>
        <v>7.7110567471118441E-2</v>
      </c>
      <c r="O67" s="144" t="e">
        <f t="shared" ref="O67" si="456">AVERAGE(O53:O66)</f>
        <v>#DIV/0!</v>
      </c>
      <c r="P67" s="144" t="e">
        <f t="shared" ref="P67" si="457">AVERAGE(P53:P66)</f>
        <v>#DIV/0!</v>
      </c>
      <c r="Q67" s="264" t="s">
        <v>112</v>
      </c>
      <c r="R67" s="231" t="e">
        <f>AVERAGE(R53:R66)</f>
        <v>#DIV/0!</v>
      </c>
      <c r="S67" s="231" t="e">
        <f t="shared" ref="S67" si="458">AVERAGE(S53:S66)</f>
        <v>#DIV/0!</v>
      </c>
      <c r="T67" s="231" t="e">
        <f t="shared" ref="T67" si="459">AVERAGE(T53:T66)</f>
        <v>#DIV/0!</v>
      </c>
      <c r="U67" s="231" t="e">
        <f t="shared" ref="U67" si="460">AVERAGE(U53:U66)</f>
        <v>#DIV/0!</v>
      </c>
      <c r="V67" s="231" t="e">
        <f t="shared" ref="V67" si="461">AVERAGE(V53:V66)</f>
        <v>#DIV/0!</v>
      </c>
      <c r="W67" s="231" t="e">
        <f t="shared" ref="W67" si="462">AVERAGE(W53:W66)</f>
        <v>#DIV/0!</v>
      </c>
      <c r="X67" s="451">
        <f t="shared" ref="X67" si="463">C67</f>
        <v>378.15384615384613</v>
      </c>
      <c r="Y67" s="451">
        <f t="shared" ref="Y67" si="464">B67</f>
        <v>510.92307692307691</v>
      </c>
      <c r="Z67" s="451">
        <f t="shared" ref="Z67" si="465">X67/Y67</f>
        <v>0.74013851249623608</v>
      </c>
      <c r="AA67" s="451">
        <f t="shared" ref="AA67" si="466">_xlfn.F.INV(0.05/2, 2*X67, 2*(Y67-X67+1))</f>
        <v>0.82453978397128791</v>
      </c>
      <c r="AB67" s="451">
        <f t="shared" ref="AB67" si="467">_xlfn.F.INV(1-0.05/2, 2*(X67+1), 2*(Y67-X67))</f>
        <v>1.2249921060415794</v>
      </c>
      <c r="AC67" s="445">
        <f t="shared" ref="AC67" si="468">IF(X67=0, 0, 1/(1 +(Y67-X67+1)/(X67*AA67)))</f>
        <v>0.69978096844686555</v>
      </c>
      <c r="AD67" s="445">
        <f t="shared" ref="AD67" si="469">IF(X67=Y67, 1, 1/(1 + (Y67-X67)/(AB67*(X67+1))))</f>
        <v>0.77769151311693496</v>
      </c>
      <c r="AE67" s="451">
        <f t="shared" ref="AE67" si="470">D67</f>
        <v>332.84615384615387</v>
      </c>
      <c r="AF67" s="451">
        <f t="shared" ref="AF67" si="471">C67</f>
        <v>378.15384615384613</v>
      </c>
      <c r="AG67" s="451">
        <f t="shared" ref="AG67" si="472">AE67/AF67</f>
        <v>0.88018714401952813</v>
      </c>
      <c r="AH67" s="451">
        <f t="shared" ref="AH67" si="473">_xlfn.F.INV(0.05/2, 2*AE67, 2*(AF67-AE67+1))</f>
        <v>0.74712563243828101</v>
      </c>
      <c r="AI67" s="451">
        <f t="shared" ref="AI67" si="474">_xlfn.F.INV(1-0.05/2, 2*(AE67+1), 2*(AF67-AE67))</f>
        <v>1.3933164680853976</v>
      </c>
      <c r="AJ67" s="445">
        <f t="shared" ref="AJ67" si="475">IF(AE67=0, 0, 1/(1 +(AF67-AE67+1)/(AE67*AH67)))</f>
        <v>0.84301710123065521</v>
      </c>
      <c r="AK67" s="445">
        <f t="shared" ref="AK67" si="476">IF(AE67=AF67, 1, 1/(1 + (AF67-AE67)/(AI67*(AE67+1))))</f>
        <v>0.91124162455396551</v>
      </c>
      <c r="AL67" s="451">
        <f t="shared" ref="AL67" si="477">D67</f>
        <v>332.84615384615387</v>
      </c>
      <c r="AM67" s="451">
        <f t="shared" ref="AM67" si="478">B67</f>
        <v>510.92307692307691</v>
      </c>
      <c r="AN67" s="451">
        <f t="shared" ref="AN67" si="479">AL67/AM67</f>
        <v>0.65146040349292389</v>
      </c>
      <c r="AO67" s="451">
        <f t="shared" ref="AO67" si="480">_xlfn.F.INV(0.05/2, 2*AL67, 2*(AM67-AL67+1))</f>
        <v>0.83575612993452408</v>
      </c>
      <c r="AP67" s="451">
        <f t="shared" ref="AP67" si="481">_xlfn.F.INV(1-0.05/2, 2*(AL67+1), 2*(AM67-AL67))</f>
        <v>1.2028910426282711</v>
      </c>
      <c r="AQ67" s="445">
        <f t="shared" ref="AQ67" si="482">IF(AL67=0, 0, 1/(1 +(AM67-AL67+1)/(AL67*AO67)))</f>
        <v>0.60836542054862874</v>
      </c>
      <c r="AR67" s="445">
        <f t="shared" ref="AR67" si="483">IF(AL67=AM67, 1, 1/(1 + (AM67-AL67)/(AP67*(AL67+1))))</f>
        <v>0.69278939384272742</v>
      </c>
    </row>
    <row r="68" spans="1:44" ht="15" customHeight="1">
      <c r="A68" t="s">
        <v>6</v>
      </c>
      <c r="B68" t="s">
        <v>58</v>
      </c>
      <c r="M68" s="145">
        <f>1-MAX(M49:M58)</f>
        <v>0.13767174398559168</v>
      </c>
      <c r="N68" s="507">
        <f>1-MAX(N49:N58)</f>
        <v>1.4693258766283801E-2</v>
      </c>
    </row>
    <row r="69" spans="1:44" ht="15" customHeight="1">
      <c r="B69" t="s">
        <v>7</v>
      </c>
      <c r="R69" t="s">
        <v>210</v>
      </c>
      <c r="T69" t="s">
        <v>211</v>
      </c>
    </row>
    <row r="70" spans="1:44" ht="15" customHeight="1">
      <c r="B70" s="56" t="s">
        <v>47</v>
      </c>
      <c r="R70" t="s">
        <v>208</v>
      </c>
      <c r="S70" t="s">
        <v>209</v>
      </c>
      <c r="T70" t="s">
        <v>206</v>
      </c>
      <c r="U70" t="s">
        <v>207</v>
      </c>
    </row>
    <row r="71" spans="1:44" ht="15" customHeight="1">
      <c r="B71" s="270" t="s">
        <v>57</v>
      </c>
      <c r="L71" s="286"/>
      <c r="M71" s="272" t="s">
        <v>99</v>
      </c>
      <c r="P71" t="s">
        <v>203</v>
      </c>
      <c r="Q71" s="455">
        <f>SUM(T71:U71)/SUM(R71:S71)</f>
        <v>9.1427219737746479E-2</v>
      </c>
      <c r="R71">
        <v>127403</v>
      </c>
      <c r="S71">
        <v>320713</v>
      </c>
      <c r="T71">
        <v>15419</v>
      </c>
      <c r="U71">
        <v>25551</v>
      </c>
    </row>
    <row r="72" spans="1:44" ht="15" customHeight="1">
      <c r="B72" s="271" t="s">
        <v>83</v>
      </c>
      <c r="L72" s="118"/>
      <c r="M72" s="272" t="s">
        <v>102</v>
      </c>
    </row>
    <row r="73" spans="1:44" ht="15" customHeight="1">
      <c r="B73" s="271" t="s">
        <v>84</v>
      </c>
    </row>
    <row r="74" spans="1:44" ht="15" customHeight="1">
      <c r="A74" s="6" t="s">
        <v>28</v>
      </c>
    </row>
    <row r="75" spans="1:44" ht="15" customHeight="1">
      <c r="A75" s="6" t="s">
        <v>37</v>
      </c>
    </row>
    <row r="76" spans="1:44" ht="15" customHeight="1">
      <c r="B76" t="s">
        <v>38</v>
      </c>
      <c r="D76" s="66" t="s">
        <v>63</v>
      </c>
      <c r="E76" s="66"/>
      <c r="F76" s="66"/>
      <c r="G76" s="66"/>
      <c r="H76" s="66"/>
      <c r="I76" s="66"/>
      <c r="J76" s="66"/>
      <c r="K76" s="66"/>
      <c r="L76" s="66"/>
      <c r="M76" s="66"/>
      <c r="N76" s="66"/>
      <c r="O76" s="66"/>
      <c r="P76" s="66"/>
    </row>
    <row r="77" spans="1:44" ht="15" customHeight="1">
      <c r="A77" t="s">
        <v>88</v>
      </c>
    </row>
    <row r="78" spans="1:44" ht="15" customHeight="1">
      <c r="A78" t="s">
        <v>241</v>
      </c>
    </row>
    <row r="79" spans="1:44">
      <c r="J79" s="279" t="s">
        <v>196</v>
      </c>
    </row>
    <row r="80" spans="1:44" ht="15.75" customHeight="1">
      <c r="J80" s="279">
        <f>AVERAGE(H49:H53)</f>
        <v>0.12776406489551831</v>
      </c>
    </row>
    <row r="81" spans="1:22" ht="12.75" customHeight="1" thickBot="1">
      <c r="G81" t="s">
        <v>297</v>
      </c>
    </row>
    <row r="82" spans="1:22">
      <c r="A82" s="556"/>
      <c r="B82" s="584" t="s">
        <v>290</v>
      </c>
      <c r="C82" s="557"/>
      <c r="D82" s="557"/>
      <c r="E82" s="557"/>
      <c r="F82" s="558"/>
      <c r="G82" s="556" t="s">
        <v>295</v>
      </c>
      <c r="H82" s="557"/>
      <c r="I82" s="586" t="s">
        <v>296</v>
      </c>
    </row>
    <row r="83" spans="1:22">
      <c r="A83" s="559"/>
      <c r="B83" s="560"/>
      <c r="C83" s="560"/>
      <c r="D83" s="560"/>
      <c r="E83" s="560"/>
      <c r="F83" s="561"/>
      <c r="G83" s="559"/>
      <c r="H83" s="560"/>
      <c r="I83" s="561"/>
    </row>
    <row r="84" spans="1:22">
      <c r="A84" s="559"/>
      <c r="B84" s="560"/>
      <c r="C84" s="560"/>
      <c r="D84" s="560"/>
      <c r="E84" s="566" t="s">
        <v>261</v>
      </c>
      <c r="F84" s="567" t="s">
        <v>268</v>
      </c>
      <c r="G84" s="559"/>
      <c r="H84" s="560"/>
      <c r="I84" s="561"/>
    </row>
    <row r="85" spans="1:22">
      <c r="A85" s="559"/>
      <c r="B85" s="560"/>
      <c r="C85" s="566" t="s">
        <v>291</v>
      </c>
      <c r="D85" s="566" t="s">
        <v>80</v>
      </c>
      <c r="E85" s="562">
        <f>AVERAGE(M18:M26)</f>
        <v>0.87616225471781828</v>
      </c>
      <c r="F85" s="569">
        <f>1-E85</f>
        <v>0.12383774528218172</v>
      </c>
      <c r="G85" s="559" t="s">
        <v>283</v>
      </c>
      <c r="H85" s="566" t="s">
        <v>262</v>
      </c>
      <c r="I85" s="561"/>
    </row>
    <row r="86" spans="1:22">
      <c r="A86" s="559"/>
      <c r="B86" s="566"/>
      <c r="C86" s="560"/>
      <c r="D86" s="566" t="s">
        <v>259</v>
      </c>
      <c r="E86" s="562">
        <f>MAX(M18:M26)</f>
        <v>0.94134236590073261</v>
      </c>
      <c r="F86" s="569">
        <f t="shared" ref="F86:F87" si="484">1-E86</f>
        <v>5.8657634099267386E-2</v>
      </c>
      <c r="G86" s="559" t="s">
        <v>80</v>
      </c>
      <c r="H86" s="562">
        <f>AVERAGE(U51:U59)</f>
        <v>4.1385443736821154E-2</v>
      </c>
      <c r="I86" s="561"/>
      <c r="V86" s="455"/>
    </row>
    <row r="87" spans="1:22">
      <c r="A87" s="559"/>
      <c r="B87" s="560"/>
      <c r="C87" s="560"/>
      <c r="D87" s="566" t="s">
        <v>260</v>
      </c>
      <c r="E87" s="562">
        <f>MIN(M18:M26)</f>
        <v>0.81193215854515222</v>
      </c>
      <c r="F87" s="569">
        <f t="shared" si="484"/>
        <v>0.18806784145484778</v>
      </c>
      <c r="G87" s="559" t="s">
        <v>260</v>
      </c>
      <c r="H87" s="562">
        <f>MIN(U18:U26)</f>
        <v>4.090068759909804E-3</v>
      </c>
      <c r="I87" s="569"/>
      <c r="V87" s="455"/>
    </row>
    <row r="88" spans="1:22">
      <c r="A88" s="559"/>
      <c r="B88" s="560"/>
      <c r="C88" s="560"/>
      <c r="D88" s="560"/>
      <c r="E88" s="560"/>
      <c r="F88" s="561"/>
      <c r="G88" s="559" t="s">
        <v>259</v>
      </c>
      <c r="H88" s="562">
        <f>MAX(U18:U26)</f>
        <v>3.4020958545228464E-2</v>
      </c>
      <c r="I88" s="569"/>
      <c r="V88" s="455"/>
    </row>
    <row r="89" spans="1:22" ht="13.8" thickBot="1">
      <c r="A89" s="559"/>
      <c r="B89" s="560"/>
      <c r="C89" s="560"/>
      <c r="D89" s="560"/>
      <c r="E89" s="560"/>
      <c r="F89" s="561"/>
      <c r="G89" s="563"/>
      <c r="H89" s="564"/>
      <c r="I89" s="582"/>
    </row>
    <row r="90" spans="1:22">
      <c r="A90" s="559"/>
      <c r="B90" s="560"/>
      <c r="C90" s="560"/>
      <c r="D90" s="560"/>
      <c r="E90" s="560"/>
      <c r="F90" s="561"/>
      <c r="G90" s="66"/>
      <c r="H90" s="66"/>
      <c r="I90" s="66"/>
    </row>
    <row r="91" spans="1:22">
      <c r="A91" s="559"/>
      <c r="B91" s="560"/>
      <c r="C91" s="560"/>
      <c r="D91" s="560"/>
      <c r="E91" s="560"/>
      <c r="F91" s="561"/>
      <c r="G91" s="66"/>
      <c r="H91" s="583"/>
      <c r="I91" s="583"/>
    </row>
    <row r="92" spans="1:22">
      <c r="A92" s="559"/>
      <c r="B92" s="560"/>
      <c r="C92" s="560"/>
      <c r="D92" s="560"/>
      <c r="E92" s="560"/>
      <c r="F92" s="561"/>
      <c r="G92" s="66"/>
      <c r="H92" s="583"/>
      <c r="I92" s="583"/>
    </row>
    <row r="93" spans="1:22">
      <c r="A93" s="559"/>
      <c r="B93" s="560"/>
      <c r="C93" s="560"/>
      <c r="D93" s="560"/>
      <c r="E93" s="560"/>
      <c r="F93" s="561"/>
      <c r="G93" s="66"/>
      <c r="H93" s="583"/>
      <c r="I93" s="583"/>
    </row>
    <row r="94" spans="1:22">
      <c r="A94" s="559"/>
      <c r="B94" s="560"/>
      <c r="C94" s="560"/>
      <c r="D94" s="566" t="s">
        <v>239</v>
      </c>
      <c r="E94" s="560"/>
      <c r="F94" s="561"/>
      <c r="G94" s="66"/>
      <c r="H94" s="66"/>
      <c r="I94" s="66"/>
    </row>
    <row r="95" spans="1:22">
      <c r="A95" s="559"/>
      <c r="B95" s="560"/>
      <c r="C95" s="560"/>
      <c r="D95" s="560"/>
      <c r="E95" s="566" t="s">
        <v>261</v>
      </c>
      <c r="F95" s="567" t="s">
        <v>268</v>
      </c>
      <c r="G95" s="66"/>
      <c r="H95" s="66"/>
      <c r="I95" s="66"/>
    </row>
    <row r="96" spans="1:22">
      <c r="A96" s="559"/>
      <c r="B96" s="560"/>
      <c r="C96" s="566"/>
      <c r="D96" s="566" t="s">
        <v>80</v>
      </c>
      <c r="E96" s="562">
        <f>AVERAGE(M51:M59)</f>
        <v>0.77820695842376786</v>
      </c>
      <c r="F96" s="569">
        <f>1-E96</f>
        <v>0.22179304157623214</v>
      </c>
      <c r="G96" s="66"/>
      <c r="H96" s="583"/>
      <c r="I96" s="66"/>
    </row>
    <row r="97" spans="1:17">
      <c r="A97" s="559"/>
      <c r="B97" s="560"/>
      <c r="C97" s="566"/>
      <c r="D97" s="566" t="s">
        <v>259</v>
      </c>
      <c r="E97" s="562">
        <f>MAX(M51:M59)</f>
        <v>0.86232825601440832</v>
      </c>
      <c r="F97" s="569">
        <f t="shared" ref="F97:F98" si="485">1-E97</f>
        <v>0.13767174398559168</v>
      </c>
      <c r="G97" s="66"/>
      <c r="H97" s="583"/>
      <c r="I97" s="66"/>
    </row>
    <row r="98" spans="1:17">
      <c r="A98" s="559"/>
      <c r="B98" s="560"/>
      <c r="C98" s="560"/>
      <c r="D98" s="566" t="s">
        <v>260</v>
      </c>
      <c r="E98" s="562">
        <f>MIN(M51:M59)</f>
        <v>0.72475194428818268</v>
      </c>
      <c r="F98" s="569">
        <f t="shared" si="485"/>
        <v>0.27524805571181732</v>
      </c>
      <c r="G98" s="66"/>
      <c r="H98" s="583"/>
      <c r="I98" s="66"/>
    </row>
    <row r="99" spans="1:17" ht="13.8" thickBot="1">
      <c r="A99" s="563"/>
      <c r="B99" s="564"/>
      <c r="C99" s="564"/>
      <c r="D99" s="564"/>
      <c r="E99" s="564"/>
      <c r="F99" s="565"/>
      <c r="G99" s="66"/>
      <c r="H99" s="66"/>
      <c r="I99" s="66"/>
    </row>
    <row r="103" spans="1:17">
      <c r="I103" s="272" t="s">
        <v>256</v>
      </c>
      <c r="J103" s="272" t="s">
        <v>214</v>
      </c>
    </row>
    <row r="104" spans="1:17">
      <c r="B104" s="272" t="s">
        <v>194</v>
      </c>
      <c r="H104">
        <v>2019</v>
      </c>
      <c r="I104">
        <v>668</v>
      </c>
      <c r="J104">
        <v>193</v>
      </c>
    </row>
    <row r="105" spans="1:17">
      <c r="B105" s="272" t="s">
        <v>227</v>
      </c>
    </row>
    <row r="106" spans="1:17">
      <c r="B106" s="283"/>
      <c r="C106" s="678" t="s">
        <v>115</v>
      </c>
      <c r="D106" s="678"/>
      <c r="E106" s="283"/>
      <c r="F106" s="678" t="s">
        <v>224</v>
      </c>
      <c r="G106" s="678"/>
      <c r="H106" s="678"/>
      <c r="I106" s="678"/>
      <c r="J106" s="489"/>
      <c r="K106" s="678" t="s">
        <v>116</v>
      </c>
      <c r="L106" s="678"/>
      <c r="M106" s="283"/>
      <c r="N106" s="678" t="s">
        <v>224</v>
      </c>
      <c r="O106" s="678"/>
      <c r="P106" s="678"/>
      <c r="Q106" s="678"/>
    </row>
    <row r="107" spans="1:17">
      <c r="B107" s="283"/>
      <c r="C107" s="282" t="s">
        <v>219</v>
      </c>
      <c r="D107" s="282" t="s">
        <v>220</v>
      </c>
      <c r="E107" s="282" t="s">
        <v>221</v>
      </c>
      <c r="F107" s="282" t="s">
        <v>222</v>
      </c>
      <c r="G107" s="282" t="s">
        <v>222</v>
      </c>
      <c r="H107" s="282" t="s">
        <v>225</v>
      </c>
      <c r="I107" s="484" t="s">
        <v>220</v>
      </c>
      <c r="J107" s="489"/>
      <c r="K107" s="486" t="s">
        <v>222</v>
      </c>
      <c r="L107" s="282" t="s">
        <v>220</v>
      </c>
      <c r="M107" s="282" t="s">
        <v>221</v>
      </c>
      <c r="N107" s="282" t="s">
        <v>222</v>
      </c>
      <c r="O107" s="282" t="s">
        <v>222</v>
      </c>
      <c r="P107" s="282" t="s">
        <v>225</v>
      </c>
      <c r="Q107" s="282" t="s">
        <v>220</v>
      </c>
    </row>
    <row r="108" spans="1:17">
      <c r="B108" s="283" t="str">
        <f t="shared" ref="B108:B123" si="486">A9</f>
        <v>2002*</v>
      </c>
      <c r="C108" s="281">
        <f t="shared" ref="C108:C122" si="487">E9</f>
        <v>0.79765013054830292</v>
      </c>
      <c r="D108" s="281">
        <f t="shared" ref="D108:D122" si="488">E42</f>
        <v>0.73927392739273923</v>
      </c>
      <c r="E108" s="281">
        <f>C108-D108</f>
        <v>5.8376203155563688E-2</v>
      </c>
      <c r="F108" s="395">
        <f t="shared" ref="F108:G113" si="489">AC9</f>
        <v>0.76742471760224684</v>
      </c>
      <c r="G108" s="395">
        <f t="shared" si="489"/>
        <v>0.82556302443464702</v>
      </c>
      <c r="H108" s="395">
        <f t="shared" ref="H108:I113" si="490">AC42</f>
        <v>0.7023813503592754</v>
      </c>
      <c r="I108" s="492">
        <f t="shared" si="490"/>
        <v>0.77381592979269109</v>
      </c>
      <c r="J108" s="490"/>
      <c r="K108" s="487">
        <f t="shared" ref="K108:K122" si="491">F9</f>
        <v>0.9492635024549918</v>
      </c>
      <c r="L108" s="281">
        <f t="shared" ref="L108:L122" si="492">F42</f>
        <v>0.92410714285714302</v>
      </c>
      <c r="M108" s="281">
        <f>K108-L108</f>
        <v>2.5156359597848788E-2</v>
      </c>
      <c r="N108" s="395">
        <f t="shared" ref="N108:O113" si="493">AJ9</f>
        <v>0.92875376869916126</v>
      </c>
      <c r="O108" s="395">
        <f t="shared" si="493"/>
        <v>0.96527021752821818</v>
      </c>
      <c r="P108" s="395">
        <f t="shared" ref="P108:Q113" si="494">AJ42</f>
        <v>0.89556005482430712</v>
      </c>
      <c r="Q108" s="395">
        <f t="shared" si="494"/>
        <v>0.94687198772333991</v>
      </c>
    </row>
    <row r="109" spans="1:17">
      <c r="B109" s="283">
        <f t="shared" si="486"/>
        <v>2003</v>
      </c>
      <c r="C109" s="281">
        <f t="shared" si="487"/>
        <v>0.82828282828282829</v>
      </c>
      <c r="D109" s="281">
        <f t="shared" si="488"/>
        <v>0.83501683501683499</v>
      </c>
      <c r="E109" s="281">
        <f t="shared" ref="E109:E125" si="495">C109-D109</f>
        <v>-6.7340067340067034E-3</v>
      </c>
      <c r="F109" s="395">
        <f t="shared" si="489"/>
        <v>0.73936108200604078</v>
      </c>
      <c r="G109" s="395">
        <f t="shared" si="489"/>
        <v>0.89666667810506184</v>
      </c>
      <c r="H109" s="395">
        <f t="shared" si="490"/>
        <v>0.78781818341968379</v>
      </c>
      <c r="I109" s="492">
        <f t="shared" si="490"/>
        <v>0.8753825610294802</v>
      </c>
      <c r="J109" s="490"/>
      <c r="K109" s="487">
        <f t="shared" si="491"/>
        <v>0.95121951219512191</v>
      </c>
      <c r="L109" s="281">
        <f t="shared" si="492"/>
        <v>0.90322580645161299</v>
      </c>
      <c r="M109" s="281">
        <f t="shared" ref="M109:M125" si="496">K109-L109</f>
        <v>4.7993705743508919E-2</v>
      </c>
      <c r="N109" s="395">
        <f t="shared" si="493"/>
        <v>0.87978823778555038</v>
      </c>
      <c r="O109" s="395">
        <f t="shared" si="493"/>
        <v>0.98655096634717188</v>
      </c>
      <c r="P109" s="395">
        <f t="shared" si="494"/>
        <v>0.85943340100983745</v>
      </c>
      <c r="Q109" s="395">
        <f t="shared" si="494"/>
        <v>0.93700642698271208</v>
      </c>
    </row>
    <row r="110" spans="1:17">
      <c r="B110" s="283">
        <f t="shared" si="486"/>
        <v>2004</v>
      </c>
      <c r="C110" s="281">
        <f t="shared" si="487"/>
        <v>0.81433224755700329</v>
      </c>
      <c r="D110" s="281">
        <f t="shared" si="488"/>
        <v>0.75630252100840334</v>
      </c>
      <c r="E110" s="281">
        <f t="shared" si="495"/>
        <v>5.8029726548599947E-2</v>
      </c>
      <c r="F110" s="395">
        <f t="shared" si="489"/>
        <v>0.76624190523471647</v>
      </c>
      <c r="G110" s="395">
        <f t="shared" si="489"/>
        <v>0.85623743262381002</v>
      </c>
      <c r="H110" s="395">
        <f t="shared" si="490"/>
        <v>0.70834750324445139</v>
      </c>
      <c r="I110" s="492">
        <f t="shared" si="490"/>
        <v>0.79994908869796011</v>
      </c>
      <c r="J110" s="490"/>
      <c r="K110" s="487">
        <f t="shared" si="491"/>
        <v>0.98399999999999999</v>
      </c>
      <c r="L110" s="281">
        <f t="shared" si="492"/>
        <v>0.93333333333333346</v>
      </c>
      <c r="M110" s="281">
        <f t="shared" si="496"/>
        <v>5.0666666666666527E-2</v>
      </c>
      <c r="N110" s="395">
        <f t="shared" si="493"/>
        <v>0.95954261936790075</v>
      </c>
      <c r="O110" s="395">
        <f t="shared" si="493"/>
        <v>0.99562377349102593</v>
      </c>
      <c r="P110" s="395">
        <f t="shared" si="494"/>
        <v>0.8966824969845697</v>
      </c>
      <c r="Q110" s="395">
        <f t="shared" si="494"/>
        <v>0.96001369509196499</v>
      </c>
    </row>
    <row r="111" spans="1:17">
      <c r="B111" s="283">
        <f t="shared" si="486"/>
        <v>2005</v>
      </c>
      <c r="C111" s="281">
        <f t="shared" si="487"/>
        <v>0.80373831775700932</v>
      </c>
      <c r="D111" s="281">
        <f t="shared" si="488"/>
        <v>0.79725085910652926</v>
      </c>
      <c r="E111" s="281">
        <f t="shared" si="495"/>
        <v>6.4874586504800602E-3</v>
      </c>
      <c r="F111" s="395">
        <f t="shared" si="489"/>
        <v>0.74411584931517905</v>
      </c>
      <c r="G111" s="395">
        <f t="shared" si="489"/>
        <v>0.85473835590700864</v>
      </c>
      <c r="H111" s="395">
        <f t="shared" si="490"/>
        <v>0.7464085952412387</v>
      </c>
      <c r="I111" s="492">
        <f t="shared" si="490"/>
        <v>0.84192591440580056</v>
      </c>
      <c r="J111" s="490"/>
      <c r="K111" s="487">
        <f t="shared" si="491"/>
        <v>0.91860465116279066</v>
      </c>
      <c r="L111" s="281">
        <f t="shared" si="492"/>
        <v>0.93534482758620685</v>
      </c>
      <c r="M111" s="281">
        <f t="shared" si="496"/>
        <v>-1.6740176423416187E-2</v>
      </c>
      <c r="N111" s="395">
        <f t="shared" si="493"/>
        <v>0.86720319415559266</v>
      </c>
      <c r="O111" s="395">
        <f t="shared" si="493"/>
        <v>0.95478599788570584</v>
      </c>
      <c r="P111" s="395">
        <f t="shared" si="494"/>
        <v>0.895602582198329</v>
      </c>
      <c r="Q111" s="395">
        <f t="shared" si="494"/>
        <v>0.96336460847897987</v>
      </c>
    </row>
    <row r="112" spans="1:17">
      <c r="B112" s="283">
        <f t="shared" si="486"/>
        <v>2006</v>
      </c>
      <c r="C112" s="281">
        <f t="shared" si="487"/>
        <v>0.86170212765957444</v>
      </c>
      <c r="D112" s="281">
        <f t="shared" si="488"/>
        <v>0.734375</v>
      </c>
      <c r="E112" s="281">
        <f t="shared" si="495"/>
        <v>0.12732712765957444</v>
      </c>
      <c r="F112" s="395">
        <f t="shared" si="489"/>
        <v>0.77512280528694255</v>
      </c>
      <c r="G112" s="395">
        <f t="shared" si="489"/>
        <v>0.92425702124469244</v>
      </c>
      <c r="H112" s="395">
        <f t="shared" si="490"/>
        <v>0.64907200507021057</v>
      </c>
      <c r="I112" s="492">
        <f t="shared" si="490"/>
        <v>0.80851256911305625</v>
      </c>
      <c r="J112" s="490"/>
      <c r="K112" s="487">
        <f t="shared" si="491"/>
        <v>0.88888888888888895</v>
      </c>
      <c r="L112" s="281">
        <f t="shared" si="492"/>
        <v>0.91489361702127658</v>
      </c>
      <c r="M112" s="281">
        <f t="shared" si="496"/>
        <v>-2.6004728132387633E-2</v>
      </c>
      <c r="N112" s="395">
        <f t="shared" si="493"/>
        <v>0.79952789968694893</v>
      </c>
      <c r="O112" s="395">
        <f t="shared" si="493"/>
        <v>0.94791647842784399</v>
      </c>
      <c r="P112" s="395">
        <f t="shared" si="494"/>
        <v>0.83917790012179372</v>
      </c>
      <c r="Q112" s="395">
        <f t="shared" si="494"/>
        <v>0.9625388675067571</v>
      </c>
    </row>
    <row r="113" spans="2:17">
      <c r="B113" s="283">
        <f t="shared" si="486"/>
        <v>2007</v>
      </c>
      <c r="C113" s="281">
        <f t="shared" si="487"/>
        <v>0.82653061224489799</v>
      </c>
      <c r="D113" s="281">
        <f t="shared" si="488"/>
        <v>0.78723404255319152</v>
      </c>
      <c r="E113" s="281">
        <f t="shared" si="495"/>
        <v>3.9296569691706473E-2</v>
      </c>
      <c r="F113" s="395">
        <f t="shared" si="489"/>
        <v>0.73685030997864909</v>
      </c>
      <c r="G113" s="395">
        <f t="shared" si="489"/>
        <v>0.89557567523825787</v>
      </c>
      <c r="H113" s="395">
        <f t="shared" si="490"/>
        <v>0.71040594037339966</v>
      </c>
      <c r="I113" s="492">
        <f t="shared" si="490"/>
        <v>0.85160662884377569</v>
      </c>
      <c r="J113" s="490"/>
      <c r="K113" s="487">
        <f t="shared" si="491"/>
        <v>0.86419753086419748</v>
      </c>
      <c r="L113" s="281">
        <f t="shared" si="492"/>
        <v>0.78378378378378377</v>
      </c>
      <c r="M113" s="281">
        <f t="shared" si="496"/>
        <v>8.0413747080413711E-2</v>
      </c>
      <c r="N113" s="395">
        <f t="shared" si="493"/>
        <v>0.76999036843793434</v>
      </c>
      <c r="O113" s="395">
        <f t="shared" si="493"/>
        <v>0.93021131401281731</v>
      </c>
      <c r="P113" s="395">
        <f t="shared" si="494"/>
        <v>0.69558375824170593</v>
      </c>
      <c r="Q113" s="395">
        <f t="shared" si="494"/>
        <v>0.85628346838833058</v>
      </c>
    </row>
    <row r="114" spans="2:17">
      <c r="B114" s="283" t="str">
        <f t="shared" si="486"/>
        <v>BiOp Avg</v>
      </c>
      <c r="C114" s="281">
        <f t="shared" si="487"/>
        <v>0.82203937734160271</v>
      </c>
      <c r="D114" s="281">
        <f t="shared" si="488"/>
        <v>0.77490886417961635</v>
      </c>
      <c r="E114" s="281">
        <f t="shared" si="495"/>
        <v>4.7130513161986354E-2</v>
      </c>
      <c r="F114" s="395"/>
      <c r="G114" s="395"/>
      <c r="H114" s="395"/>
      <c r="I114" s="492"/>
      <c r="J114" s="490"/>
      <c r="K114" s="487">
        <f t="shared" si="491"/>
        <v>0.92602901426099848</v>
      </c>
      <c r="L114" s="281">
        <f t="shared" si="492"/>
        <v>0.89911475183889278</v>
      </c>
      <c r="M114" s="281">
        <f t="shared" si="496"/>
        <v>2.6914262422105706E-2</v>
      </c>
      <c r="N114" s="395"/>
      <c r="O114" s="395"/>
      <c r="P114" s="395"/>
      <c r="Q114" s="395"/>
    </row>
    <row r="115" spans="2:17">
      <c r="B115" s="283">
        <f t="shared" si="486"/>
        <v>2008</v>
      </c>
      <c r="C115" s="281">
        <f t="shared" si="487"/>
        <v>0.8273504273504273</v>
      </c>
      <c r="D115" s="281">
        <f t="shared" si="488"/>
        <v>0.65707620528771382</v>
      </c>
      <c r="E115" s="281">
        <f t="shared" si="495"/>
        <v>0.17027422206271348</v>
      </c>
      <c r="F115" s="395">
        <f t="shared" ref="F115:G122" si="497">AC16</f>
        <v>0.79423693379916493</v>
      </c>
      <c r="G115" s="395">
        <f t="shared" si="497"/>
        <v>0.857115115189232</v>
      </c>
      <c r="H115" s="395">
        <f t="shared" ref="H115:I122" si="498">AC49</f>
        <v>0.63040731928680582</v>
      </c>
      <c r="I115" s="492">
        <f t="shared" si="498"/>
        <v>0.68302491540263799</v>
      </c>
      <c r="J115" s="490"/>
      <c r="K115" s="487">
        <f t="shared" si="491"/>
        <v>0.77685950413223148</v>
      </c>
      <c r="L115" s="281">
        <f t="shared" si="492"/>
        <v>0.84378698224852078</v>
      </c>
      <c r="M115" s="281">
        <f t="shared" si="496"/>
        <v>-6.6927478116289296E-2</v>
      </c>
      <c r="N115" s="395">
        <f t="shared" ref="N115:O122" si="499">AJ16</f>
        <v>0.73710020294515666</v>
      </c>
      <c r="O115" s="395">
        <f t="shared" si="499"/>
        <v>0.81319748774219824</v>
      </c>
      <c r="P115" s="395">
        <f t="shared" ref="P115:Q122" si="500">AJ49</f>
        <v>0.81752375692262824</v>
      </c>
      <c r="Q115" s="395">
        <f t="shared" si="500"/>
        <v>0.86762480594029101</v>
      </c>
    </row>
    <row r="116" spans="2:17">
      <c r="B116" s="283">
        <f t="shared" si="486"/>
        <v>2009</v>
      </c>
      <c r="C116" s="281">
        <f t="shared" si="487"/>
        <v>0.74851455733808669</v>
      </c>
      <c r="D116" s="281">
        <f t="shared" si="488"/>
        <v>0.7494959677419355</v>
      </c>
      <c r="E116" s="281">
        <f t="shared" si="495"/>
        <v>-9.8141040384880363E-4</v>
      </c>
      <c r="F116" s="395">
        <f t="shared" si="497"/>
        <v>0.7379698951883038</v>
      </c>
      <c r="G116" s="395">
        <f t="shared" si="497"/>
        <v>0.75884355208318677</v>
      </c>
      <c r="H116" s="395">
        <f t="shared" si="498"/>
        <v>0.72981741665754507</v>
      </c>
      <c r="I116" s="492">
        <f t="shared" si="498"/>
        <v>0.76843444020993223</v>
      </c>
      <c r="J116" s="490"/>
      <c r="K116" s="487">
        <f t="shared" si="491"/>
        <v>0.89561420916848589</v>
      </c>
      <c r="L116" s="281">
        <f t="shared" si="492"/>
        <v>0.86146603900470742</v>
      </c>
      <c r="M116" s="281">
        <f t="shared" si="496"/>
        <v>3.4148170163778468E-2</v>
      </c>
      <c r="N116" s="395">
        <f t="shared" si="499"/>
        <v>0.88684233161782355</v>
      </c>
      <c r="O116" s="395">
        <f t="shared" si="499"/>
        <v>0.90392470972281158</v>
      </c>
      <c r="P116" s="395">
        <f t="shared" si="500"/>
        <v>0.84285721747142006</v>
      </c>
      <c r="Q116" s="395">
        <f t="shared" si="500"/>
        <v>0.87863377692310562</v>
      </c>
    </row>
    <row r="117" spans="2:17">
      <c r="B117" s="283">
        <f t="shared" si="486"/>
        <v>2010</v>
      </c>
      <c r="C117" s="281">
        <f t="shared" si="487"/>
        <v>0.76792580864057902</v>
      </c>
      <c r="D117" s="281">
        <f t="shared" si="488"/>
        <v>0.7392316647264261</v>
      </c>
      <c r="E117" s="281">
        <f t="shared" si="495"/>
        <v>2.8694143914152925E-2</v>
      </c>
      <c r="F117" s="395">
        <f t="shared" si="497"/>
        <v>0.75519398057535125</v>
      </c>
      <c r="G117" s="395">
        <f t="shared" si="497"/>
        <v>0.78030273476699663</v>
      </c>
      <c r="H117" s="395">
        <f t="shared" si="498"/>
        <v>0.71778200174074425</v>
      </c>
      <c r="I117" s="492">
        <f t="shared" si="498"/>
        <v>0.75986107317163309</v>
      </c>
      <c r="J117" s="490"/>
      <c r="K117" s="487">
        <f t="shared" si="491"/>
        <v>0.90191458026509574</v>
      </c>
      <c r="L117" s="281">
        <f t="shared" si="492"/>
        <v>0.88110236220472427</v>
      </c>
      <c r="M117" s="281">
        <f t="shared" si="496"/>
        <v>2.0812218060371479E-2</v>
      </c>
      <c r="N117" s="395">
        <f t="shared" si="499"/>
        <v>0.89141346899537233</v>
      </c>
      <c r="O117" s="395">
        <f t="shared" si="499"/>
        <v>0.91171743230942381</v>
      </c>
      <c r="P117" s="395">
        <f t="shared" si="500"/>
        <v>0.86202019544383923</v>
      </c>
      <c r="Q117" s="395">
        <f t="shared" si="500"/>
        <v>0.89839919052695061</v>
      </c>
    </row>
    <row r="118" spans="2:17">
      <c r="B118" s="283">
        <f t="shared" si="486"/>
        <v>2011</v>
      </c>
      <c r="C118" s="281">
        <f t="shared" si="487"/>
        <v>0.77091136079900124</v>
      </c>
      <c r="D118" s="281">
        <f t="shared" si="488"/>
        <v>0.73596256684491979</v>
      </c>
      <c r="E118" s="281">
        <f t="shared" si="495"/>
        <v>3.4948793954081459E-2</v>
      </c>
      <c r="F118" s="395">
        <f t="shared" si="497"/>
        <v>0.7587635270136196</v>
      </c>
      <c r="G118" s="395">
        <f t="shared" si="497"/>
        <v>0.78272921894344272</v>
      </c>
      <c r="H118" s="395">
        <f t="shared" si="498"/>
        <v>0.71284129448583167</v>
      </c>
      <c r="I118" s="492">
        <f t="shared" si="498"/>
        <v>0.75815372699304995</v>
      </c>
      <c r="J118" s="490"/>
      <c r="K118" s="487">
        <f t="shared" si="491"/>
        <v>0.89176788124156547</v>
      </c>
      <c r="L118" s="281">
        <f t="shared" si="492"/>
        <v>0.86012715712988197</v>
      </c>
      <c r="M118" s="281">
        <f t="shared" si="496"/>
        <v>3.1640724111683505E-2</v>
      </c>
      <c r="N118" s="395">
        <f t="shared" si="499"/>
        <v>0.88131851753857737</v>
      </c>
      <c r="O118" s="395">
        <f t="shared" si="499"/>
        <v>0.90159452259160067</v>
      </c>
      <c r="P118" s="395">
        <f t="shared" si="500"/>
        <v>0.83822269395091664</v>
      </c>
      <c r="Q118" s="395">
        <f t="shared" si="500"/>
        <v>0.88008580211206799</v>
      </c>
    </row>
    <row r="119" spans="2:17">
      <c r="B119" s="283">
        <f t="shared" si="486"/>
        <v>2012</v>
      </c>
      <c r="C119" s="281">
        <f t="shared" si="487"/>
        <v>0.8050816696914701</v>
      </c>
      <c r="D119" s="281">
        <f t="shared" si="488"/>
        <v>0.73015873015873012</v>
      </c>
      <c r="E119" s="281">
        <f t="shared" si="495"/>
        <v>7.4922939532739985E-2</v>
      </c>
      <c r="F119" s="395">
        <f t="shared" si="497"/>
        <v>0.78978705495144053</v>
      </c>
      <c r="G119" s="395">
        <f t="shared" si="497"/>
        <v>0.81972524269184621</v>
      </c>
      <c r="H119" s="395">
        <f t="shared" si="498"/>
        <v>0.69956103126935198</v>
      </c>
      <c r="I119" s="492">
        <f t="shared" si="498"/>
        <v>0.75921005620864257</v>
      </c>
      <c r="J119" s="490"/>
      <c r="K119" s="487">
        <f t="shared" si="491"/>
        <v>0.89359783588818753</v>
      </c>
      <c r="L119" s="281">
        <f t="shared" si="492"/>
        <v>0.80900621118012428</v>
      </c>
      <c r="M119" s="281">
        <f t="shared" si="496"/>
        <v>8.4591624708063251E-2</v>
      </c>
      <c r="N119" s="395">
        <f t="shared" si="499"/>
        <v>0.88001590018805853</v>
      </c>
      <c r="O119" s="395">
        <f t="shared" si="499"/>
        <v>0.90612952468219277</v>
      </c>
      <c r="P119" s="395">
        <f t="shared" si="500"/>
        <v>0.77648027887912696</v>
      </c>
      <c r="Q119" s="395">
        <f t="shared" si="500"/>
        <v>0.83866824087493885</v>
      </c>
    </row>
    <row r="120" spans="2:17">
      <c r="B120" s="283">
        <f t="shared" si="486"/>
        <v>2013</v>
      </c>
      <c r="C120" s="281">
        <f t="shared" si="487"/>
        <v>0.744251857092324</v>
      </c>
      <c r="D120" s="281">
        <f t="shared" si="488"/>
        <v>0.64271457085828343</v>
      </c>
      <c r="E120" s="281">
        <f t="shared" si="495"/>
        <v>0.10153728623404057</v>
      </c>
      <c r="F120" s="395">
        <f t="shared" si="497"/>
        <v>0.72774491429246912</v>
      </c>
      <c r="G120" s="395">
        <f t="shared" si="497"/>
        <v>0.76025166886011297</v>
      </c>
      <c r="H120" s="395">
        <f t="shared" si="498"/>
        <v>0.59901003838376443</v>
      </c>
      <c r="I120" s="492">
        <f t="shared" si="498"/>
        <v>0.68472373892769556</v>
      </c>
      <c r="J120" s="490"/>
      <c r="K120" s="487">
        <f t="shared" si="491"/>
        <v>0.93963878326996197</v>
      </c>
      <c r="L120" s="281">
        <f t="shared" si="492"/>
        <v>0.97826086956521729</v>
      </c>
      <c r="M120" s="281">
        <f t="shared" si="496"/>
        <v>-3.862208629525532E-2</v>
      </c>
      <c r="N120" s="395">
        <f t="shared" si="499"/>
        <v>0.92859763451376698</v>
      </c>
      <c r="O120" s="395">
        <f t="shared" si="499"/>
        <v>0.9494342703740738</v>
      </c>
      <c r="P120" s="395">
        <f t="shared" si="500"/>
        <v>0.95572393833289082</v>
      </c>
      <c r="Q120" s="395">
        <f t="shared" si="500"/>
        <v>0.99121611659960973</v>
      </c>
    </row>
    <row r="121" spans="2:17">
      <c r="B121" s="283">
        <f t="shared" si="486"/>
        <v>2014</v>
      </c>
      <c r="C121" s="281">
        <f t="shared" si="487"/>
        <v>0.77284527518172375</v>
      </c>
      <c r="D121" s="281">
        <f t="shared" si="488"/>
        <v>0.74860335195530725</v>
      </c>
      <c r="E121" s="281">
        <f t="shared" si="495"/>
        <v>2.4241923226416495E-2</v>
      </c>
      <c r="F121" s="395">
        <f t="shared" si="497"/>
        <v>0.7592796025548989</v>
      </c>
      <c r="G121" s="395">
        <f t="shared" si="497"/>
        <v>0.78599577395799369</v>
      </c>
      <c r="H121" s="395">
        <f t="shared" si="498"/>
        <v>0.71883360985036937</v>
      </c>
      <c r="I121" s="492">
        <f t="shared" si="498"/>
        <v>0.77672638641292979</v>
      </c>
      <c r="J121" s="490"/>
      <c r="K121" s="487">
        <f t="shared" si="491"/>
        <v>0.99563318777292575</v>
      </c>
      <c r="L121" s="281">
        <f t="shared" si="492"/>
        <v>0.88507462686567173</v>
      </c>
      <c r="M121" s="281">
        <f t="shared" si="496"/>
        <v>0.11055856090725402</v>
      </c>
      <c r="N121" s="395">
        <f t="shared" si="499"/>
        <v>0.99254419444064568</v>
      </c>
      <c r="O121" s="395">
        <f t="shared" si="499"/>
        <v>0.99767286993754334</v>
      </c>
      <c r="P121" s="395">
        <f t="shared" si="500"/>
        <v>0.85846502354020693</v>
      </c>
      <c r="Q121" s="395">
        <f t="shared" si="500"/>
        <v>0.90823091304829373</v>
      </c>
    </row>
    <row r="122" spans="2:17">
      <c r="B122" s="283">
        <f t="shared" si="486"/>
        <v>2015</v>
      </c>
      <c r="C122" s="281">
        <f t="shared" si="487"/>
        <v>0.79744816586921852</v>
      </c>
      <c r="D122" s="281">
        <f t="shared" si="488"/>
        <v>0.77429467084639503</v>
      </c>
      <c r="E122" s="281">
        <f t="shared" si="495"/>
        <v>2.3153495022823489E-2</v>
      </c>
      <c r="F122" s="395">
        <f t="shared" si="497"/>
        <v>0.78117650658819182</v>
      </c>
      <c r="G122" s="395">
        <f t="shared" si="497"/>
        <v>0.81302223171977817</v>
      </c>
      <c r="H122" s="395">
        <f t="shared" si="498"/>
        <v>0.74646380393867262</v>
      </c>
      <c r="I122" s="492">
        <f t="shared" si="498"/>
        <v>0.80042603688236891</v>
      </c>
      <c r="J122" s="490"/>
      <c r="K122" s="487">
        <f t="shared" si="491"/>
        <v>0.94950000000000001</v>
      </c>
      <c r="L122" s="281">
        <f t="shared" si="492"/>
        <v>0.90148448043184881</v>
      </c>
      <c r="M122" s="281">
        <f t="shared" si="496"/>
        <v>4.8015519568151199E-2</v>
      </c>
      <c r="N122" s="395">
        <f t="shared" si="499"/>
        <v>0.93897413337199431</v>
      </c>
      <c r="O122" s="395">
        <f t="shared" si="499"/>
        <v>0.95868157751866523</v>
      </c>
      <c r="P122" s="395">
        <f t="shared" si="500"/>
        <v>0.87772716074670742</v>
      </c>
      <c r="Q122" s="395">
        <f t="shared" si="500"/>
        <v>0.92198346304280687</v>
      </c>
    </row>
    <row r="123" spans="2:17">
      <c r="B123" s="283">
        <f t="shared" si="486"/>
        <v>2016</v>
      </c>
      <c r="C123" s="281"/>
      <c r="D123" s="281"/>
      <c r="E123" s="281"/>
      <c r="F123" s="283"/>
      <c r="G123" s="283"/>
      <c r="H123" s="283"/>
      <c r="I123" s="485"/>
      <c r="J123" s="490"/>
      <c r="K123" s="487"/>
      <c r="L123" s="281"/>
      <c r="M123" s="281"/>
      <c r="N123" s="283"/>
      <c r="O123" s="283"/>
      <c r="P123" s="283"/>
      <c r="Q123" s="283"/>
    </row>
    <row r="124" spans="2:17">
      <c r="B124" s="283"/>
      <c r="C124" s="281"/>
      <c r="D124" s="281"/>
      <c r="E124" s="281"/>
      <c r="F124" s="283"/>
      <c r="G124" s="283"/>
      <c r="H124" s="283"/>
      <c r="I124" s="485"/>
      <c r="J124" s="490"/>
      <c r="K124" s="488"/>
      <c r="L124" s="283"/>
      <c r="M124" s="281"/>
      <c r="N124" s="283"/>
      <c r="O124" s="283"/>
      <c r="P124" s="283"/>
      <c r="Q124" s="283"/>
    </row>
    <row r="125" spans="2:17">
      <c r="B125" s="282" t="s">
        <v>223</v>
      </c>
      <c r="C125" s="281">
        <f>+AVERAGE(C115:C123)</f>
        <v>0.77929114024535395</v>
      </c>
      <c r="D125" s="281">
        <f t="shared" ref="D125" si="501">+AVERAGE(D115:D123)</f>
        <v>0.72219221605246386</v>
      </c>
      <c r="E125" s="281">
        <f t="shared" si="495"/>
        <v>5.7098924192890088E-2</v>
      </c>
      <c r="F125" s="281"/>
      <c r="G125" s="283"/>
      <c r="H125" s="283"/>
      <c r="I125" s="485"/>
      <c r="J125" s="490"/>
      <c r="K125" s="487">
        <f>+AVERAGE(K115:K123)</f>
        <v>0.90556574771730669</v>
      </c>
      <c r="L125" s="281">
        <f>+AVERAGE(L115:L123)</f>
        <v>0.87753859107883714</v>
      </c>
      <c r="M125" s="281">
        <f t="shared" si="496"/>
        <v>2.8027156638469553E-2</v>
      </c>
      <c r="N125" s="283"/>
      <c r="O125" s="283"/>
      <c r="P125" s="283"/>
      <c r="Q125" s="283"/>
    </row>
    <row r="126" spans="2:17">
      <c r="B126" s="282" t="s">
        <v>229</v>
      </c>
      <c r="C126" s="281"/>
      <c r="D126" s="281"/>
      <c r="E126" s="283"/>
      <c r="F126" s="283"/>
      <c r="G126" s="283"/>
      <c r="H126" s="283"/>
      <c r="I126" s="485"/>
      <c r="J126" s="491"/>
      <c r="K126" s="488"/>
      <c r="L126" s="283"/>
      <c r="M126" s="283"/>
      <c r="N126" s="283"/>
      <c r="O126" s="283"/>
      <c r="P126" s="283"/>
      <c r="Q126" s="283"/>
    </row>
    <row r="128" spans="2:17">
      <c r="B128" t="s">
        <v>305</v>
      </c>
      <c r="P128" s="272" t="s">
        <v>369</v>
      </c>
    </row>
    <row r="129" spans="2:23">
      <c r="B129" t="s">
        <v>325</v>
      </c>
    </row>
    <row r="130" spans="2:23" ht="14.4">
      <c r="B130" s="600" t="s">
        <v>333</v>
      </c>
      <c r="C130" s="600" t="s">
        <v>343</v>
      </c>
      <c r="D130" s="600" t="s">
        <v>308</v>
      </c>
      <c r="E130" s="600" t="s">
        <v>231</v>
      </c>
      <c r="F130" s="600" t="s">
        <v>232</v>
      </c>
      <c r="G130" s="600" t="s">
        <v>309</v>
      </c>
      <c r="H130" s="600" t="s">
        <v>233</v>
      </c>
      <c r="I130" s="600" t="s">
        <v>310</v>
      </c>
      <c r="J130" s="600" t="s">
        <v>234</v>
      </c>
      <c r="K130" s="600" t="s">
        <v>235</v>
      </c>
      <c r="L130" s="600" t="s">
        <v>344</v>
      </c>
      <c r="M130" s="600"/>
      <c r="N130" s="603" t="s">
        <v>346</v>
      </c>
      <c r="O130" s="603" t="s">
        <v>347</v>
      </c>
      <c r="P130" s="603" t="s">
        <v>348</v>
      </c>
      <c r="Q130" s="603" t="s">
        <v>115</v>
      </c>
      <c r="R130" s="603" t="s">
        <v>237</v>
      </c>
      <c r="S130" s="603" t="s">
        <v>349</v>
      </c>
      <c r="T130" s="603" t="s">
        <v>350</v>
      </c>
      <c r="U130" s="603" t="s">
        <v>238</v>
      </c>
      <c r="V130" s="603" t="s">
        <v>240</v>
      </c>
      <c r="W130" s="603" t="s">
        <v>351</v>
      </c>
    </row>
    <row r="131" spans="2:23" ht="28.8">
      <c r="B131" s="601" t="s">
        <v>335</v>
      </c>
      <c r="C131" s="602">
        <v>2010</v>
      </c>
      <c r="D131" s="601" t="s">
        <v>318</v>
      </c>
      <c r="E131" s="602">
        <v>2263</v>
      </c>
      <c r="F131" s="602">
        <v>0</v>
      </c>
      <c r="G131" s="602">
        <v>0</v>
      </c>
      <c r="H131" s="602">
        <v>1813</v>
      </c>
      <c r="I131" s="602">
        <v>1596</v>
      </c>
      <c r="J131" s="602">
        <v>0</v>
      </c>
      <c r="K131" s="602">
        <v>0</v>
      </c>
      <c r="L131" s="602">
        <v>1713</v>
      </c>
      <c r="M131" s="602"/>
      <c r="N131" s="604"/>
      <c r="O131" s="604"/>
      <c r="P131" s="604"/>
      <c r="Q131" s="455">
        <f>I131/E131</f>
        <v>0.70525850640742382</v>
      </c>
      <c r="R131" s="455">
        <f>I131/H131</f>
        <v>0.88030888030888033</v>
      </c>
      <c r="S131" s="604"/>
      <c r="T131" s="604"/>
      <c r="U131" s="604"/>
      <c r="V131" s="455">
        <f>L131/H131</f>
        <v>0.94484280198565918</v>
      </c>
      <c r="W131" s="455">
        <f>L131/E131</f>
        <v>0.75695978789217855</v>
      </c>
    </row>
    <row r="132" spans="2:23" ht="28.8">
      <c r="B132" s="601" t="s">
        <v>335</v>
      </c>
      <c r="C132" s="602">
        <v>2011</v>
      </c>
      <c r="D132" s="601" t="s">
        <v>318</v>
      </c>
      <c r="E132" s="602">
        <v>2878</v>
      </c>
      <c r="F132" s="602">
        <v>3</v>
      </c>
      <c r="G132" s="602">
        <v>0</v>
      </c>
      <c r="H132" s="602">
        <v>2310</v>
      </c>
      <c r="I132" s="602">
        <v>2115</v>
      </c>
      <c r="J132" s="602">
        <v>0</v>
      </c>
      <c r="K132" s="602">
        <v>0</v>
      </c>
      <c r="L132" s="602">
        <v>2141</v>
      </c>
      <c r="M132" s="602"/>
      <c r="N132" s="455">
        <f t="shared" ref="N132:N143" si="502">F132/E132</f>
        <v>1.0423905489923557E-3</v>
      </c>
      <c r="O132" s="604"/>
      <c r="P132" s="604"/>
      <c r="Q132" s="455">
        <f t="shared" ref="Q132:Q143" si="503">I132/E132</f>
        <v>0.73488533703961079</v>
      </c>
      <c r="R132" s="455">
        <f t="shared" ref="R132:R143" si="504">I132/H132</f>
        <v>0.91558441558441561</v>
      </c>
      <c r="S132" s="604"/>
      <c r="T132" s="604"/>
      <c r="U132" s="604"/>
      <c r="V132" s="455">
        <f t="shared" ref="V132:V143" si="505">L132/H132</f>
        <v>0.9268398268398268</v>
      </c>
      <c r="W132" s="455">
        <f t="shared" ref="W132:W143" si="506">L132/E132</f>
        <v>0.74391938846421124</v>
      </c>
    </row>
    <row r="133" spans="2:23" ht="28.8">
      <c r="B133" s="601" t="s">
        <v>335</v>
      </c>
      <c r="C133" s="602">
        <v>2012</v>
      </c>
      <c r="D133" s="601" t="s">
        <v>318</v>
      </c>
      <c r="E133" s="602">
        <v>1782</v>
      </c>
      <c r="F133" s="602">
        <v>7</v>
      </c>
      <c r="G133" s="602">
        <v>0</v>
      </c>
      <c r="H133" s="602">
        <v>1448</v>
      </c>
      <c r="I133" s="602">
        <v>1309</v>
      </c>
      <c r="J133" s="602">
        <v>0</v>
      </c>
      <c r="K133" s="602">
        <v>0</v>
      </c>
      <c r="L133" s="602">
        <v>1360</v>
      </c>
      <c r="M133" s="602"/>
      <c r="N133" s="455">
        <f t="shared" si="502"/>
        <v>3.9281705948372618E-3</v>
      </c>
      <c r="O133" s="604"/>
      <c r="P133" s="604"/>
      <c r="Q133" s="455">
        <f t="shared" si="503"/>
        <v>0.73456790123456794</v>
      </c>
      <c r="R133" s="455">
        <f t="shared" si="504"/>
        <v>0.90400552486187846</v>
      </c>
      <c r="S133" s="604"/>
      <c r="T133" s="604"/>
      <c r="U133" s="604"/>
      <c r="V133" s="455">
        <f t="shared" si="505"/>
        <v>0.93922651933701662</v>
      </c>
      <c r="W133" s="455">
        <f t="shared" si="506"/>
        <v>0.76318742985409649</v>
      </c>
    </row>
    <row r="134" spans="2:23" ht="28.8">
      <c r="B134" s="601" t="s">
        <v>335</v>
      </c>
      <c r="C134" s="602">
        <v>2013</v>
      </c>
      <c r="D134" s="601" t="s">
        <v>318</v>
      </c>
      <c r="E134" s="602">
        <v>1905</v>
      </c>
      <c r="F134" s="602">
        <v>1598</v>
      </c>
      <c r="G134" s="602">
        <v>0</v>
      </c>
      <c r="H134" s="602">
        <v>1458</v>
      </c>
      <c r="I134" s="602">
        <v>1284</v>
      </c>
      <c r="J134" s="602">
        <v>32</v>
      </c>
      <c r="K134" s="602">
        <v>23</v>
      </c>
      <c r="L134" s="602">
        <v>1373</v>
      </c>
      <c r="M134" s="602"/>
      <c r="N134" s="455">
        <f t="shared" si="502"/>
        <v>0.83884514435695534</v>
      </c>
      <c r="O134" s="604"/>
      <c r="P134" s="604"/>
      <c r="Q134" s="455">
        <f t="shared" si="503"/>
        <v>0.67401574803149611</v>
      </c>
      <c r="R134" s="455">
        <f t="shared" si="504"/>
        <v>0.88065843621399176</v>
      </c>
      <c r="S134" s="455">
        <f t="shared" ref="S134:S143" si="507">J134/I134</f>
        <v>2.4922118380062305E-2</v>
      </c>
      <c r="T134" s="455">
        <f t="shared" ref="T134:T143" si="508">K134/J134</f>
        <v>0.71875</v>
      </c>
      <c r="U134" s="455">
        <f t="shared" ref="U134:U143" si="509">L134/K134</f>
        <v>59.695652173913047</v>
      </c>
      <c r="V134" s="455">
        <f t="shared" si="505"/>
        <v>0.94170096021947869</v>
      </c>
      <c r="W134" s="455">
        <f t="shared" si="506"/>
        <v>0.72073490813648289</v>
      </c>
    </row>
    <row r="135" spans="2:23" ht="28.8">
      <c r="B135" s="601" t="s">
        <v>335</v>
      </c>
      <c r="C135" s="602">
        <v>2014</v>
      </c>
      <c r="D135" s="601" t="s">
        <v>318</v>
      </c>
      <c r="E135" s="602">
        <v>2400</v>
      </c>
      <c r="F135" s="602">
        <v>2032</v>
      </c>
      <c r="G135" s="602">
        <v>0</v>
      </c>
      <c r="H135" s="602">
        <v>1862</v>
      </c>
      <c r="I135" s="602">
        <v>1703</v>
      </c>
      <c r="J135" s="602">
        <v>1782</v>
      </c>
      <c r="K135" s="602">
        <v>1763</v>
      </c>
      <c r="L135" s="602">
        <v>1762</v>
      </c>
      <c r="M135" s="602"/>
      <c r="N135" s="455">
        <f t="shared" si="502"/>
        <v>0.84666666666666668</v>
      </c>
      <c r="O135" s="604"/>
      <c r="P135" s="604"/>
      <c r="Q135" s="455">
        <f t="shared" si="503"/>
        <v>0.70958333333333334</v>
      </c>
      <c r="R135" s="455">
        <f t="shared" si="504"/>
        <v>0.9146079484425349</v>
      </c>
      <c r="S135" s="455">
        <f t="shared" si="507"/>
        <v>1.0463887257780387</v>
      </c>
      <c r="T135" s="455">
        <f t="shared" si="508"/>
        <v>0.989337822671156</v>
      </c>
      <c r="U135" s="455">
        <f t="shared" si="509"/>
        <v>0.99943278502552468</v>
      </c>
      <c r="V135" s="455">
        <f t="shared" si="505"/>
        <v>0.94629430719656282</v>
      </c>
      <c r="W135" s="455">
        <f t="shared" si="506"/>
        <v>0.73416666666666663</v>
      </c>
    </row>
    <row r="136" spans="2:23" ht="28.8">
      <c r="B136" s="601" t="s">
        <v>335</v>
      </c>
      <c r="C136" s="602">
        <v>2015</v>
      </c>
      <c r="D136" s="601" t="s">
        <v>318</v>
      </c>
      <c r="E136" s="602">
        <v>1725</v>
      </c>
      <c r="F136" s="602">
        <v>1519</v>
      </c>
      <c r="G136" s="602">
        <v>0</v>
      </c>
      <c r="H136" s="602">
        <v>1395</v>
      </c>
      <c r="I136" s="602">
        <v>1284</v>
      </c>
      <c r="J136" s="602">
        <v>1350</v>
      </c>
      <c r="K136" s="602">
        <v>1335</v>
      </c>
      <c r="L136" s="602">
        <v>1337</v>
      </c>
      <c r="M136" s="602"/>
      <c r="N136" s="455">
        <f t="shared" si="502"/>
        <v>0.88057971014492753</v>
      </c>
      <c r="O136" s="604"/>
      <c r="P136" s="604"/>
      <c r="Q136" s="455">
        <f t="shared" si="503"/>
        <v>0.74434782608695649</v>
      </c>
      <c r="R136" s="455">
        <f t="shared" si="504"/>
        <v>0.9204301075268817</v>
      </c>
      <c r="S136" s="455">
        <f t="shared" si="507"/>
        <v>1.0514018691588785</v>
      </c>
      <c r="T136" s="455">
        <f t="shared" si="508"/>
        <v>0.98888888888888893</v>
      </c>
      <c r="U136" s="455">
        <f t="shared" si="509"/>
        <v>1.0014981273408239</v>
      </c>
      <c r="V136" s="455">
        <f t="shared" si="505"/>
        <v>0.95842293906810039</v>
      </c>
      <c r="W136" s="455">
        <f t="shared" si="506"/>
        <v>0.77507246376811589</v>
      </c>
    </row>
    <row r="137" spans="2:23" ht="28.8">
      <c r="B137" s="601" t="s">
        <v>335</v>
      </c>
      <c r="C137" s="602">
        <v>2016</v>
      </c>
      <c r="D137" s="601" t="s">
        <v>318</v>
      </c>
      <c r="E137" s="602">
        <v>1254</v>
      </c>
      <c r="F137" s="602">
        <v>1058</v>
      </c>
      <c r="G137" s="602">
        <v>1</v>
      </c>
      <c r="H137" s="602">
        <v>964</v>
      </c>
      <c r="I137" s="602">
        <v>913</v>
      </c>
      <c r="J137" s="602">
        <v>913</v>
      </c>
      <c r="K137" s="602">
        <v>921</v>
      </c>
      <c r="L137" s="602">
        <v>925</v>
      </c>
      <c r="M137" s="602"/>
      <c r="N137" s="455">
        <f t="shared" si="502"/>
        <v>0.84370015948963317</v>
      </c>
      <c r="O137" s="604"/>
      <c r="P137" s="604"/>
      <c r="Q137" s="455">
        <f t="shared" si="503"/>
        <v>0.72807017543859653</v>
      </c>
      <c r="R137" s="455">
        <f t="shared" si="504"/>
        <v>0.94709543568464727</v>
      </c>
      <c r="S137" s="455">
        <f t="shared" si="507"/>
        <v>1</v>
      </c>
      <c r="T137" s="455">
        <f t="shared" si="508"/>
        <v>1.0087623220153341</v>
      </c>
      <c r="U137" s="455">
        <f t="shared" si="509"/>
        <v>1.004343105320304</v>
      </c>
      <c r="V137" s="455">
        <f t="shared" si="505"/>
        <v>0.95954356846473032</v>
      </c>
      <c r="W137" s="455">
        <f t="shared" si="506"/>
        <v>0.73763955342902709</v>
      </c>
    </row>
    <row r="138" spans="2:23" ht="28.8">
      <c r="B138" s="601" t="s">
        <v>335</v>
      </c>
      <c r="C138" s="602">
        <v>2017</v>
      </c>
      <c r="D138" s="601" t="s">
        <v>318</v>
      </c>
      <c r="E138" s="602">
        <v>920</v>
      </c>
      <c r="F138" s="602">
        <v>802</v>
      </c>
      <c r="G138" s="602">
        <v>7</v>
      </c>
      <c r="H138" s="602">
        <v>742</v>
      </c>
      <c r="I138" s="602">
        <v>725</v>
      </c>
      <c r="J138" s="602">
        <v>733</v>
      </c>
      <c r="K138" s="602">
        <v>729</v>
      </c>
      <c r="L138" s="602">
        <v>719</v>
      </c>
      <c r="M138" s="602"/>
      <c r="N138" s="455">
        <f t="shared" si="502"/>
        <v>0.87173913043478257</v>
      </c>
      <c r="O138" s="604"/>
      <c r="P138" s="604"/>
      <c r="Q138" s="455">
        <f t="shared" si="503"/>
        <v>0.78804347826086951</v>
      </c>
      <c r="R138" s="455">
        <f t="shared" si="504"/>
        <v>0.97708894878706198</v>
      </c>
      <c r="S138" s="455">
        <f t="shared" si="507"/>
        <v>1.0110344827586206</v>
      </c>
      <c r="T138" s="455">
        <f t="shared" si="508"/>
        <v>0.99454297407912684</v>
      </c>
      <c r="U138" s="455">
        <f t="shared" si="509"/>
        <v>0.98628257887517146</v>
      </c>
      <c r="V138" s="455">
        <f t="shared" si="505"/>
        <v>0.96900269541778972</v>
      </c>
      <c r="W138" s="455">
        <f t="shared" si="506"/>
        <v>0.78152173913043477</v>
      </c>
    </row>
    <row r="139" spans="2:23" ht="28.8">
      <c r="B139" s="601" t="s">
        <v>335</v>
      </c>
      <c r="C139" s="602">
        <v>2018</v>
      </c>
      <c r="D139" s="601" t="s">
        <v>318</v>
      </c>
      <c r="E139" s="602">
        <v>862</v>
      </c>
      <c r="F139" s="602">
        <v>758</v>
      </c>
      <c r="G139" s="602">
        <v>713</v>
      </c>
      <c r="H139" s="602">
        <v>686</v>
      </c>
      <c r="I139" s="602">
        <v>655</v>
      </c>
      <c r="J139" s="602">
        <v>650</v>
      </c>
      <c r="K139" s="602">
        <v>630</v>
      </c>
      <c r="L139" s="602">
        <v>636</v>
      </c>
      <c r="M139" s="602"/>
      <c r="N139" s="455">
        <f t="shared" si="502"/>
        <v>0.87935034802784218</v>
      </c>
      <c r="O139" s="455">
        <f t="shared" ref="O139:O143" si="510">G139/F139</f>
        <v>0.94063324538258575</v>
      </c>
      <c r="P139" s="455">
        <f t="shared" ref="P139:P143" si="511">H139/G139</f>
        <v>0.9621318373071529</v>
      </c>
      <c r="Q139" s="455">
        <f t="shared" si="503"/>
        <v>0.75986078886310904</v>
      </c>
      <c r="R139" s="455">
        <f t="shared" si="504"/>
        <v>0.95481049562682219</v>
      </c>
      <c r="S139" s="455">
        <f t="shared" si="507"/>
        <v>0.99236641221374045</v>
      </c>
      <c r="T139" s="455">
        <f t="shared" si="508"/>
        <v>0.96923076923076923</v>
      </c>
      <c r="U139" s="455">
        <f t="shared" si="509"/>
        <v>1.0095238095238095</v>
      </c>
      <c r="V139" s="455">
        <f t="shared" si="505"/>
        <v>0.92711370262390669</v>
      </c>
      <c r="W139" s="455">
        <f t="shared" si="506"/>
        <v>0.73781902552204182</v>
      </c>
    </row>
    <row r="140" spans="2:23" ht="28.8">
      <c r="B140" s="601" t="s">
        <v>335</v>
      </c>
      <c r="C140" s="602">
        <v>2019</v>
      </c>
      <c r="D140" s="601" t="s">
        <v>318</v>
      </c>
      <c r="E140" s="602">
        <v>515</v>
      </c>
      <c r="F140" s="602">
        <v>439</v>
      </c>
      <c r="G140" s="602">
        <v>408</v>
      </c>
      <c r="H140" s="602">
        <v>400</v>
      </c>
      <c r="I140" s="602">
        <v>382</v>
      </c>
      <c r="J140" s="602">
        <v>392</v>
      </c>
      <c r="K140" s="602">
        <v>387</v>
      </c>
      <c r="L140" s="602">
        <v>389</v>
      </c>
      <c r="M140" s="602"/>
      <c r="N140" s="455">
        <f t="shared" si="502"/>
        <v>0.85242718446601939</v>
      </c>
      <c r="O140" s="455">
        <f t="shared" si="510"/>
        <v>0.92938496583143504</v>
      </c>
      <c r="P140" s="455">
        <f t="shared" si="511"/>
        <v>0.98039215686274506</v>
      </c>
      <c r="Q140" s="455">
        <f t="shared" si="503"/>
        <v>0.74174757281553394</v>
      </c>
      <c r="R140" s="455">
        <f t="shared" si="504"/>
        <v>0.95499999999999996</v>
      </c>
      <c r="S140" s="455">
        <f t="shared" si="507"/>
        <v>1.0261780104712042</v>
      </c>
      <c r="T140" s="455">
        <f t="shared" si="508"/>
        <v>0.98724489795918369</v>
      </c>
      <c r="U140" s="455">
        <f t="shared" si="509"/>
        <v>1.0051679586563307</v>
      </c>
      <c r="V140" s="455">
        <f t="shared" si="505"/>
        <v>0.97250000000000003</v>
      </c>
      <c r="W140" s="455">
        <f t="shared" si="506"/>
        <v>0.75533980582524274</v>
      </c>
    </row>
    <row r="141" spans="2:23" ht="28.8">
      <c r="B141" s="601" t="s">
        <v>335</v>
      </c>
      <c r="C141" s="602">
        <v>2020</v>
      </c>
      <c r="D141" s="601" t="s">
        <v>318</v>
      </c>
      <c r="E141" s="602">
        <v>639</v>
      </c>
      <c r="F141" s="602">
        <v>565</v>
      </c>
      <c r="G141" s="602">
        <v>524</v>
      </c>
      <c r="H141" s="602">
        <v>509</v>
      </c>
      <c r="I141" s="602">
        <v>480</v>
      </c>
      <c r="J141" s="602">
        <v>488</v>
      </c>
      <c r="K141" s="602">
        <v>475</v>
      </c>
      <c r="L141" s="602">
        <v>477</v>
      </c>
      <c r="M141" s="602"/>
      <c r="N141" s="455">
        <f t="shared" si="502"/>
        <v>0.88419405320813771</v>
      </c>
      <c r="O141" s="455">
        <f t="shared" si="510"/>
        <v>0.92743362831858411</v>
      </c>
      <c r="P141" s="455">
        <f t="shared" si="511"/>
        <v>0.97137404580152675</v>
      </c>
      <c r="Q141" s="455">
        <f t="shared" si="503"/>
        <v>0.75117370892018775</v>
      </c>
      <c r="R141" s="455">
        <f t="shared" si="504"/>
        <v>0.94302554027504915</v>
      </c>
      <c r="S141" s="455">
        <f t="shared" si="507"/>
        <v>1.0166666666666666</v>
      </c>
      <c r="T141" s="455">
        <f t="shared" si="508"/>
        <v>0.97336065573770492</v>
      </c>
      <c r="U141" s="455">
        <f t="shared" si="509"/>
        <v>1.0042105263157894</v>
      </c>
      <c r="V141" s="455">
        <f t="shared" si="505"/>
        <v>0.93713163064833005</v>
      </c>
      <c r="W141" s="455">
        <f t="shared" si="506"/>
        <v>0.74647887323943662</v>
      </c>
    </row>
    <row r="142" spans="2:23" ht="28.8">
      <c r="B142" s="601" t="s">
        <v>335</v>
      </c>
      <c r="C142" s="602">
        <v>2021</v>
      </c>
      <c r="D142" s="601" t="s">
        <v>318</v>
      </c>
      <c r="E142" s="602">
        <v>630</v>
      </c>
      <c r="F142" s="602">
        <v>581</v>
      </c>
      <c r="G142" s="602">
        <v>565</v>
      </c>
      <c r="H142" s="602">
        <v>552</v>
      </c>
      <c r="I142" s="602">
        <v>532</v>
      </c>
      <c r="J142" s="602">
        <v>547</v>
      </c>
      <c r="K142" s="602">
        <v>544</v>
      </c>
      <c r="L142" s="602">
        <v>545</v>
      </c>
      <c r="M142" s="602"/>
      <c r="N142" s="455">
        <f t="shared" si="502"/>
        <v>0.92222222222222228</v>
      </c>
      <c r="O142" s="455">
        <f t="shared" si="510"/>
        <v>0.97246127366609292</v>
      </c>
      <c r="P142" s="455">
        <f t="shared" si="511"/>
        <v>0.97699115044247786</v>
      </c>
      <c r="Q142" s="455">
        <f t="shared" si="503"/>
        <v>0.84444444444444444</v>
      </c>
      <c r="R142" s="455">
        <f t="shared" si="504"/>
        <v>0.96376811594202894</v>
      </c>
      <c r="S142" s="455">
        <f t="shared" si="507"/>
        <v>1.0281954887218046</v>
      </c>
      <c r="T142" s="455">
        <f t="shared" si="508"/>
        <v>0.99451553930530168</v>
      </c>
      <c r="U142" s="455">
        <f t="shared" si="509"/>
        <v>1.0018382352941178</v>
      </c>
      <c r="V142" s="455">
        <f t="shared" si="505"/>
        <v>0.9873188405797102</v>
      </c>
      <c r="W142" s="455">
        <f t="shared" si="506"/>
        <v>0.86507936507936511</v>
      </c>
    </row>
    <row r="143" spans="2:23" ht="28.8">
      <c r="B143" s="601" t="s">
        <v>335</v>
      </c>
      <c r="C143" s="602">
        <v>2022</v>
      </c>
      <c r="D143" s="601" t="s">
        <v>318</v>
      </c>
      <c r="E143" s="602">
        <v>1253</v>
      </c>
      <c r="F143" s="602">
        <v>1109</v>
      </c>
      <c r="G143" s="602">
        <v>1057</v>
      </c>
      <c r="H143" s="602">
        <v>1018</v>
      </c>
      <c r="I143" s="602">
        <v>992</v>
      </c>
      <c r="J143" s="602">
        <v>985</v>
      </c>
      <c r="K143" s="602">
        <v>976</v>
      </c>
      <c r="L143" s="602">
        <v>968</v>
      </c>
      <c r="M143" s="602"/>
      <c r="N143" s="455">
        <f t="shared" si="502"/>
        <v>0.88507581803671187</v>
      </c>
      <c r="O143" s="455">
        <f t="shared" si="510"/>
        <v>0.95311091073038778</v>
      </c>
      <c r="P143" s="455">
        <f t="shared" si="511"/>
        <v>0.96310312204351944</v>
      </c>
      <c r="Q143" s="455">
        <f t="shared" si="503"/>
        <v>0.79169992019154034</v>
      </c>
      <c r="R143" s="455">
        <f t="shared" si="504"/>
        <v>0.97445972495088407</v>
      </c>
      <c r="S143" s="455">
        <f t="shared" si="507"/>
        <v>0.99294354838709675</v>
      </c>
      <c r="T143" s="455">
        <f t="shared" si="508"/>
        <v>0.99086294416243659</v>
      </c>
      <c r="U143" s="455">
        <f t="shared" si="509"/>
        <v>0.99180327868852458</v>
      </c>
      <c r="V143" s="455">
        <f t="shared" si="505"/>
        <v>0.9508840864440079</v>
      </c>
      <c r="W143" s="455">
        <f t="shared" si="506"/>
        <v>0.7725458898643256</v>
      </c>
    </row>
    <row r="146" spans="2:23">
      <c r="B146" t="s">
        <v>281</v>
      </c>
    </row>
    <row r="147" spans="2:23" ht="14.4">
      <c r="B147" s="600" t="s">
        <v>333</v>
      </c>
      <c r="C147" s="600" t="s">
        <v>343</v>
      </c>
      <c r="D147" s="600" t="s">
        <v>308</v>
      </c>
      <c r="E147" s="600" t="s">
        <v>231</v>
      </c>
      <c r="F147" s="600" t="s">
        <v>232</v>
      </c>
      <c r="G147" s="600" t="s">
        <v>309</v>
      </c>
      <c r="H147" s="600" t="s">
        <v>233</v>
      </c>
      <c r="I147" s="600" t="s">
        <v>310</v>
      </c>
      <c r="J147" s="600" t="s">
        <v>234</v>
      </c>
      <c r="K147" s="600" t="s">
        <v>235</v>
      </c>
      <c r="L147" s="600" t="s">
        <v>344</v>
      </c>
      <c r="M147" s="600"/>
      <c r="N147" s="603" t="s">
        <v>346</v>
      </c>
      <c r="O147" s="603" t="s">
        <v>347</v>
      </c>
      <c r="P147" s="603" t="s">
        <v>348</v>
      </c>
      <c r="Q147" s="603" t="s">
        <v>115</v>
      </c>
      <c r="R147" s="603" t="s">
        <v>237</v>
      </c>
      <c r="S147" s="603" t="s">
        <v>349</v>
      </c>
      <c r="T147" s="603" t="s">
        <v>350</v>
      </c>
      <c r="U147" s="603" t="s">
        <v>238</v>
      </c>
      <c r="V147" s="603" t="s">
        <v>240</v>
      </c>
      <c r="W147" s="603" t="s">
        <v>351</v>
      </c>
    </row>
    <row r="148" spans="2:23" ht="28.8">
      <c r="B148" s="601" t="s">
        <v>328</v>
      </c>
      <c r="C148" s="602">
        <v>2010</v>
      </c>
      <c r="D148" s="601" t="s">
        <v>318</v>
      </c>
      <c r="E148" s="602">
        <v>1393</v>
      </c>
      <c r="F148" s="602">
        <v>0</v>
      </c>
      <c r="G148" s="602">
        <v>0</v>
      </c>
      <c r="H148" s="602">
        <v>1018</v>
      </c>
      <c r="I148" s="602">
        <v>945</v>
      </c>
      <c r="J148" s="602">
        <v>0</v>
      </c>
      <c r="K148" s="602">
        <v>0</v>
      </c>
      <c r="L148" s="602">
        <v>888</v>
      </c>
      <c r="M148" s="602"/>
      <c r="N148" s="604"/>
      <c r="O148" s="604"/>
      <c r="P148" s="604"/>
      <c r="Q148" s="455">
        <f>I148/E148</f>
        <v>0.67839195979899503</v>
      </c>
      <c r="R148" s="455">
        <f>I148/H148</f>
        <v>0.92829076620825146</v>
      </c>
      <c r="S148" s="604"/>
      <c r="T148" s="604"/>
      <c r="U148" s="604"/>
      <c r="V148" s="455">
        <f>L148/H148</f>
        <v>0.87229862475442044</v>
      </c>
      <c r="W148" s="455">
        <f>L148/E148</f>
        <v>0.63747307968413491</v>
      </c>
    </row>
    <row r="149" spans="2:23" ht="28.8">
      <c r="B149" s="601" t="s">
        <v>328</v>
      </c>
      <c r="C149" s="602">
        <v>2011</v>
      </c>
      <c r="D149" s="601" t="s">
        <v>318</v>
      </c>
      <c r="E149" s="602">
        <v>1198</v>
      </c>
      <c r="F149" s="602">
        <v>0</v>
      </c>
      <c r="G149" s="602">
        <v>0</v>
      </c>
      <c r="H149" s="602">
        <v>887</v>
      </c>
      <c r="I149" s="602">
        <v>813</v>
      </c>
      <c r="J149" s="602">
        <v>0</v>
      </c>
      <c r="K149" s="602">
        <v>0</v>
      </c>
      <c r="L149" s="602">
        <v>744</v>
      </c>
      <c r="M149" s="602"/>
      <c r="N149" s="455">
        <f t="shared" ref="N149:N160" si="512">F149/E149</f>
        <v>0</v>
      </c>
      <c r="O149" s="604"/>
      <c r="P149" s="604"/>
      <c r="Q149" s="455">
        <f t="shared" ref="Q149:Q160" si="513">I149/E149</f>
        <v>0.67863105175292149</v>
      </c>
      <c r="R149" s="455">
        <f t="shared" ref="R149:R160" si="514">I149/H149</f>
        <v>0.91657271702367527</v>
      </c>
      <c r="S149" s="604"/>
      <c r="T149" s="604"/>
      <c r="U149" s="604"/>
      <c r="V149" s="455">
        <f t="shared" ref="V149:V160" si="515">L149/H149</f>
        <v>0.83878241262683206</v>
      </c>
      <c r="W149" s="455">
        <f t="shared" ref="W149:W160" si="516">L149/E149</f>
        <v>0.62103505843071782</v>
      </c>
    </row>
    <row r="150" spans="2:23" ht="28.8">
      <c r="B150" s="601" t="s">
        <v>328</v>
      </c>
      <c r="C150" s="602">
        <v>2012</v>
      </c>
      <c r="D150" s="601" t="s">
        <v>318</v>
      </c>
      <c r="E150" s="602">
        <v>915</v>
      </c>
      <c r="F150" s="602">
        <v>15</v>
      </c>
      <c r="G150" s="602">
        <v>0</v>
      </c>
      <c r="H150" s="602">
        <v>669</v>
      </c>
      <c r="I150" s="602">
        <v>590</v>
      </c>
      <c r="J150" s="602">
        <v>0</v>
      </c>
      <c r="K150" s="602">
        <v>0</v>
      </c>
      <c r="L150" s="602">
        <v>546</v>
      </c>
      <c r="M150" s="602"/>
      <c r="N150" s="455">
        <f t="shared" si="512"/>
        <v>1.6393442622950821E-2</v>
      </c>
      <c r="O150" s="604"/>
      <c r="P150" s="604"/>
      <c r="Q150" s="455">
        <f t="shared" si="513"/>
        <v>0.64480874316939896</v>
      </c>
      <c r="R150" s="455">
        <f t="shared" si="514"/>
        <v>0.88191330343796714</v>
      </c>
      <c r="S150" s="604"/>
      <c r="T150" s="604"/>
      <c r="U150" s="604"/>
      <c r="V150" s="455">
        <f t="shared" si="515"/>
        <v>0.81614349775784756</v>
      </c>
      <c r="W150" s="455">
        <f t="shared" si="516"/>
        <v>0.59672131147540985</v>
      </c>
    </row>
    <row r="151" spans="2:23" ht="28.8">
      <c r="B151" s="601" t="s">
        <v>328</v>
      </c>
      <c r="C151" s="602">
        <v>2013</v>
      </c>
      <c r="D151" s="601" t="s">
        <v>318</v>
      </c>
      <c r="E151" s="602">
        <v>621</v>
      </c>
      <c r="F151" s="602">
        <v>509</v>
      </c>
      <c r="G151" s="602">
        <v>0</v>
      </c>
      <c r="H151" s="602">
        <v>407</v>
      </c>
      <c r="I151" s="602">
        <v>379</v>
      </c>
      <c r="J151" s="602">
        <v>35</v>
      </c>
      <c r="K151" s="602">
        <v>17</v>
      </c>
      <c r="L151" s="602">
        <v>355</v>
      </c>
      <c r="M151" s="602"/>
      <c r="N151" s="455">
        <f t="shared" si="512"/>
        <v>0.81964573268921093</v>
      </c>
      <c r="O151" s="604"/>
      <c r="P151" s="604"/>
      <c r="Q151" s="455">
        <f t="shared" si="513"/>
        <v>0.61030595813204513</v>
      </c>
      <c r="R151" s="455">
        <f t="shared" si="514"/>
        <v>0.93120393120393119</v>
      </c>
      <c r="S151" s="455">
        <f t="shared" ref="S151:S160" si="517">J151/I151</f>
        <v>9.2348284960422161E-2</v>
      </c>
      <c r="T151" s="455">
        <f t="shared" ref="T151:T160" si="518">K151/J151</f>
        <v>0.48571428571428571</v>
      </c>
      <c r="U151" s="455">
        <f t="shared" ref="U151:U160" si="519">L151/K151</f>
        <v>20.882352941176471</v>
      </c>
      <c r="V151" s="455">
        <f t="shared" si="515"/>
        <v>0.87223587223587229</v>
      </c>
      <c r="W151" s="455">
        <f t="shared" si="516"/>
        <v>0.57165861513687599</v>
      </c>
    </row>
    <row r="152" spans="2:23" ht="28.8">
      <c r="B152" s="601" t="s">
        <v>328</v>
      </c>
      <c r="C152" s="602">
        <v>2014</v>
      </c>
      <c r="D152" s="601" t="s">
        <v>318</v>
      </c>
      <c r="E152" s="602">
        <v>951</v>
      </c>
      <c r="F152" s="602">
        <v>842</v>
      </c>
      <c r="G152" s="602">
        <v>0</v>
      </c>
      <c r="H152" s="602">
        <v>714</v>
      </c>
      <c r="I152" s="602">
        <v>671</v>
      </c>
      <c r="J152" s="602">
        <v>644</v>
      </c>
      <c r="K152" s="602">
        <v>619</v>
      </c>
      <c r="L152" s="602">
        <v>631</v>
      </c>
      <c r="M152" s="602"/>
      <c r="N152" s="455">
        <f t="shared" si="512"/>
        <v>0.88538380651945325</v>
      </c>
      <c r="O152" s="604"/>
      <c r="P152" s="604"/>
      <c r="Q152" s="455">
        <f t="shared" si="513"/>
        <v>0.70557308096740279</v>
      </c>
      <c r="R152" s="455">
        <f t="shared" si="514"/>
        <v>0.93977591036414565</v>
      </c>
      <c r="S152" s="455">
        <f t="shared" si="517"/>
        <v>0.95976154992548435</v>
      </c>
      <c r="T152" s="455">
        <f t="shared" si="518"/>
        <v>0.96118012422360244</v>
      </c>
      <c r="U152" s="455">
        <f t="shared" si="519"/>
        <v>1.0193861066235865</v>
      </c>
      <c r="V152" s="455">
        <f t="shared" si="515"/>
        <v>0.88375350140056019</v>
      </c>
      <c r="W152" s="455">
        <f t="shared" si="516"/>
        <v>0.66351209253417454</v>
      </c>
    </row>
    <row r="153" spans="2:23" ht="28.8">
      <c r="B153" s="601" t="s">
        <v>328</v>
      </c>
      <c r="C153" s="602">
        <v>2015</v>
      </c>
      <c r="D153" s="601" t="s">
        <v>318</v>
      </c>
      <c r="E153" s="602">
        <v>962</v>
      </c>
      <c r="F153" s="602">
        <v>867</v>
      </c>
      <c r="G153" s="602">
        <v>0</v>
      </c>
      <c r="H153" s="602">
        <v>751</v>
      </c>
      <c r="I153" s="602">
        <v>702</v>
      </c>
      <c r="J153" s="602">
        <v>684</v>
      </c>
      <c r="K153" s="602">
        <v>680</v>
      </c>
      <c r="L153" s="602">
        <v>676</v>
      </c>
      <c r="M153" s="602"/>
      <c r="N153" s="455">
        <f t="shared" si="512"/>
        <v>0.90124740124740121</v>
      </c>
      <c r="O153" s="604"/>
      <c r="P153" s="604"/>
      <c r="Q153" s="455">
        <f t="shared" si="513"/>
        <v>0.72972972972972971</v>
      </c>
      <c r="R153" s="455">
        <f t="shared" si="514"/>
        <v>0.93475366178428765</v>
      </c>
      <c r="S153" s="455">
        <f t="shared" si="517"/>
        <v>0.97435897435897434</v>
      </c>
      <c r="T153" s="455">
        <f t="shared" si="518"/>
        <v>0.99415204678362568</v>
      </c>
      <c r="U153" s="455">
        <f t="shared" si="519"/>
        <v>0.99411764705882355</v>
      </c>
      <c r="V153" s="455">
        <f t="shared" si="515"/>
        <v>0.90013315579227693</v>
      </c>
      <c r="W153" s="455">
        <f t="shared" si="516"/>
        <v>0.70270270270270274</v>
      </c>
    </row>
    <row r="154" spans="2:23" ht="28.8">
      <c r="B154" s="601" t="s">
        <v>328</v>
      </c>
      <c r="C154" s="602">
        <v>2016</v>
      </c>
      <c r="D154" s="601" t="s">
        <v>318</v>
      </c>
      <c r="E154" s="602">
        <v>573</v>
      </c>
      <c r="F154" s="602">
        <v>491</v>
      </c>
      <c r="G154" s="602">
        <v>0</v>
      </c>
      <c r="H154" s="602">
        <v>413</v>
      </c>
      <c r="I154" s="602">
        <v>382</v>
      </c>
      <c r="J154" s="602">
        <v>330</v>
      </c>
      <c r="K154" s="602">
        <v>364</v>
      </c>
      <c r="L154" s="602">
        <v>361</v>
      </c>
      <c r="M154" s="602"/>
      <c r="N154" s="455">
        <f t="shared" si="512"/>
        <v>0.85689354275741714</v>
      </c>
      <c r="O154" s="604"/>
      <c r="P154" s="604"/>
      <c r="Q154" s="455">
        <f t="shared" si="513"/>
        <v>0.66666666666666663</v>
      </c>
      <c r="R154" s="455">
        <f t="shared" si="514"/>
        <v>0.92493946731234866</v>
      </c>
      <c r="S154" s="455">
        <f t="shared" si="517"/>
        <v>0.86387434554973819</v>
      </c>
      <c r="T154" s="455">
        <f t="shared" si="518"/>
        <v>1.103030303030303</v>
      </c>
      <c r="U154" s="455">
        <f t="shared" si="519"/>
        <v>0.99175824175824179</v>
      </c>
      <c r="V154" s="455">
        <f t="shared" si="515"/>
        <v>0.87409200968523004</v>
      </c>
      <c r="W154" s="455">
        <f t="shared" si="516"/>
        <v>0.63001745200698078</v>
      </c>
    </row>
    <row r="155" spans="2:23" ht="28.8">
      <c r="B155" s="601" t="s">
        <v>328</v>
      </c>
      <c r="C155" s="602">
        <v>2017</v>
      </c>
      <c r="D155" s="601" t="s">
        <v>318</v>
      </c>
      <c r="E155" s="602">
        <v>250</v>
      </c>
      <c r="F155" s="602">
        <v>224</v>
      </c>
      <c r="G155" s="602">
        <v>7</v>
      </c>
      <c r="H155" s="602">
        <v>202</v>
      </c>
      <c r="I155" s="602">
        <v>199</v>
      </c>
      <c r="J155" s="602">
        <v>195</v>
      </c>
      <c r="K155" s="602">
        <v>192</v>
      </c>
      <c r="L155" s="602">
        <v>188</v>
      </c>
      <c r="M155" s="602"/>
      <c r="N155" s="455">
        <f t="shared" si="512"/>
        <v>0.89600000000000002</v>
      </c>
      <c r="O155" s="604"/>
      <c r="P155" s="604"/>
      <c r="Q155" s="455">
        <f t="shared" si="513"/>
        <v>0.79600000000000004</v>
      </c>
      <c r="R155" s="455">
        <f t="shared" si="514"/>
        <v>0.98514851485148514</v>
      </c>
      <c r="S155" s="455">
        <f t="shared" si="517"/>
        <v>0.97989949748743721</v>
      </c>
      <c r="T155" s="455">
        <f t="shared" si="518"/>
        <v>0.98461538461538467</v>
      </c>
      <c r="U155" s="455">
        <f t="shared" si="519"/>
        <v>0.97916666666666663</v>
      </c>
      <c r="V155" s="455">
        <f t="shared" si="515"/>
        <v>0.93069306930693074</v>
      </c>
      <c r="W155" s="455">
        <f t="shared" si="516"/>
        <v>0.752</v>
      </c>
    </row>
    <row r="156" spans="2:23" ht="28.8">
      <c r="B156" s="601" t="s">
        <v>328</v>
      </c>
      <c r="C156" s="602">
        <v>2018</v>
      </c>
      <c r="D156" s="601" t="s">
        <v>318</v>
      </c>
      <c r="E156" s="602">
        <v>114</v>
      </c>
      <c r="F156" s="602">
        <v>100</v>
      </c>
      <c r="G156" s="602">
        <v>97</v>
      </c>
      <c r="H156" s="602">
        <v>89</v>
      </c>
      <c r="I156" s="602">
        <v>80</v>
      </c>
      <c r="J156" s="602">
        <v>77</v>
      </c>
      <c r="K156" s="602">
        <v>76</v>
      </c>
      <c r="L156" s="602">
        <v>75</v>
      </c>
      <c r="M156" s="602"/>
      <c r="N156" s="455">
        <f t="shared" si="512"/>
        <v>0.8771929824561403</v>
      </c>
      <c r="O156" s="455">
        <f t="shared" ref="O156:O160" si="520">G156/F156</f>
        <v>0.97</v>
      </c>
      <c r="P156" s="455">
        <f t="shared" ref="P156:P160" si="521">H156/G156</f>
        <v>0.91752577319587625</v>
      </c>
      <c r="Q156" s="455">
        <f t="shared" si="513"/>
        <v>0.70175438596491224</v>
      </c>
      <c r="R156" s="455">
        <f t="shared" si="514"/>
        <v>0.898876404494382</v>
      </c>
      <c r="S156" s="455">
        <f t="shared" si="517"/>
        <v>0.96250000000000002</v>
      </c>
      <c r="T156" s="455">
        <f t="shared" si="518"/>
        <v>0.98701298701298701</v>
      </c>
      <c r="U156" s="455">
        <f t="shared" si="519"/>
        <v>0.98684210526315785</v>
      </c>
      <c r="V156" s="455">
        <f t="shared" si="515"/>
        <v>0.84269662921348309</v>
      </c>
      <c r="W156" s="455">
        <f t="shared" si="516"/>
        <v>0.65789473684210531</v>
      </c>
    </row>
    <row r="157" spans="2:23" ht="28.8">
      <c r="B157" s="601" t="s">
        <v>328</v>
      </c>
      <c r="C157" s="602">
        <v>2019</v>
      </c>
      <c r="D157" s="601" t="s">
        <v>318</v>
      </c>
      <c r="E157" s="602">
        <v>156</v>
      </c>
      <c r="F157" s="602">
        <v>142</v>
      </c>
      <c r="G157" s="602">
        <v>127</v>
      </c>
      <c r="H157" s="602">
        <v>117</v>
      </c>
      <c r="I157" s="602">
        <v>115</v>
      </c>
      <c r="J157" s="602">
        <v>115</v>
      </c>
      <c r="K157" s="602">
        <v>113</v>
      </c>
      <c r="L157" s="602">
        <v>113</v>
      </c>
      <c r="M157" s="602"/>
      <c r="N157" s="455">
        <f t="shared" si="512"/>
        <v>0.91025641025641024</v>
      </c>
      <c r="O157" s="455">
        <f t="shared" si="520"/>
        <v>0.89436619718309862</v>
      </c>
      <c r="P157" s="455">
        <f t="shared" si="521"/>
        <v>0.92125984251968507</v>
      </c>
      <c r="Q157" s="455">
        <f t="shared" si="513"/>
        <v>0.73717948717948723</v>
      </c>
      <c r="R157" s="455">
        <f t="shared" si="514"/>
        <v>0.98290598290598286</v>
      </c>
      <c r="S157" s="455">
        <f t="shared" si="517"/>
        <v>1</v>
      </c>
      <c r="T157" s="455">
        <f t="shared" si="518"/>
        <v>0.9826086956521739</v>
      </c>
      <c r="U157" s="455">
        <f t="shared" si="519"/>
        <v>1</v>
      </c>
      <c r="V157" s="455">
        <f t="shared" si="515"/>
        <v>0.96581196581196582</v>
      </c>
      <c r="W157" s="455">
        <f t="shared" si="516"/>
        <v>0.72435897435897434</v>
      </c>
    </row>
    <row r="158" spans="2:23" ht="28.8">
      <c r="B158" s="601" t="s">
        <v>328</v>
      </c>
      <c r="C158" s="602">
        <v>2020</v>
      </c>
      <c r="D158" s="601" t="s">
        <v>318</v>
      </c>
      <c r="E158" s="602">
        <v>510</v>
      </c>
      <c r="F158" s="602">
        <v>460</v>
      </c>
      <c r="G158" s="602">
        <v>412</v>
      </c>
      <c r="H158" s="602">
        <v>396</v>
      </c>
      <c r="I158" s="602">
        <v>366</v>
      </c>
      <c r="J158" s="602">
        <v>357</v>
      </c>
      <c r="K158" s="602">
        <v>347</v>
      </c>
      <c r="L158" s="602">
        <v>343</v>
      </c>
      <c r="M158" s="602"/>
      <c r="N158" s="455">
        <f t="shared" si="512"/>
        <v>0.90196078431372551</v>
      </c>
      <c r="O158" s="455">
        <f t="shared" si="520"/>
        <v>0.89565217391304353</v>
      </c>
      <c r="P158" s="455">
        <f t="shared" si="521"/>
        <v>0.96116504854368934</v>
      </c>
      <c r="Q158" s="455">
        <f t="shared" si="513"/>
        <v>0.71764705882352942</v>
      </c>
      <c r="R158" s="455">
        <f t="shared" si="514"/>
        <v>0.9242424242424242</v>
      </c>
      <c r="S158" s="455">
        <f t="shared" si="517"/>
        <v>0.97540983606557374</v>
      </c>
      <c r="T158" s="455">
        <f t="shared" si="518"/>
        <v>0.97198879551820727</v>
      </c>
      <c r="U158" s="455">
        <f t="shared" si="519"/>
        <v>0.98847262247838619</v>
      </c>
      <c r="V158" s="455">
        <f t="shared" si="515"/>
        <v>0.86616161616161613</v>
      </c>
      <c r="W158" s="455">
        <f t="shared" si="516"/>
        <v>0.67254901960784319</v>
      </c>
    </row>
    <row r="159" spans="2:23" ht="28.8">
      <c r="B159" s="601" t="s">
        <v>328</v>
      </c>
      <c r="C159" s="602">
        <v>2021</v>
      </c>
      <c r="D159" s="601" t="s">
        <v>318</v>
      </c>
      <c r="E159" s="602">
        <v>177</v>
      </c>
      <c r="F159" s="602">
        <v>164</v>
      </c>
      <c r="G159" s="602">
        <v>149</v>
      </c>
      <c r="H159" s="602">
        <v>140</v>
      </c>
      <c r="I159" s="602">
        <v>126</v>
      </c>
      <c r="J159" s="602">
        <v>126</v>
      </c>
      <c r="K159" s="602">
        <v>124</v>
      </c>
      <c r="L159" s="602">
        <v>126</v>
      </c>
      <c r="M159" s="602"/>
      <c r="N159" s="455">
        <f t="shared" si="512"/>
        <v>0.92655367231638419</v>
      </c>
      <c r="O159" s="455">
        <f t="shared" si="520"/>
        <v>0.90853658536585369</v>
      </c>
      <c r="P159" s="455">
        <f t="shared" si="521"/>
        <v>0.93959731543624159</v>
      </c>
      <c r="Q159" s="455">
        <f t="shared" si="513"/>
        <v>0.71186440677966101</v>
      </c>
      <c r="R159" s="455">
        <f t="shared" si="514"/>
        <v>0.9</v>
      </c>
      <c r="S159" s="455">
        <f t="shared" si="517"/>
        <v>1</v>
      </c>
      <c r="T159" s="455">
        <f t="shared" si="518"/>
        <v>0.98412698412698407</v>
      </c>
      <c r="U159" s="455">
        <f t="shared" si="519"/>
        <v>1.0161290322580645</v>
      </c>
      <c r="V159" s="455">
        <f t="shared" si="515"/>
        <v>0.9</v>
      </c>
      <c r="W159" s="455">
        <f t="shared" si="516"/>
        <v>0.71186440677966101</v>
      </c>
    </row>
    <row r="160" spans="2:23" ht="28.8">
      <c r="B160" s="601" t="s">
        <v>328</v>
      </c>
      <c r="C160" s="602">
        <v>2022</v>
      </c>
      <c r="D160" s="601" t="s">
        <v>318</v>
      </c>
      <c r="E160" s="602">
        <v>154</v>
      </c>
      <c r="F160" s="602">
        <v>132</v>
      </c>
      <c r="G160" s="602">
        <v>122</v>
      </c>
      <c r="H160" s="602">
        <v>115</v>
      </c>
      <c r="I160" s="602">
        <v>106</v>
      </c>
      <c r="J160" s="602">
        <v>103</v>
      </c>
      <c r="K160" s="602">
        <v>98</v>
      </c>
      <c r="L160" s="602">
        <v>99</v>
      </c>
      <c r="M160" s="602"/>
      <c r="N160" s="455">
        <f t="shared" si="512"/>
        <v>0.8571428571428571</v>
      </c>
      <c r="O160" s="455">
        <f t="shared" si="520"/>
        <v>0.9242424242424242</v>
      </c>
      <c r="P160" s="455">
        <f t="shared" si="521"/>
        <v>0.94262295081967218</v>
      </c>
      <c r="Q160" s="455">
        <f t="shared" si="513"/>
        <v>0.68831168831168832</v>
      </c>
      <c r="R160" s="455">
        <f t="shared" si="514"/>
        <v>0.92173913043478262</v>
      </c>
      <c r="S160" s="455">
        <f t="shared" si="517"/>
        <v>0.97169811320754718</v>
      </c>
      <c r="T160" s="455">
        <f t="shared" si="518"/>
        <v>0.95145631067961167</v>
      </c>
      <c r="U160" s="455">
        <f t="shared" si="519"/>
        <v>1.010204081632653</v>
      </c>
      <c r="V160" s="455">
        <f t="shared" si="515"/>
        <v>0.86086956521739133</v>
      </c>
      <c r="W160" s="455">
        <f t="shared" si="516"/>
        <v>0.6428571428571429</v>
      </c>
    </row>
  </sheetData>
  <mergeCells count="21">
    <mergeCell ref="J2:P2"/>
    <mergeCell ref="R7:T7"/>
    <mergeCell ref="U7:W7"/>
    <mergeCell ref="Q6:W6"/>
    <mergeCell ref="B7:D7"/>
    <mergeCell ref="E7:G7"/>
    <mergeCell ref="H7:J7"/>
    <mergeCell ref="K7:M7"/>
    <mergeCell ref="N7:P7"/>
    <mergeCell ref="C106:D106"/>
    <mergeCell ref="F106:I106"/>
    <mergeCell ref="K106:L106"/>
    <mergeCell ref="N106:Q106"/>
    <mergeCell ref="Q39:W39"/>
    <mergeCell ref="R40:T40"/>
    <mergeCell ref="U40:W40"/>
    <mergeCell ref="B40:D40"/>
    <mergeCell ref="E40:G40"/>
    <mergeCell ref="H40:J40"/>
    <mergeCell ref="K40:M40"/>
    <mergeCell ref="N40:P40"/>
  </mergeCells>
  <phoneticPr fontId="7" type="noConversion"/>
  <pageMargins left="0.7" right="0.7" top="0.75" bottom="0.75" header="0.3" footer="0.3"/>
  <pageSetup paperSize="5" scale="55" orientation="landscape" r:id="rId1"/>
  <colBreaks count="1" manualBreakCount="1">
    <brk id="16" max="6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98BC2-397F-475C-AF19-C18AD17D44CA}">
  <dimension ref="A1:I18"/>
  <sheetViews>
    <sheetView workbookViewId="0">
      <selection activeCell="O20" sqref="O20"/>
    </sheetView>
  </sheetViews>
  <sheetFormatPr defaultRowHeight="13.2"/>
  <sheetData>
    <row r="1" spans="1:9" ht="14.4">
      <c r="A1" s="639" t="s">
        <v>404</v>
      </c>
      <c r="B1" s="639" t="s">
        <v>389</v>
      </c>
      <c r="C1" s="639" t="s">
        <v>390</v>
      </c>
      <c r="D1" s="639" t="s">
        <v>391</v>
      </c>
      <c r="E1" s="639" t="s">
        <v>392</v>
      </c>
      <c r="F1" s="639" t="s">
        <v>405</v>
      </c>
      <c r="G1" s="639" t="s">
        <v>406</v>
      </c>
      <c r="H1" s="639" t="s">
        <v>407</v>
      </c>
      <c r="I1" s="639" t="s">
        <v>408</v>
      </c>
    </row>
    <row r="2" spans="1:9" ht="14.4">
      <c r="A2" s="640">
        <v>2008</v>
      </c>
      <c r="B2" s="640">
        <v>919</v>
      </c>
      <c r="C2" s="640">
        <v>0</v>
      </c>
      <c r="D2" s="640">
        <v>0</v>
      </c>
      <c r="E2" s="640">
        <v>823</v>
      </c>
      <c r="F2" s="640">
        <v>834</v>
      </c>
      <c r="G2" s="640">
        <v>800</v>
      </c>
      <c r="H2" s="640">
        <v>481</v>
      </c>
      <c r="I2" s="640">
        <v>184</v>
      </c>
    </row>
    <row r="3" spans="1:9" ht="14.4">
      <c r="A3" s="640">
        <v>2009</v>
      </c>
      <c r="B3" s="640">
        <v>622</v>
      </c>
      <c r="C3" s="640">
        <v>0</v>
      </c>
      <c r="D3" s="640">
        <v>0</v>
      </c>
      <c r="E3" s="640">
        <v>569</v>
      </c>
      <c r="F3" s="640">
        <v>568</v>
      </c>
      <c r="G3" s="640">
        <v>533</v>
      </c>
      <c r="H3" s="640">
        <v>111</v>
      </c>
      <c r="I3" s="640">
        <v>64</v>
      </c>
    </row>
    <row r="4" spans="1:9" ht="14.4">
      <c r="A4" s="640">
        <v>2010</v>
      </c>
      <c r="B4" s="640">
        <v>2103</v>
      </c>
      <c r="C4" s="640">
        <v>0</v>
      </c>
      <c r="D4" s="640">
        <v>0</v>
      </c>
      <c r="E4" s="640">
        <v>1957</v>
      </c>
      <c r="F4" s="640">
        <v>1933</v>
      </c>
      <c r="G4" s="640">
        <v>1893</v>
      </c>
      <c r="H4" s="640">
        <v>676</v>
      </c>
      <c r="I4" s="640">
        <v>339</v>
      </c>
    </row>
    <row r="5" spans="1:9" ht="14.4">
      <c r="A5" s="640">
        <v>2011</v>
      </c>
      <c r="B5" s="640">
        <v>1504</v>
      </c>
      <c r="C5" s="640">
        <v>0</v>
      </c>
      <c r="D5" s="640">
        <v>0</v>
      </c>
      <c r="E5" s="640">
        <v>1345</v>
      </c>
      <c r="F5" s="640">
        <v>1357</v>
      </c>
      <c r="G5" s="640">
        <v>1219</v>
      </c>
      <c r="H5" s="640">
        <v>486</v>
      </c>
      <c r="I5" s="640">
        <v>274</v>
      </c>
    </row>
    <row r="6" spans="1:9" ht="14.4">
      <c r="A6" s="640">
        <v>2012</v>
      </c>
      <c r="B6" s="640">
        <v>2245</v>
      </c>
      <c r="C6" s="640">
        <v>0</v>
      </c>
      <c r="D6" s="640">
        <v>0</v>
      </c>
      <c r="E6" s="640">
        <v>2100</v>
      </c>
      <c r="F6" s="640">
        <v>1700</v>
      </c>
      <c r="G6" s="640">
        <v>2011</v>
      </c>
      <c r="H6" s="640">
        <v>1110</v>
      </c>
      <c r="I6" s="640">
        <v>899</v>
      </c>
    </row>
    <row r="7" spans="1:9" ht="14.4">
      <c r="A7" s="640">
        <v>2013</v>
      </c>
      <c r="B7" s="640">
        <v>1508</v>
      </c>
      <c r="C7" s="640">
        <v>1474</v>
      </c>
      <c r="D7" s="640">
        <v>0</v>
      </c>
      <c r="E7" s="640">
        <v>1423</v>
      </c>
      <c r="F7" s="640">
        <v>1417</v>
      </c>
      <c r="G7" s="640">
        <v>1335</v>
      </c>
      <c r="H7" s="640">
        <v>672</v>
      </c>
      <c r="I7" s="640">
        <v>566</v>
      </c>
    </row>
    <row r="8" spans="1:9" ht="14.4">
      <c r="A8" s="640">
        <v>2014</v>
      </c>
      <c r="B8" s="640">
        <v>2303</v>
      </c>
      <c r="C8" s="640">
        <v>2232</v>
      </c>
      <c r="D8" s="640">
        <v>0</v>
      </c>
      <c r="E8" s="640">
        <v>2167</v>
      </c>
      <c r="F8" s="640">
        <v>2152</v>
      </c>
      <c r="G8" s="640">
        <v>1650</v>
      </c>
      <c r="H8" s="640">
        <v>1445</v>
      </c>
      <c r="I8" s="640">
        <v>1139</v>
      </c>
    </row>
    <row r="9" spans="1:9" ht="14.4">
      <c r="A9" s="640">
        <v>2015</v>
      </c>
      <c r="B9" s="640">
        <v>3015</v>
      </c>
      <c r="C9" s="640">
        <v>2930</v>
      </c>
      <c r="D9" s="640">
        <v>0</v>
      </c>
      <c r="E9" s="640">
        <v>2794</v>
      </c>
      <c r="F9" s="640">
        <v>2689</v>
      </c>
      <c r="G9" s="640">
        <v>2237</v>
      </c>
      <c r="H9" s="640">
        <v>1797</v>
      </c>
      <c r="I9" s="640">
        <v>1651</v>
      </c>
    </row>
    <row r="10" spans="1:9" ht="14.4">
      <c r="A10" s="640">
        <v>2016</v>
      </c>
      <c r="B10" s="640">
        <v>1526</v>
      </c>
      <c r="C10" s="640">
        <v>1475</v>
      </c>
      <c r="D10" s="640">
        <v>0</v>
      </c>
      <c r="E10" s="640">
        <v>1401</v>
      </c>
      <c r="F10" s="640">
        <v>1371</v>
      </c>
      <c r="G10" s="640">
        <v>1110</v>
      </c>
      <c r="H10" s="640">
        <v>709</v>
      </c>
      <c r="I10" s="640">
        <v>543</v>
      </c>
    </row>
    <row r="11" spans="1:9" ht="14.4">
      <c r="A11" s="640">
        <v>2017</v>
      </c>
      <c r="B11" s="640">
        <v>1301</v>
      </c>
      <c r="C11" s="640">
        <v>1213</v>
      </c>
      <c r="D11" s="640">
        <v>0</v>
      </c>
      <c r="E11" s="640">
        <v>1155</v>
      </c>
      <c r="F11" s="640">
        <v>1136</v>
      </c>
      <c r="G11" s="640">
        <v>683</v>
      </c>
      <c r="H11" s="640">
        <v>628</v>
      </c>
      <c r="I11" s="640">
        <v>597</v>
      </c>
    </row>
    <row r="12" spans="1:9" ht="14.4">
      <c r="A12" s="640">
        <v>2018</v>
      </c>
      <c r="B12" s="640">
        <v>1518</v>
      </c>
      <c r="C12" s="640">
        <v>1469</v>
      </c>
      <c r="D12" s="640">
        <v>1420</v>
      </c>
      <c r="E12" s="640">
        <v>1401</v>
      </c>
      <c r="F12" s="640">
        <v>1358</v>
      </c>
      <c r="G12" s="640">
        <v>886</v>
      </c>
      <c r="H12" s="640">
        <v>793</v>
      </c>
      <c r="I12" s="640">
        <v>848</v>
      </c>
    </row>
    <row r="13" spans="1:9" ht="14.4">
      <c r="A13" s="640">
        <v>2019</v>
      </c>
      <c r="B13" s="640">
        <v>1507</v>
      </c>
      <c r="C13" s="640">
        <v>1431</v>
      </c>
      <c r="D13" s="640">
        <v>1389</v>
      </c>
      <c r="E13" s="640">
        <v>1385</v>
      </c>
      <c r="F13" s="640">
        <v>1375</v>
      </c>
      <c r="G13" s="640">
        <v>873</v>
      </c>
      <c r="H13" s="640">
        <v>967</v>
      </c>
      <c r="I13" s="640">
        <v>915</v>
      </c>
    </row>
    <row r="14" spans="1:9" ht="14.4">
      <c r="A14" s="640">
        <v>2020</v>
      </c>
      <c r="B14" s="640">
        <v>1149</v>
      </c>
      <c r="C14" s="640">
        <v>1109</v>
      </c>
      <c r="D14" s="640">
        <v>1089</v>
      </c>
      <c r="E14" s="640">
        <v>1070</v>
      </c>
      <c r="F14" s="640">
        <v>1065</v>
      </c>
      <c r="G14" s="640">
        <v>1034</v>
      </c>
      <c r="H14" s="640">
        <v>613</v>
      </c>
      <c r="I14" s="640">
        <v>590</v>
      </c>
    </row>
    <row r="15" spans="1:9" ht="14.4">
      <c r="A15" s="640">
        <v>2021</v>
      </c>
      <c r="B15" s="640">
        <v>1455</v>
      </c>
      <c r="C15" s="640">
        <v>1417</v>
      </c>
      <c r="D15" s="640">
        <v>1375</v>
      </c>
      <c r="E15" s="640">
        <v>1381</v>
      </c>
      <c r="F15" s="640">
        <v>1378</v>
      </c>
      <c r="G15" s="640">
        <v>1383</v>
      </c>
      <c r="H15" s="640">
        <v>548</v>
      </c>
      <c r="I15" s="640">
        <v>0</v>
      </c>
    </row>
    <row r="16" spans="1:9" ht="14.4">
      <c r="A16" s="640">
        <v>2022</v>
      </c>
      <c r="B16" s="640">
        <v>2906</v>
      </c>
      <c r="C16" s="640">
        <v>2806</v>
      </c>
      <c r="D16" s="640">
        <v>2726</v>
      </c>
      <c r="E16" s="640">
        <v>2701</v>
      </c>
      <c r="F16" s="640">
        <v>2704</v>
      </c>
      <c r="G16" s="640">
        <v>2696</v>
      </c>
      <c r="H16" s="640">
        <v>1063</v>
      </c>
      <c r="I16" s="640">
        <v>0</v>
      </c>
    </row>
    <row r="17" spans="1:9" ht="14.4">
      <c r="A17" s="640">
        <v>2023</v>
      </c>
      <c r="B17" s="640">
        <v>2090</v>
      </c>
      <c r="C17" s="640">
        <v>1966</v>
      </c>
      <c r="D17" s="640">
        <v>1879</v>
      </c>
      <c r="E17" s="640">
        <v>1877</v>
      </c>
      <c r="F17" s="640">
        <v>638</v>
      </c>
      <c r="G17" s="640">
        <v>1875</v>
      </c>
      <c r="H17" s="640">
        <v>878</v>
      </c>
      <c r="I17" s="640">
        <v>0</v>
      </c>
    </row>
    <row r="18" spans="1:9" ht="14.4">
      <c r="A18" s="640"/>
      <c r="B18" s="640"/>
      <c r="C18" s="640"/>
      <c r="D18" s="640"/>
      <c r="E18" s="640"/>
      <c r="F18" s="640"/>
      <c r="G18" s="640"/>
      <c r="H18" s="640"/>
      <c r="I18" s="6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FFFF00"/>
  </sheetPr>
  <dimension ref="A1:AQ92"/>
  <sheetViews>
    <sheetView topLeftCell="A7" zoomScaleNormal="100" zoomScaleSheetLayoutView="80" workbookViewId="0">
      <selection activeCell="B28" sqref="B28:J31"/>
    </sheetView>
  </sheetViews>
  <sheetFormatPr defaultRowHeight="13.2"/>
  <cols>
    <col min="1" max="22" width="9.6640625" customWidth="1"/>
  </cols>
  <sheetData>
    <row r="1" spans="1:43" ht="15" customHeight="1">
      <c r="A1" s="33" t="s">
        <v>42</v>
      </c>
      <c r="B1" s="34"/>
      <c r="C1" s="34"/>
      <c r="D1" s="34"/>
      <c r="E1" s="34"/>
      <c r="F1" s="34"/>
      <c r="G1" s="34"/>
      <c r="H1" s="34"/>
      <c r="I1" s="34"/>
      <c r="J1" s="34"/>
      <c r="K1" s="34"/>
      <c r="L1" s="34"/>
      <c r="M1" s="34"/>
      <c r="N1" s="11"/>
      <c r="O1" s="60">
        <f>'SR Fall Chin'!P1</f>
        <v>39562</v>
      </c>
      <c r="P1" s="54" t="s">
        <v>45</v>
      </c>
      <c r="V1" s="60">
        <f>O1</f>
        <v>39562</v>
      </c>
    </row>
    <row r="2" spans="1:43" ht="15" customHeight="1">
      <c r="A2" s="117" t="s">
        <v>87</v>
      </c>
      <c r="B2" s="11"/>
      <c r="C2" s="11"/>
      <c r="D2" s="11"/>
      <c r="E2" s="11"/>
      <c r="F2" s="11"/>
      <c r="G2" s="11"/>
      <c r="H2" s="11"/>
      <c r="I2" s="11"/>
      <c r="J2" s="11"/>
      <c r="K2" s="11"/>
      <c r="L2" s="11"/>
      <c r="M2" s="11"/>
      <c r="N2" s="11"/>
      <c r="O2" s="11"/>
      <c r="P2" s="11"/>
    </row>
    <row r="3" spans="1:43" ht="15" customHeight="1">
      <c r="A3" s="35" t="s">
        <v>19</v>
      </c>
    </row>
    <row r="4" spans="1:43" ht="15" customHeight="1" thickBot="1">
      <c r="A4" s="10" t="s">
        <v>20</v>
      </c>
      <c r="B4" s="9"/>
      <c r="C4" s="9"/>
      <c r="D4" s="9"/>
      <c r="E4" s="9"/>
      <c r="F4" s="9"/>
      <c r="G4" s="9"/>
      <c r="H4" s="9"/>
      <c r="I4" s="9"/>
      <c r="J4" s="9"/>
      <c r="K4" s="9"/>
      <c r="L4" s="9"/>
      <c r="M4" s="9"/>
      <c r="N4" s="9"/>
      <c r="O4" s="9"/>
      <c r="P4" s="9"/>
      <c r="Q4" s="35" t="s">
        <v>36</v>
      </c>
      <c r="R4" s="35"/>
    </row>
    <row r="5" spans="1:43" ht="15" customHeight="1">
      <c r="A5" s="32"/>
      <c r="B5" s="15"/>
      <c r="C5" s="15"/>
      <c r="D5" s="15"/>
      <c r="E5" s="15"/>
      <c r="F5" s="15"/>
      <c r="G5" s="15"/>
      <c r="H5" s="15"/>
      <c r="I5" s="15"/>
      <c r="J5" s="15"/>
      <c r="K5" s="15"/>
      <c r="L5" s="15"/>
      <c r="M5" s="15"/>
      <c r="N5" s="15"/>
      <c r="O5" s="16"/>
      <c r="P5" s="38"/>
      <c r="Q5" s="39"/>
      <c r="R5" s="39"/>
      <c r="S5" s="39"/>
      <c r="T5" s="39"/>
      <c r="U5" s="39"/>
      <c r="V5" s="40"/>
    </row>
    <row r="6" spans="1:43" ht="15" customHeight="1">
      <c r="A6" s="105"/>
      <c r="B6" s="664" t="s">
        <v>52</v>
      </c>
      <c r="C6" s="665"/>
      <c r="D6" s="665"/>
      <c r="E6" s="665"/>
      <c r="F6" s="665"/>
      <c r="G6" s="665"/>
      <c r="H6" s="665"/>
      <c r="I6" s="665"/>
      <c r="J6" s="665"/>
      <c r="K6" s="665"/>
      <c r="L6" s="665"/>
      <c r="M6" s="665"/>
      <c r="N6" s="665"/>
      <c r="O6" s="666"/>
      <c r="P6" s="664" t="s">
        <v>64</v>
      </c>
      <c r="Q6" s="665"/>
      <c r="R6" s="665"/>
      <c r="S6" s="665"/>
      <c r="T6" s="665"/>
      <c r="U6" s="665"/>
      <c r="V6" s="665"/>
      <c r="W6" s="665"/>
      <c r="X6" s="665"/>
      <c r="Y6" s="665"/>
      <c r="Z6" s="665"/>
      <c r="AA6" s="665"/>
      <c r="AB6" s="665"/>
      <c r="AC6" s="666"/>
    </row>
    <row r="7" spans="1:43" ht="30" customHeight="1">
      <c r="A7" s="104"/>
      <c r="B7" s="667" t="s">
        <v>15</v>
      </c>
      <c r="C7" s="668"/>
      <c r="D7" s="668"/>
      <c r="E7" s="667" t="s">
        <v>11</v>
      </c>
      <c r="F7" s="669"/>
      <c r="G7" s="670"/>
      <c r="H7" s="671" t="s">
        <v>23</v>
      </c>
      <c r="I7" s="672"/>
      <c r="J7" s="673" t="s">
        <v>12</v>
      </c>
      <c r="K7" s="660"/>
      <c r="L7" s="674"/>
      <c r="M7" s="667" t="s">
        <v>16</v>
      </c>
      <c r="N7" s="669"/>
      <c r="O7" s="675"/>
      <c r="P7" s="107"/>
      <c r="Q7" s="676" t="s">
        <v>30</v>
      </c>
      <c r="R7" s="656"/>
      <c r="S7" s="657"/>
      <c r="T7" s="676" t="s">
        <v>46</v>
      </c>
      <c r="U7" s="656"/>
      <c r="V7" s="677"/>
      <c r="AD7" t="s">
        <v>177</v>
      </c>
    </row>
    <row r="8" spans="1:43" ht="57" customHeight="1">
      <c r="A8" s="115" t="s">
        <v>0</v>
      </c>
      <c r="B8" s="18" t="s">
        <v>1</v>
      </c>
      <c r="C8" s="18" t="s">
        <v>27</v>
      </c>
      <c r="D8" s="18" t="s">
        <v>113</v>
      </c>
      <c r="E8" s="30" t="s">
        <v>13</v>
      </c>
      <c r="F8" s="22" t="s">
        <v>167</v>
      </c>
      <c r="G8" s="465" t="s">
        <v>410</v>
      </c>
      <c r="H8" s="18" t="s">
        <v>32</v>
      </c>
      <c r="I8" s="22" t="s">
        <v>17</v>
      </c>
      <c r="J8" s="30" t="s">
        <v>13</v>
      </c>
      <c r="K8" s="46"/>
      <c r="L8" s="22"/>
      <c r="M8" s="18" t="s">
        <v>25</v>
      </c>
      <c r="N8" s="46"/>
      <c r="O8" s="28"/>
      <c r="P8" s="115" t="s">
        <v>0</v>
      </c>
      <c r="Q8" s="18" t="s">
        <v>13</v>
      </c>
      <c r="R8" s="46"/>
      <c r="S8" s="18"/>
      <c r="T8" s="30" t="s">
        <v>21</v>
      </c>
      <c r="U8" s="46"/>
      <c r="V8" s="22"/>
      <c r="W8" s="433" t="s">
        <v>172</v>
      </c>
      <c r="X8" s="433" t="s">
        <v>173</v>
      </c>
      <c r="Y8" s="283" t="s">
        <v>174</v>
      </c>
      <c r="Z8" s="283" t="s">
        <v>175</v>
      </c>
      <c r="AA8" s="283" t="s">
        <v>176</v>
      </c>
      <c r="AB8" s="437" t="s">
        <v>185</v>
      </c>
      <c r="AC8" s="437" t="s">
        <v>180</v>
      </c>
      <c r="AD8" s="283" t="s">
        <v>178</v>
      </c>
      <c r="AE8" s="283" t="s">
        <v>172</v>
      </c>
      <c r="AF8" s="283" t="s">
        <v>174</v>
      </c>
      <c r="AG8" s="283" t="s">
        <v>175</v>
      </c>
      <c r="AH8" s="283" t="s">
        <v>176</v>
      </c>
      <c r="AI8" s="437" t="s">
        <v>186</v>
      </c>
      <c r="AJ8" s="437" t="s">
        <v>187</v>
      </c>
      <c r="AK8" s="283" t="s">
        <v>178</v>
      </c>
      <c r="AL8" s="283" t="s">
        <v>171</v>
      </c>
      <c r="AM8" s="283" t="s">
        <v>174</v>
      </c>
      <c r="AN8" s="283" t="s">
        <v>175</v>
      </c>
      <c r="AO8" s="283" t="s">
        <v>176</v>
      </c>
      <c r="AP8" s="437" t="s">
        <v>188</v>
      </c>
      <c r="AQ8" s="437" t="s">
        <v>189</v>
      </c>
    </row>
    <row r="9" spans="1:43" ht="15" customHeight="1">
      <c r="A9" s="109" t="s">
        <v>60</v>
      </c>
      <c r="B9" s="11">
        <v>83</v>
      </c>
      <c r="C9" s="20">
        <v>65</v>
      </c>
      <c r="D9" s="20"/>
      <c r="E9" s="36">
        <f t="shared" ref="E9:E14" si="0">C9/B9</f>
        <v>0.7831325301204819</v>
      </c>
      <c r="F9" s="26"/>
      <c r="H9" s="122">
        <v>0.11686878685608362</v>
      </c>
      <c r="I9" s="27">
        <v>0.02</v>
      </c>
      <c r="J9" s="36">
        <f t="shared" ref="J9:J14" si="1">(C9/B9)/((1-H9)*(1-I9))</f>
        <v>0.90486534136726071</v>
      </c>
      <c r="K9" s="47"/>
      <c r="L9" s="26"/>
      <c r="M9" s="27">
        <f t="shared" ref="M9:M14" si="2">J9^(1/3)</f>
        <v>0.96722604982659099</v>
      </c>
      <c r="N9" s="47"/>
      <c r="O9" s="27"/>
      <c r="P9" s="109" t="s">
        <v>60</v>
      </c>
      <c r="Q9" s="42">
        <f t="shared" ref="Q9:Q14" si="3">1-J9</f>
        <v>9.5134658632739288E-2</v>
      </c>
      <c r="R9" s="49"/>
      <c r="S9" s="42"/>
      <c r="T9" s="41">
        <f t="shared" ref="T9:T14" si="4">1-M9</f>
        <v>3.2773950173409006E-2</v>
      </c>
      <c r="U9" s="49"/>
      <c r="V9" s="114"/>
      <c r="W9" s="283">
        <f>C9</f>
        <v>65</v>
      </c>
      <c r="X9" s="283">
        <f>B9</f>
        <v>83</v>
      </c>
      <c r="Y9" s="283">
        <f>W9/X9</f>
        <v>0.7831325301204819</v>
      </c>
      <c r="Z9" s="283">
        <f t="shared" ref="Z9:Z22" si="5">_xlfn.F.INV(0.05/2, 2*W9, 2*(X9-W9+1))</f>
        <v>0.618549393376437</v>
      </c>
      <c r="AA9" s="283">
        <f>_xlfn.F.INV(1-0.05/2, 2*(W9+1), 2*(X9-W9))</f>
        <v>1.7642677580996187</v>
      </c>
      <c r="AB9" s="436">
        <f>IF(W9=0, 0, 1/(1 +(X9-W9+1)/(W9*Z9)))</f>
        <v>0.67908501025916168</v>
      </c>
      <c r="AC9" s="436">
        <f>IF(W9=X9, 1, 1/(1 + (X9-W9)/(AA9*(W9+1))))</f>
        <v>0.86611294156345453</v>
      </c>
      <c r="AD9" s="283">
        <f>D9</f>
        <v>0</v>
      </c>
      <c r="AE9" s="283">
        <f>C9</f>
        <v>65</v>
      </c>
      <c r="AF9" s="283">
        <f>AD9/AE9</f>
        <v>0</v>
      </c>
      <c r="AG9" s="283" t="e">
        <f t="shared" ref="AG9:AG22" si="6">_xlfn.F.INV(0.05/2, 2*AD9, 2*(AE9-AD9+1))</f>
        <v>#NUM!</v>
      </c>
      <c r="AH9" s="283">
        <f>_xlfn.F.INV(1-0.05/2, 2*(AD9+1), 2*(AE9-AD9))</f>
        <v>3.7955636822327823</v>
      </c>
      <c r="AI9" s="436">
        <f>IF(AD9=0, 0, 1/(1 +(AE9-AD9+1)/(AD9*AG9)))</f>
        <v>0</v>
      </c>
      <c r="AJ9" s="436">
        <f>IF(AD9=AE9, 1, 1/(1 + (AE9-AD9)/(AH9*(AD9+1))))</f>
        <v>5.5171634318813327E-2</v>
      </c>
      <c r="AK9" s="283">
        <f>D9</f>
        <v>0</v>
      </c>
      <c r="AL9" s="283">
        <f>B9</f>
        <v>83</v>
      </c>
      <c r="AM9" s="283">
        <f>AK9/AL9</f>
        <v>0</v>
      </c>
      <c r="AN9" s="283" t="e">
        <f t="shared" ref="AN9:AN22" si="7">_xlfn.F.INV(0.05/2, 2*AK9, 2*(AL9-AK9+1))</f>
        <v>#NUM!</v>
      </c>
      <c r="AO9" s="283">
        <f>_xlfn.F.INV(1-0.05/2, 2*(AK9+1), 2*(AL9-AK9))</f>
        <v>3.772082397709875</v>
      </c>
      <c r="AP9" s="436">
        <f>IF(AK9=0, 0, 1/(1 +(AL9-AK9+1)/(AK9*AN9)))</f>
        <v>0</v>
      </c>
      <c r="AQ9" s="436">
        <f>IF(AK9=AL9, 1, 1/(1 + (AL9-AK9)/(AO9*(AK9+1))))</f>
        <v>4.3471152166441832E-2</v>
      </c>
    </row>
    <row r="10" spans="1:43" ht="15" customHeight="1">
      <c r="A10" s="109">
        <v>2003</v>
      </c>
      <c r="B10" s="11">
        <v>63</v>
      </c>
      <c r="C10" s="20">
        <v>51</v>
      </c>
      <c r="D10" s="20"/>
      <c r="E10" s="36">
        <f t="shared" si="0"/>
        <v>0.80952380952380953</v>
      </c>
      <c r="F10" s="26"/>
      <c r="H10" s="122">
        <v>9.1160963193777048E-2</v>
      </c>
      <c r="I10" s="27">
        <v>0.02</v>
      </c>
      <c r="J10" s="36">
        <f t="shared" si="1"/>
        <v>0.90890099362209531</v>
      </c>
      <c r="K10" s="47"/>
      <c r="L10" s="26"/>
      <c r="M10" s="27">
        <f t="shared" si="2"/>
        <v>0.96866184333730632</v>
      </c>
      <c r="N10" s="47"/>
      <c r="O10" s="27"/>
      <c r="P10" s="109">
        <v>2003</v>
      </c>
      <c r="Q10" s="14">
        <f t="shared" si="3"/>
        <v>9.109900637790469E-2</v>
      </c>
      <c r="R10" s="50"/>
      <c r="S10" s="14"/>
      <c r="T10" s="13">
        <f t="shared" si="4"/>
        <v>3.1338156662693684E-2</v>
      </c>
      <c r="U10" s="50"/>
      <c r="V10" s="85"/>
      <c r="W10" s="283">
        <f t="shared" ref="W10:W22" si="8">C10</f>
        <v>51</v>
      </c>
      <c r="X10" s="283">
        <f t="shared" ref="X10:X22" si="9">B10</f>
        <v>63</v>
      </c>
      <c r="Y10" s="283">
        <f t="shared" ref="Y10:Y22" si="10">W10/X10</f>
        <v>0.80952380952380953</v>
      </c>
      <c r="Z10" s="283">
        <f t="shared" si="5"/>
        <v>0.5697873637267058</v>
      </c>
      <c r="AA10" s="283">
        <f t="shared" ref="AA10:AA22" si="11">_xlfn.F.INV(1-0.05/2, 2*(W10+1), 2*(X10-W10))</f>
        <v>2.0209840405313262</v>
      </c>
      <c r="AB10" s="436">
        <f t="shared" ref="AB10:AB22" si="12">IF(W10=0, 0, 1/(1 +(X10-W10+1)/(W10*Z10)))</f>
        <v>0.69091153091444235</v>
      </c>
      <c r="AC10" s="436">
        <f t="shared" ref="AC10:AC22" si="13">IF(W10=X10, 1, 1/(1 + (X10-W10)/(AA10*(W10+1))))</f>
        <v>0.89751575640614289</v>
      </c>
      <c r="AD10" s="283">
        <f t="shared" ref="AD10:AD22" si="14">D10</f>
        <v>0</v>
      </c>
      <c r="AE10" s="283">
        <f t="shared" ref="AE10:AE22" si="15">C10</f>
        <v>51</v>
      </c>
      <c r="AF10" s="283">
        <f t="shared" ref="AF10:AF22" si="16">AD10/AE10</f>
        <v>0</v>
      </c>
      <c r="AG10" s="283" t="e">
        <f t="shared" si="6"/>
        <v>#NUM!</v>
      </c>
      <c r="AH10" s="283">
        <f t="shared" ref="AH10:AH22" si="17">_xlfn.F.INV(1-0.05/2, 2*(AD10+1), 2*(AE10-AD10))</f>
        <v>3.8255651449822614</v>
      </c>
      <c r="AI10" s="436">
        <f t="shared" ref="AI10:AI22" si="18">IF(AD10=0, 0, 1/(1 +(AE10-AD10+1)/(AD10*AG10)))</f>
        <v>0</v>
      </c>
      <c r="AJ10" s="436">
        <f t="shared" ref="AJ10:AJ22" si="19">IF(AD10=AE10, 1, 1/(1 + (AE10-AD10)/(AH10*(AD10+1))))</f>
        <v>6.9777030749538643E-2</v>
      </c>
      <c r="AK10" s="283">
        <f t="shared" ref="AK10:AK22" si="20">D10</f>
        <v>0</v>
      </c>
      <c r="AL10" s="283">
        <f t="shared" ref="AL10:AL22" si="21">B10</f>
        <v>63</v>
      </c>
      <c r="AM10" s="283">
        <f t="shared" ref="AM10:AM22" si="22">AK10/AL10</f>
        <v>0</v>
      </c>
      <c r="AN10" s="283" t="e">
        <f t="shared" si="7"/>
        <v>#NUM!</v>
      </c>
      <c r="AO10" s="283">
        <f t="shared" ref="AO10:AO22" si="23">_xlfn.F.INV(1-0.05/2, 2*(AK10+1), 2*(AL10-AK10))</f>
        <v>3.7990172441412304</v>
      </c>
      <c r="AP10" s="436">
        <f t="shared" ref="AP10:AP22" si="24">IF(AK10=0, 0, 1/(1 +(AL10-AK10+1)/(AK10*AN10)))</f>
        <v>0</v>
      </c>
      <c r="AQ10" s="436">
        <f t="shared" ref="AQ10:AQ22" si="25">IF(AK10=AL10, 1, 1/(1 + (AL10-AK10)/(AO10*(AK10+1))))</f>
        <v>5.6872352332016263E-2</v>
      </c>
    </row>
    <row r="11" spans="1:43" ht="15" customHeight="1">
      <c r="A11" s="109">
        <v>2004</v>
      </c>
      <c r="B11" s="11">
        <v>813</v>
      </c>
      <c r="C11" s="20">
        <v>690</v>
      </c>
      <c r="D11" s="20"/>
      <c r="E11" s="36">
        <f t="shared" si="0"/>
        <v>0.8487084870848709</v>
      </c>
      <c r="F11" s="26"/>
      <c r="H11" s="122">
        <v>9.8626667358062123E-2</v>
      </c>
      <c r="I11" s="27">
        <v>0.02</v>
      </c>
      <c r="J11" s="36">
        <f t="shared" si="1"/>
        <v>0.96078842926893182</v>
      </c>
      <c r="K11" s="47"/>
      <c r="L11" s="26"/>
      <c r="M11" s="27">
        <f t="shared" si="2"/>
        <v>0.98675481608177529</v>
      </c>
      <c r="N11" s="47"/>
      <c r="O11" s="27"/>
      <c r="P11" s="109">
        <v>2004</v>
      </c>
      <c r="Q11" s="14">
        <f t="shared" si="3"/>
        <v>3.9211570731068179E-2</v>
      </c>
      <c r="R11" s="50"/>
      <c r="S11" s="14"/>
      <c r="T11" s="13">
        <f t="shared" si="4"/>
        <v>1.3245183918224712E-2</v>
      </c>
      <c r="U11" s="50"/>
      <c r="V11" s="85"/>
      <c r="W11" s="283">
        <f t="shared" si="8"/>
        <v>690</v>
      </c>
      <c r="X11" s="283">
        <f t="shared" si="9"/>
        <v>813</v>
      </c>
      <c r="Y11" s="283">
        <f t="shared" si="10"/>
        <v>0.8487084870848709</v>
      </c>
      <c r="Z11" s="283">
        <f t="shared" si="5"/>
        <v>0.83104826638822138</v>
      </c>
      <c r="AA11" s="283">
        <f t="shared" si="11"/>
        <v>1.2197973544557941</v>
      </c>
      <c r="AB11" s="436">
        <f t="shared" si="12"/>
        <v>0.82220267185944251</v>
      </c>
      <c r="AC11" s="436">
        <f t="shared" si="13"/>
        <v>0.87265498449630619</v>
      </c>
      <c r="AD11" s="283">
        <f t="shared" si="14"/>
        <v>0</v>
      </c>
      <c r="AE11" s="283">
        <f t="shared" si="15"/>
        <v>690</v>
      </c>
      <c r="AF11" s="283">
        <f t="shared" si="16"/>
        <v>0</v>
      </c>
      <c r="AG11" s="283" t="e">
        <f t="shared" si="6"/>
        <v>#NUM!</v>
      </c>
      <c r="AH11" s="283">
        <f t="shared" si="17"/>
        <v>3.6987577976978652</v>
      </c>
      <c r="AI11" s="436">
        <f t="shared" si="18"/>
        <v>0</v>
      </c>
      <c r="AJ11" s="436">
        <f t="shared" si="19"/>
        <v>5.3319366023378799E-3</v>
      </c>
      <c r="AK11" s="283">
        <f t="shared" si="20"/>
        <v>0</v>
      </c>
      <c r="AL11" s="283">
        <f t="shared" si="21"/>
        <v>813</v>
      </c>
      <c r="AM11" s="283">
        <f t="shared" si="22"/>
        <v>0</v>
      </c>
      <c r="AN11" s="283" t="e">
        <f t="shared" si="7"/>
        <v>#NUM!</v>
      </c>
      <c r="AO11" s="283">
        <f t="shared" si="23"/>
        <v>3.6972610262153731</v>
      </c>
      <c r="AP11" s="436">
        <f t="shared" si="24"/>
        <v>0</v>
      </c>
      <c r="AQ11" s="436">
        <f t="shared" si="25"/>
        <v>4.5270888034687484E-3</v>
      </c>
    </row>
    <row r="12" spans="1:43" ht="15" customHeight="1">
      <c r="A12" s="109">
        <v>2005</v>
      </c>
      <c r="B12" s="11">
        <v>806</v>
      </c>
      <c r="C12" s="20">
        <v>656</v>
      </c>
      <c r="D12" s="20"/>
      <c r="E12" s="36">
        <f t="shared" si="0"/>
        <v>0.81389578163771714</v>
      </c>
      <c r="F12" s="26"/>
      <c r="H12" s="122">
        <v>7.0592663434930203E-2</v>
      </c>
      <c r="I12" s="27">
        <v>0.02</v>
      </c>
      <c r="J12" s="36">
        <f t="shared" si="1"/>
        <v>0.8935865545238012</v>
      </c>
      <c r="K12" s="47"/>
      <c r="L12" s="26"/>
      <c r="M12" s="27">
        <f t="shared" si="2"/>
        <v>0.96319053998654014</v>
      </c>
      <c r="N12" s="47"/>
      <c r="O12" s="27"/>
      <c r="P12" s="109">
        <v>2005</v>
      </c>
      <c r="Q12" s="14">
        <f t="shared" si="3"/>
        <v>0.1064134454761988</v>
      </c>
      <c r="R12" s="50"/>
      <c r="S12" s="14"/>
      <c r="T12" s="13">
        <f t="shared" si="4"/>
        <v>3.680946001345986E-2</v>
      </c>
      <c r="U12" s="50"/>
      <c r="V12" s="85"/>
      <c r="W12" s="283">
        <f t="shared" si="8"/>
        <v>656</v>
      </c>
      <c r="X12" s="283">
        <f t="shared" si="9"/>
        <v>806</v>
      </c>
      <c r="Y12" s="283">
        <f t="shared" si="10"/>
        <v>0.81389578163771714</v>
      </c>
      <c r="Z12" s="283">
        <f t="shared" si="5"/>
        <v>0.84181292817936915</v>
      </c>
      <c r="AA12" s="283">
        <f t="shared" si="11"/>
        <v>1.200388589155772</v>
      </c>
      <c r="AB12" s="436">
        <f t="shared" si="12"/>
        <v>0.78527629024515799</v>
      </c>
      <c r="AC12" s="436">
        <f t="shared" si="13"/>
        <v>0.84019692904461218</v>
      </c>
      <c r="AD12" s="283">
        <f t="shared" si="14"/>
        <v>0</v>
      </c>
      <c r="AE12" s="283">
        <f t="shared" si="15"/>
        <v>656</v>
      </c>
      <c r="AF12" s="283">
        <f t="shared" si="16"/>
        <v>0</v>
      </c>
      <c r="AG12" s="283" t="e">
        <f t="shared" si="6"/>
        <v>#NUM!</v>
      </c>
      <c r="AH12" s="283">
        <f t="shared" si="17"/>
        <v>3.6992707456244425</v>
      </c>
      <c r="AI12" s="436">
        <f t="shared" si="18"/>
        <v>0</v>
      </c>
      <c r="AJ12" s="436">
        <f t="shared" si="19"/>
        <v>5.6075107396182898E-3</v>
      </c>
      <c r="AK12" s="283">
        <f t="shared" si="20"/>
        <v>0</v>
      </c>
      <c r="AL12" s="283">
        <f t="shared" si="21"/>
        <v>806</v>
      </c>
      <c r="AM12" s="283">
        <f t="shared" si="22"/>
        <v>0</v>
      </c>
      <c r="AN12" s="283" t="e">
        <f t="shared" si="7"/>
        <v>#NUM!</v>
      </c>
      <c r="AO12" s="283">
        <f t="shared" si="23"/>
        <v>3.6973339301622943</v>
      </c>
      <c r="AP12" s="436">
        <f t="shared" si="24"/>
        <v>0</v>
      </c>
      <c r="AQ12" s="436">
        <f t="shared" si="25"/>
        <v>4.5663160482645173E-3</v>
      </c>
    </row>
    <row r="13" spans="1:43" ht="15" customHeight="1">
      <c r="A13" s="109">
        <v>2006</v>
      </c>
      <c r="B13" s="11">
        <v>647</v>
      </c>
      <c r="C13" s="20">
        <v>505</v>
      </c>
      <c r="D13" s="20"/>
      <c r="E13" s="36">
        <f t="shared" si="0"/>
        <v>0.78052550231839257</v>
      </c>
      <c r="F13" s="26"/>
      <c r="H13" s="122">
        <v>7.4942964259498673E-2</v>
      </c>
      <c r="I13" s="27">
        <v>0.02</v>
      </c>
      <c r="J13" s="36">
        <f t="shared" si="1"/>
        <v>0.86097890554919709</v>
      </c>
      <c r="K13" s="47"/>
      <c r="L13" s="26"/>
      <c r="M13" s="27">
        <f t="shared" si="2"/>
        <v>0.95132922169318757</v>
      </c>
      <c r="N13" s="47"/>
      <c r="O13" s="27"/>
      <c r="P13" s="109">
        <v>2006</v>
      </c>
      <c r="Q13" s="14">
        <f t="shared" si="3"/>
        <v>0.13902109445080291</v>
      </c>
      <c r="R13" s="50"/>
      <c r="S13" s="14"/>
      <c r="T13" s="13">
        <f t="shared" si="4"/>
        <v>4.8670778306812434E-2</v>
      </c>
      <c r="U13" s="50"/>
      <c r="V13" s="85"/>
      <c r="W13" s="283">
        <f t="shared" si="8"/>
        <v>505</v>
      </c>
      <c r="X13" s="283">
        <f t="shared" si="9"/>
        <v>647</v>
      </c>
      <c r="Y13" s="283">
        <f t="shared" si="10"/>
        <v>0.78052550231839257</v>
      </c>
      <c r="Z13" s="283">
        <f t="shared" si="5"/>
        <v>0.83438369145024238</v>
      </c>
      <c r="AA13" s="283">
        <f t="shared" si="11"/>
        <v>1.2109037850105304</v>
      </c>
      <c r="AB13" s="436">
        <f t="shared" si="12"/>
        <v>0.74661732542809034</v>
      </c>
      <c r="AC13" s="436">
        <f t="shared" si="13"/>
        <v>0.81185008328650055</v>
      </c>
      <c r="AD13" s="283">
        <f t="shared" si="14"/>
        <v>0</v>
      </c>
      <c r="AE13" s="283">
        <f t="shared" si="15"/>
        <v>505</v>
      </c>
      <c r="AF13" s="283">
        <f t="shared" si="16"/>
        <v>0</v>
      </c>
      <c r="AG13" s="283" t="e">
        <f t="shared" si="6"/>
        <v>#NUM!</v>
      </c>
      <c r="AH13" s="283">
        <f t="shared" si="17"/>
        <v>3.702385420437035</v>
      </c>
      <c r="AI13" s="436">
        <f t="shared" si="18"/>
        <v>0</v>
      </c>
      <c r="AJ13" s="436">
        <f t="shared" si="19"/>
        <v>7.2780972264894208E-3</v>
      </c>
      <c r="AK13" s="283">
        <f t="shared" si="20"/>
        <v>0</v>
      </c>
      <c r="AL13" s="283">
        <f t="shared" si="21"/>
        <v>647</v>
      </c>
      <c r="AM13" s="283">
        <f t="shared" si="22"/>
        <v>0</v>
      </c>
      <c r="AN13" s="283" t="e">
        <f t="shared" si="7"/>
        <v>#NUM!</v>
      </c>
      <c r="AO13" s="283">
        <f t="shared" si="23"/>
        <v>3.6994155671576849</v>
      </c>
      <c r="AP13" s="436">
        <f t="shared" si="24"/>
        <v>0</v>
      </c>
      <c r="AQ13" s="436">
        <f t="shared" si="25"/>
        <v>5.6852910555225079E-3</v>
      </c>
    </row>
    <row r="14" spans="1:43" ht="15" customHeight="1" thickBot="1">
      <c r="A14" s="109">
        <v>2007</v>
      </c>
      <c r="B14" s="11">
        <v>154</v>
      </c>
      <c r="C14" s="20">
        <v>121</v>
      </c>
      <c r="D14" s="20"/>
      <c r="E14" s="36">
        <f t="shared" si="0"/>
        <v>0.7857142857142857</v>
      </c>
      <c r="F14" s="26"/>
      <c r="H14" s="121">
        <v>8.3958646193490624E-2</v>
      </c>
      <c r="I14" s="27">
        <v>0.02</v>
      </c>
      <c r="J14" s="36">
        <f t="shared" si="1"/>
        <v>0.87523261674316899</v>
      </c>
      <c r="K14" s="47"/>
      <c r="L14" s="26"/>
      <c r="M14" s="27">
        <f t="shared" si="2"/>
        <v>0.95655034193765687</v>
      </c>
      <c r="N14" s="47"/>
      <c r="O14" s="27"/>
      <c r="P14" s="109">
        <v>2007</v>
      </c>
      <c r="Q14" s="14">
        <f t="shared" si="3"/>
        <v>0.12476738325683101</v>
      </c>
      <c r="R14" s="50"/>
      <c r="S14" s="14"/>
      <c r="T14" s="13">
        <f t="shared" si="4"/>
        <v>4.3449658062343133E-2</v>
      </c>
      <c r="U14" s="50"/>
      <c r="V14" s="85"/>
      <c r="W14" s="283">
        <f t="shared" si="8"/>
        <v>121</v>
      </c>
      <c r="X14" s="283">
        <f t="shared" si="9"/>
        <v>154</v>
      </c>
      <c r="Y14" s="283">
        <f t="shared" si="10"/>
        <v>0.7857142857142857</v>
      </c>
      <c r="Z14" s="283">
        <f t="shared" si="5"/>
        <v>0.6961568785836374</v>
      </c>
      <c r="AA14" s="283">
        <f t="shared" si="11"/>
        <v>1.5051938410185099</v>
      </c>
      <c r="AB14" s="436">
        <f t="shared" si="12"/>
        <v>0.71243705258692147</v>
      </c>
      <c r="AC14" s="436">
        <f t="shared" si="13"/>
        <v>0.84766909382446076</v>
      </c>
      <c r="AD14" s="283">
        <f t="shared" si="14"/>
        <v>0</v>
      </c>
      <c r="AE14" s="283">
        <f t="shared" si="15"/>
        <v>121</v>
      </c>
      <c r="AF14" s="283">
        <f t="shared" si="16"/>
        <v>0</v>
      </c>
      <c r="AG14" s="283" t="e">
        <f t="shared" si="6"/>
        <v>#NUM!</v>
      </c>
      <c r="AH14" s="283">
        <f t="shared" si="17"/>
        <v>3.745685973076478</v>
      </c>
      <c r="AI14" s="436">
        <f t="shared" si="18"/>
        <v>0</v>
      </c>
      <c r="AJ14" s="436">
        <f t="shared" si="19"/>
        <v>3.0026577222757821E-2</v>
      </c>
      <c r="AK14" s="283">
        <f t="shared" si="20"/>
        <v>0</v>
      </c>
      <c r="AL14" s="283">
        <f t="shared" si="21"/>
        <v>154</v>
      </c>
      <c r="AM14" s="283">
        <f t="shared" si="22"/>
        <v>0</v>
      </c>
      <c r="AN14" s="283" t="e">
        <f t="shared" si="7"/>
        <v>#NUM!</v>
      </c>
      <c r="AO14" s="283">
        <f t="shared" si="23"/>
        <v>3.7334156175599773</v>
      </c>
      <c r="AP14" s="436">
        <f t="shared" si="24"/>
        <v>0</v>
      </c>
      <c r="AQ14" s="436">
        <f t="shared" si="25"/>
        <v>2.3669148372542741E-2</v>
      </c>
    </row>
    <row r="15" spans="1:43" ht="15" customHeight="1" thickBot="1">
      <c r="A15" s="215" t="s">
        <v>81</v>
      </c>
      <c r="B15" s="74"/>
      <c r="C15" s="160"/>
      <c r="D15" s="160"/>
      <c r="E15" s="161"/>
      <c r="F15" s="239"/>
      <c r="H15" s="265">
        <f>AVERAGE(H9:H14)</f>
        <v>8.9358448549307037E-2</v>
      </c>
      <c r="I15" s="244">
        <f t="shared" ref="I15:J15" si="26">AVERAGE(I9:I14)</f>
        <v>0.02</v>
      </c>
      <c r="J15" s="244">
        <f t="shared" si="26"/>
        <v>0.90072547351240917</v>
      </c>
      <c r="K15" s="158"/>
      <c r="L15" s="266"/>
      <c r="M15" s="244">
        <f>AVERAGE(M9:M14)</f>
        <v>0.96561880214384288</v>
      </c>
      <c r="N15" s="265"/>
      <c r="O15" s="265"/>
      <c r="P15" s="262" t="s">
        <v>81</v>
      </c>
      <c r="Q15" s="244">
        <f>AVERAGE(Q9:Q14)</f>
        <v>9.9274526487590817E-2</v>
      </c>
      <c r="R15" s="242"/>
      <c r="S15" s="241"/>
      <c r="T15" s="244">
        <f>AVERAGE(T9:T14)</f>
        <v>3.438119785615714E-2</v>
      </c>
      <c r="U15" s="242"/>
      <c r="V15" s="243"/>
      <c r="W15" s="283"/>
      <c r="X15" s="283"/>
      <c r="Y15" s="283"/>
      <c r="Z15" s="283"/>
      <c r="AA15" s="283"/>
      <c r="AB15" s="436"/>
      <c r="AC15" s="436"/>
      <c r="AD15" s="283"/>
      <c r="AE15" s="283"/>
      <c r="AF15" s="283"/>
      <c r="AG15" s="283"/>
      <c r="AH15" s="283"/>
      <c r="AI15" s="436"/>
      <c r="AJ15" s="436"/>
      <c r="AK15" s="283"/>
      <c r="AL15" s="283"/>
      <c r="AM15" s="283"/>
      <c r="AN15" s="283"/>
      <c r="AO15" s="283"/>
      <c r="AP15" s="436"/>
      <c r="AQ15" s="436"/>
    </row>
    <row r="16" spans="1:43" ht="15" customHeight="1">
      <c r="A16" s="109">
        <v>2008</v>
      </c>
      <c r="B16" s="119">
        <v>181</v>
      </c>
      <c r="C16" s="119">
        <v>132</v>
      </c>
      <c r="D16" s="20"/>
      <c r="E16" s="36">
        <f t="shared" ref="E16:E18" si="27">C16/B16</f>
        <v>0.72928176795580113</v>
      </c>
      <c r="F16" s="26"/>
      <c r="H16" s="121">
        <v>0.13083194793251035</v>
      </c>
      <c r="I16" s="120">
        <v>0.02</v>
      </c>
      <c r="J16" s="36">
        <f t="shared" ref="J16:J22" si="28">(C16/B16)/((1-H16)*(1-I16))</f>
        <v>0.85618088190483899</v>
      </c>
      <c r="K16" s="47"/>
      <c r="L16" s="26"/>
      <c r="M16" s="27">
        <f t="shared" ref="M16:M18" si="29">J16^(1/3)</f>
        <v>0.94955875423894986</v>
      </c>
      <c r="N16" s="47"/>
      <c r="O16" s="27"/>
      <c r="P16" s="109">
        <v>2008</v>
      </c>
      <c r="Q16" s="14">
        <f t="shared" ref="Q16:Q18" si="30">1-J16</f>
        <v>0.14381911809516101</v>
      </c>
      <c r="R16" s="50"/>
      <c r="S16" s="14"/>
      <c r="T16" s="13">
        <f t="shared" ref="T16:T18" si="31">1-M16</f>
        <v>5.0441245761050135E-2</v>
      </c>
      <c r="U16" s="50"/>
      <c r="V16" s="85"/>
      <c r="W16" s="283">
        <f t="shared" si="8"/>
        <v>132</v>
      </c>
      <c r="X16" s="283">
        <f t="shared" si="9"/>
        <v>181</v>
      </c>
      <c r="Y16" s="283">
        <f t="shared" si="10"/>
        <v>0.72928176795580113</v>
      </c>
      <c r="Z16" s="283">
        <f t="shared" si="5"/>
        <v>0.72996014114220775</v>
      </c>
      <c r="AA16" s="283">
        <f t="shared" si="11"/>
        <v>1.4073107514210392</v>
      </c>
      <c r="AB16" s="436">
        <f t="shared" si="12"/>
        <v>0.65836432446412507</v>
      </c>
      <c r="AC16" s="436">
        <f t="shared" si="13"/>
        <v>0.79252438245980639</v>
      </c>
      <c r="AD16" s="283">
        <f t="shared" si="14"/>
        <v>0</v>
      </c>
      <c r="AE16" s="283">
        <f t="shared" si="15"/>
        <v>132</v>
      </c>
      <c r="AF16" s="283">
        <f t="shared" si="16"/>
        <v>0</v>
      </c>
      <c r="AG16" s="283" t="e">
        <f t="shared" si="6"/>
        <v>#NUM!</v>
      </c>
      <c r="AH16" s="283">
        <f t="shared" si="17"/>
        <v>3.7409078024717792</v>
      </c>
      <c r="AI16" s="436">
        <f t="shared" si="18"/>
        <v>0</v>
      </c>
      <c r="AJ16" s="436">
        <f t="shared" si="19"/>
        <v>2.7559177723457503E-2</v>
      </c>
      <c r="AK16" s="283">
        <f t="shared" si="20"/>
        <v>0</v>
      </c>
      <c r="AL16" s="283">
        <f t="shared" si="21"/>
        <v>181</v>
      </c>
      <c r="AM16" s="283">
        <f t="shared" si="22"/>
        <v>0</v>
      </c>
      <c r="AN16" s="283" t="e">
        <f t="shared" si="7"/>
        <v>#NUM!</v>
      </c>
      <c r="AO16" s="283">
        <f t="shared" si="23"/>
        <v>3.726726828705436</v>
      </c>
      <c r="AP16" s="436">
        <f t="shared" si="24"/>
        <v>0</v>
      </c>
      <c r="AQ16" s="436">
        <f t="shared" si="25"/>
        <v>2.0174269812950122E-2</v>
      </c>
    </row>
    <row r="17" spans="1:43" ht="15" customHeight="1">
      <c r="A17" s="273">
        <v>2009</v>
      </c>
      <c r="B17" s="295">
        <v>148</v>
      </c>
      <c r="C17" s="296">
        <v>119</v>
      </c>
      <c r="D17" s="294">
        <v>108</v>
      </c>
      <c r="E17" s="36">
        <f t="shared" si="27"/>
        <v>0.80405405405405406</v>
      </c>
      <c r="F17" s="27">
        <f>D17/C17</f>
        <v>0.90756302521008403</v>
      </c>
      <c r="H17" s="121">
        <v>0.13217691646745558</v>
      </c>
      <c r="I17" s="120">
        <v>0.02</v>
      </c>
      <c r="J17" s="36">
        <f t="shared" si="28"/>
        <v>0.94542693785415077</v>
      </c>
      <c r="K17" s="47"/>
      <c r="L17" s="27"/>
      <c r="M17" s="27">
        <f t="shared" si="29"/>
        <v>0.98146765303237304</v>
      </c>
      <c r="N17" s="47"/>
      <c r="O17" s="27"/>
      <c r="P17" s="273">
        <v>2009</v>
      </c>
      <c r="Q17" s="14">
        <f t="shared" si="30"/>
        <v>5.4573062145849227E-2</v>
      </c>
      <c r="R17" s="50"/>
      <c r="S17" s="14"/>
      <c r="T17" s="13">
        <f t="shared" si="31"/>
        <v>1.8532346967626956E-2</v>
      </c>
      <c r="U17" s="50"/>
      <c r="V17" s="14"/>
      <c r="W17" s="283">
        <f t="shared" si="8"/>
        <v>119</v>
      </c>
      <c r="X17" s="283">
        <f t="shared" si="9"/>
        <v>148</v>
      </c>
      <c r="Y17" s="283">
        <f t="shared" si="10"/>
        <v>0.80405405405405406</v>
      </c>
      <c r="Z17" s="283">
        <f t="shared" si="5"/>
        <v>0.68460808503509418</v>
      </c>
      <c r="AA17" s="283">
        <f t="shared" si="11"/>
        <v>1.5440987317373254</v>
      </c>
      <c r="AB17" s="436">
        <f t="shared" si="12"/>
        <v>0.73086533766482054</v>
      </c>
      <c r="AC17" s="436">
        <f t="shared" si="13"/>
        <v>0.86467054021617085</v>
      </c>
      <c r="AD17" s="283">
        <f t="shared" si="14"/>
        <v>108</v>
      </c>
      <c r="AE17" s="283">
        <f t="shared" si="15"/>
        <v>119</v>
      </c>
      <c r="AF17" s="283">
        <f t="shared" si="16"/>
        <v>0.90756302521008403</v>
      </c>
      <c r="AG17" s="283">
        <f t="shared" si="6"/>
        <v>0.58604767453884543</v>
      </c>
      <c r="AH17" s="283">
        <f t="shared" si="17"/>
        <v>2.043881443645978</v>
      </c>
      <c r="AI17" s="436">
        <f t="shared" si="18"/>
        <v>0.84062294932205017</v>
      </c>
      <c r="AJ17" s="436">
        <f t="shared" si="19"/>
        <v>0.95294783470069988</v>
      </c>
      <c r="AK17" s="283">
        <f t="shared" si="20"/>
        <v>108</v>
      </c>
      <c r="AL17" s="283">
        <f t="shared" si="21"/>
        <v>148</v>
      </c>
      <c r="AM17" s="283">
        <f t="shared" si="22"/>
        <v>0.72972972972972971</v>
      </c>
      <c r="AN17" s="283">
        <f t="shared" si="7"/>
        <v>0.70704251586512445</v>
      </c>
      <c r="AO17" s="283">
        <f t="shared" si="23"/>
        <v>1.4621496486139396</v>
      </c>
      <c r="AP17" s="436">
        <f t="shared" si="24"/>
        <v>0.65064934147475828</v>
      </c>
      <c r="AQ17" s="436">
        <f t="shared" si="25"/>
        <v>0.79937234812674818</v>
      </c>
    </row>
    <row r="18" spans="1:43" s="546" customFormat="1" ht="15" customHeight="1">
      <c r="A18" s="538">
        <v>2010</v>
      </c>
      <c r="B18" s="539">
        <v>461</v>
      </c>
      <c r="C18" s="539">
        <v>381</v>
      </c>
      <c r="D18" s="540">
        <v>364</v>
      </c>
      <c r="E18" s="541">
        <f t="shared" si="27"/>
        <v>0.82646420824295008</v>
      </c>
      <c r="F18" s="27">
        <f>D18/C18</f>
        <v>0.95538057742782156</v>
      </c>
      <c r="H18" s="544">
        <v>0.13038767093097695</v>
      </c>
      <c r="I18" s="543">
        <v>0.02</v>
      </c>
      <c r="J18" s="541">
        <f t="shared" si="28"/>
        <v>0.96977790740449255</v>
      </c>
      <c r="K18" s="542"/>
      <c r="L18" s="543"/>
      <c r="M18" s="543">
        <f t="shared" si="29"/>
        <v>0.98982274396951053</v>
      </c>
      <c r="N18" s="542"/>
      <c r="O18" s="543"/>
      <c r="P18" s="538">
        <v>2010</v>
      </c>
      <c r="Q18" s="543">
        <f t="shared" si="30"/>
        <v>3.0222092595507455E-2</v>
      </c>
      <c r="R18" s="542"/>
      <c r="S18" s="543"/>
      <c r="T18" s="541">
        <f t="shared" si="31"/>
        <v>1.0177256030489468E-2</v>
      </c>
      <c r="U18" s="542"/>
      <c r="V18" s="543"/>
      <c r="W18" s="545">
        <f t="shared" si="8"/>
        <v>381</v>
      </c>
      <c r="X18" s="545">
        <f t="shared" si="9"/>
        <v>461</v>
      </c>
      <c r="Y18" s="545">
        <f t="shared" si="10"/>
        <v>0.82646420824295008</v>
      </c>
      <c r="Z18" s="545">
        <f t="shared" si="5"/>
        <v>0.79375616773101454</v>
      </c>
      <c r="AA18" s="545">
        <f t="shared" si="11"/>
        <v>1.2857262561042277</v>
      </c>
      <c r="AB18" s="545">
        <f t="shared" si="12"/>
        <v>0.78874402055609294</v>
      </c>
      <c r="AC18" s="545">
        <f t="shared" si="13"/>
        <v>0.85993108640345717</v>
      </c>
      <c r="AD18" s="545">
        <f t="shared" si="14"/>
        <v>364</v>
      </c>
      <c r="AE18" s="545">
        <f t="shared" si="15"/>
        <v>381</v>
      </c>
      <c r="AF18" s="545">
        <f t="shared" si="16"/>
        <v>0.95538057742782156</v>
      </c>
      <c r="AG18" s="545">
        <f t="shared" si="6"/>
        <v>0.65217024107766997</v>
      </c>
      <c r="AH18" s="545">
        <f t="shared" si="17"/>
        <v>1.7308351650804938</v>
      </c>
      <c r="AI18" s="545">
        <f t="shared" si="18"/>
        <v>0.92951954942310033</v>
      </c>
      <c r="AJ18" s="545">
        <f t="shared" si="19"/>
        <v>0.97379595638260752</v>
      </c>
      <c r="AK18" s="545">
        <f t="shared" si="20"/>
        <v>364</v>
      </c>
      <c r="AL18" s="545">
        <f t="shared" si="21"/>
        <v>461</v>
      </c>
      <c r="AM18" s="545">
        <f t="shared" si="22"/>
        <v>0.78958785249457697</v>
      </c>
      <c r="AN18" s="545">
        <f t="shared" si="7"/>
        <v>0.80550945063517765</v>
      </c>
      <c r="AO18" s="545">
        <f t="shared" si="23"/>
        <v>1.2608707887703774</v>
      </c>
      <c r="AP18" s="545">
        <f t="shared" si="24"/>
        <v>0.74949223611976612</v>
      </c>
      <c r="AQ18" s="545">
        <f t="shared" si="25"/>
        <v>0.82592086361527939</v>
      </c>
    </row>
    <row r="19" spans="1:43" ht="15" customHeight="1">
      <c r="A19" s="273">
        <v>2011</v>
      </c>
      <c r="B19" s="293">
        <v>464</v>
      </c>
      <c r="C19" s="293">
        <v>351</v>
      </c>
      <c r="D19" s="294">
        <v>308</v>
      </c>
      <c r="E19" s="36">
        <f t="shared" ref="E19:E22" si="32">C19/B19</f>
        <v>0.75646551724137934</v>
      </c>
      <c r="F19" s="27">
        <f>D19/C19</f>
        <v>0.87749287749287752</v>
      </c>
      <c r="H19" s="53">
        <v>0.10669884349278133</v>
      </c>
      <c r="I19" s="120">
        <v>0.02</v>
      </c>
      <c r="J19" s="36">
        <f t="shared" si="28"/>
        <v>0.86410230569938595</v>
      </c>
      <c r="K19" s="47"/>
      <c r="L19" s="27"/>
      <c r="M19" s="27">
        <f t="shared" ref="M19:M22" si="33">J19^(1/3)</f>
        <v>0.95247822233030588</v>
      </c>
      <c r="N19" s="47"/>
      <c r="O19" s="27"/>
      <c r="P19" s="273">
        <v>2011</v>
      </c>
      <c r="Q19" s="14">
        <f t="shared" ref="Q19:Q22" si="34">1-J19</f>
        <v>0.13589769430061405</v>
      </c>
      <c r="R19" s="50"/>
      <c r="S19" s="14"/>
      <c r="T19" s="13">
        <f t="shared" ref="T19:T22" si="35">1-M19</f>
        <v>4.7521777669694121E-2</v>
      </c>
      <c r="U19" s="50"/>
      <c r="V19" s="14"/>
      <c r="W19" s="283">
        <f t="shared" si="8"/>
        <v>351</v>
      </c>
      <c r="X19" s="283">
        <f t="shared" si="9"/>
        <v>464</v>
      </c>
      <c r="Y19" s="283">
        <f t="shared" si="10"/>
        <v>0.75646551724137934</v>
      </c>
      <c r="Z19" s="283">
        <f t="shared" si="5"/>
        <v>0.81389935557412429</v>
      </c>
      <c r="AA19" s="283">
        <f t="shared" si="11"/>
        <v>1.2438405723186252</v>
      </c>
      <c r="AB19" s="436">
        <f t="shared" si="12"/>
        <v>0.71477087102428982</v>
      </c>
      <c r="AC19" s="436">
        <f t="shared" si="13"/>
        <v>0.79485573765033735</v>
      </c>
      <c r="AD19" s="283">
        <f t="shared" si="14"/>
        <v>308</v>
      </c>
      <c r="AE19" s="283">
        <f t="shared" si="15"/>
        <v>351</v>
      </c>
      <c r="AF19" s="283">
        <f t="shared" si="16"/>
        <v>0.87749287749287752</v>
      </c>
      <c r="AG19" s="283">
        <f t="shared" si="6"/>
        <v>0.74197180552844511</v>
      </c>
      <c r="AH19" s="283">
        <f t="shared" si="17"/>
        <v>1.4054180360150708</v>
      </c>
      <c r="AI19" s="436">
        <f t="shared" si="18"/>
        <v>0.83854829442708401</v>
      </c>
      <c r="AJ19" s="436">
        <f t="shared" si="19"/>
        <v>0.90990503483956864</v>
      </c>
      <c r="AK19" s="283">
        <f t="shared" si="20"/>
        <v>308</v>
      </c>
      <c r="AL19" s="283">
        <f t="shared" si="21"/>
        <v>464</v>
      </c>
      <c r="AM19" s="283">
        <f t="shared" si="22"/>
        <v>0.66379310344827591</v>
      </c>
      <c r="AN19" s="283">
        <f t="shared" si="7"/>
        <v>0.82742671415750113</v>
      </c>
      <c r="AO19" s="283">
        <f t="shared" si="23"/>
        <v>1.2163859782691919</v>
      </c>
      <c r="AP19" s="436">
        <f t="shared" si="24"/>
        <v>0.61879086928508442</v>
      </c>
      <c r="AQ19" s="436">
        <f t="shared" si="25"/>
        <v>0.70669153221225522</v>
      </c>
    </row>
    <row r="20" spans="1:43" ht="15" customHeight="1">
      <c r="A20" s="273">
        <v>2012</v>
      </c>
      <c r="B20" s="293">
        <v>470</v>
      </c>
      <c r="C20" s="293">
        <v>390</v>
      </c>
      <c r="D20" s="294">
        <v>287</v>
      </c>
      <c r="E20" s="36">
        <f t="shared" si="32"/>
        <v>0.82978723404255317</v>
      </c>
      <c r="F20" s="27">
        <f>D20/C20</f>
        <v>0.73589743589743595</v>
      </c>
      <c r="H20" s="53">
        <v>0.15003843407305659</v>
      </c>
      <c r="I20" s="120">
        <v>0.02</v>
      </c>
      <c r="J20" s="36">
        <f t="shared" si="28"/>
        <v>0.99618818230557327</v>
      </c>
      <c r="K20" s="47"/>
      <c r="L20" s="27"/>
      <c r="M20" s="27">
        <f t="shared" si="33"/>
        <v>0.99872777623493669</v>
      </c>
      <c r="N20" s="47"/>
      <c r="O20" s="27"/>
      <c r="P20" s="273">
        <v>2012</v>
      </c>
      <c r="Q20" s="14">
        <f t="shared" si="34"/>
        <v>3.8118176944267335E-3</v>
      </c>
      <c r="R20" s="50"/>
      <c r="S20" s="14"/>
      <c r="T20" s="13">
        <f t="shared" si="35"/>
        <v>1.2722237650633073E-3</v>
      </c>
      <c r="U20" s="50"/>
      <c r="V20" s="14"/>
      <c r="W20" s="283">
        <f t="shared" si="8"/>
        <v>390</v>
      </c>
      <c r="X20" s="283">
        <f t="shared" si="9"/>
        <v>470</v>
      </c>
      <c r="Y20" s="283">
        <f t="shared" si="10"/>
        <v>0.82978723404255317</v>
      </c>
      <c r="Z20" s="283">
        <f t="shared" si="5"/>
        <v>0.79418926614821805</v>
      </c>
      <c r="AA20" s="283">
        <f t="shared" si="11"/>
        <v>1.2851827295212963</v>
      </c>
      <c r="AB20" s="436">
        <f t="shared" si="12"/>
        <v>0.79269774680438709</v>
      </c>
      <c r="AC20" s="436">
        <f t="shared" si="13"/>
        <v>0.86266246428917082</v>
      </c>
      <c r="AD20" s="283">
        <f t="shared" si="14"/>
        <v>287</v>
      </c>
      <c r="AE20" s="283">
        <f t="shared" si="15"/>
        <v>390</v>
      </c>
      <c r="AF20" s="283">
        <f t="shared" si="16"/>
        <v>0.73589743589743595</v>
      </c>
      <c r="AG20" s="283">
        <f t="shared" si="6"/>
        <v>0.80346353124140835</v>
      </c>
      <c r="AH20" s="283">
        <f t="shared" si="17"/>
        <v>1.2606197377882618</v>
      </c>
      <c r="AI20" s="436">
        <f t="shared" si="18"/>
        <v>0.68917556920368783</v>
      </c>
      <c r="AJ20" s="436">
        <f t="shared" si="19"/>
        <v>0.77899769357432913</v>
      </c>
      <c r="AK20" s="283">
        <f t="shared" si="20"/>
        <v>287</v>
      </c>
      <c r="AL20" s="283">
        <f t="shared" si="21"/>
        <v>470</v>
      </c>
      <c r="AM20" s="283">
        <f t="shared" si="22"/>
        <v>0.61063829787234047</v>
      </c>
      <c r="AN20" s="283">
        <f t="shared" si="7"/>
        <v>0.83240051636591617</v>
      </c>
      <c r="AO20" s="283">
        <f t="shared" si="23"/>
        <v>1.2061965742321259</v>
      </c>
      <c r="AP20" s="436">
        <f t="shared" si="24"/>
        <v>0.56490787980328805</v>
      </c>
      <c r="AQ20" s="436">
        <f t="shared" si="25"/>
        <v>0.65496736635290809</v>
      </c>
    </row>
    <row r="21" spans="1:43" ht="15" customHeight="1">
      <c r="A21" s="273">
        <v>2013</v>
      </c>
      <c r="B21">
        <v>269</v>
      </c>
      <c r="C21">
        <v>229</v>
      </c>
      <c r="D21" s="294">
        <v>213</v>
      </c>
      <c r="E21" s="36">
        <f t="shared" si="32"/>
        <v>0.85130111524163565</v>
      </c>
      <c r="F21" s="27">
        <f>D21/C21</f>
        <v>0.93013100436681218</v>
      </c>
      <c r="H21" s="53">
        <v>0.14157412948555978</v>
      </c>
      <c r="I21" s="120">
        <v>0.02</v>
      </c>
      <c r="J21" s="36">
        <f t="shared" si="28"/>
        <v>1.0119389888247916</v>
      </c>
      <c r="K21" s="47"/>
      <c r="L21" s="27"/>
      <c r="M21" s="27">
        <f t="shared" si="33"/>
        <v>1.0039639294435705</v>
      </c>
      <c r="N21" s="47"/>
      <c r="O21" s="27"/>
      <c r="P21" s="273">
        <v>2013</v>
      </c>
      <c r="Q21" s="14">
        <f t="shared" si="34"/>
        <v>-1.1938988824791608E-2</v>
      </c>
      <c r="R21" s="50"/>
      <c r="S21" s="14"/>
      <c r="T21" s="13">
        <f t="shared" si="35"/>
        <v>-3.9639294435704908E-3</v>
      </c>
      <c r="U21" s="50"/>
      <c r="V21" s="14"/>
      <c r="W21" s="283">
        <f t="shared" si="8"/>
        <v>229</v>
      </c>
      <c r="X21" s="283">
        <f t="shared" si="9"/>
        <v>269</v>
      </c>
      <c r="Y21" s="283">
        <f t="shared" si="10"/>
        <v>0.85130111524163565</v>
      </c>
      <c r="Z21" s="283">
        <f t="shared" si="5"/>
        <v>0.73009042071083097</v>
      </c>
      <c r="AA21" s="283">
        <f t="shared" si="11"/>
        <v>1.4303653977124304</v>
      </c>
      <c r="AB21" s="436">
        <f t="shared" si="12"/>
        <v>0.80306517653821385</v>
      </c>
      <c r="AC21" s="436">
        <f t="shared" si="13"/>
        <v>0.89159422765216301</v>
      </c>
      <c r="AD21" s="283">
        <f t="shared" si="14"/>
        <v>213</v>
      </c>
      <c r="AE21" s="283">
        <f t="shared" si="15"/>
        <v>229</v>
      </c>
      <c r="AF21" s="283">
        <f t="shared" si="16"/>
        <v>0.93013100436681218</v>
      </c>
      <c r="AG21" s="283">
        <f t="shared" si="6"/>
        <v>0.63931611148774525</v>
      </c>
      <c r="AH21" s="283">
        <f t="shared" si="17"/>
        <v>1.7731024562210813</v>
      </c>
      <c r="AI21" s="436">
        <f t="shared" si="18"/>
        <v>0.88901534737496779</v>
      </c>
      <c r="AJ21" s="436">
        <f t="shared" si="19"/>
        <v>0.95953914331986101</v>
      </c>
      <c r="AK21" s="283">
        <f t="shared" si="20"/>
        <v>213</v>
      </c>
      <c r="AL21" s="283">
        <f t="shared" si="21"/>
        <v>269</v>
      </c>
      <c r="AM21" s="283">
        <f t="shared" si="22"/>
        <v>0.79182156133828996</v>
      </c>
      <c r="AN21" s="283">
        <f t="shared" si="7"/>
        <v>0.75513479610058654</v>
      </c>
      <c r="AO21" s="283">
        <f t="shared" si="23"/>
        <v>1.3610807427763165</v>
      </c>
      <c r="AP21" s="436">
        <f t="shared" si="24"/>
        <v>0.73834452420337793</v>
      </c>
      <c r="AQ21" s="436">
        <f t="shared" si="25"/>
        <v>0.83874278296594573</v>
      </c>
    </row>
    <row r="22" spans="1:43" ht="15" customHeight="1">
      <c r="A22" s="273">
        <v>2014</v>
      </c>
      <c r="B22" s="450">
        <v>401</v>
      </c>
      <c r="C22" s="293">
        <v>340</v>
      </c>
      <c r="D22" s="448">
        <v>247</v>
      </c>
      <c r="E22" s="27">
        <f t="shared" si="32"/>
        <v>0.84788029925187036</v>
      </c>
      <c r="F22" s="27">
        <f>D22/C22</f>
        <v>0.72647058823529409</v>
      </c>
      <c r="H22" s="53">
        <v>0.1409532304426945</v>
      </c>
      <c r="I22" s="120">
        <v>0.02</v>
      </c>
      <c r="J22" s="27">
        <f t="shared" si="28"/>
        <v>1.0071442085444269</v>
      </c>
      <c r="K22" s="47"/>
      <c r="L22" s="27"/>
      <c r="M22" s="27">
        <f t="shared" si="33"/>
        <v>1.0023757541705134</v>
      </c>
      <c r="N22" s="47"/>
      <c r="O22" s="27"/>
      <c r="P22" s="273">
        <v>2014</v>
      </c>
      <c r="Q22" s="14">
        <f t="shared" si="34"/>
        <v>-7.1442085444268777E-3</v>
      </c>
      <c r="R22" s="50"/>
      <c r="S22" s="14"/>
      <c r="T22" s="14">
        <f t="shared" si="35"/>
        <v>-2.3757541705133889E-3</v>
      </c>
      <c r="U22" s="50"/>
      <c r="V22" s="14"/>
      <c r="W22" s="449">
        <f t="shared" si="8"/>
        <v>340</v>
      </c>
      <c r="X22" s="451">
        <f t="shared" si="9"/>
        <v>401</v>
      </c>
      <c r="Y22" s="451">
        <f t="shared" si="10"/>
        <v>0.84788029925187036</v>
      </c>
      <c r="Z22" s="451">
        <f t="shared" si="5"/>
        <v>0.77201178044922236</v>
      </c>
      <c r="AA22" s="451">
        <f t="shared" si="11"/>
        <v>1.3319622106160829</v>
      </c>
      <c r="AB22" s="445">
        <f t="shared" si="12"/>
        <v>0.80892740789302731</v>
      </c>
      <c r="AC22" s="445">
        <f t="shared" si="13"/>
        <v>0.88159917522431497</v>
      </c>
      <c r="AD22" s="451">
        <f t="shared" si="14"/>
        <v>247</v>
      </c>
      <c r="AE22" s="451">
        <f t="shared" si="15"/>
        <v>340</v>
      </c>
      <c r="AF22" s="451">
        <f t="shared" si="16"/>
        <v>0.72647058823529409</v>
      </c>
      <c r="AG22" s="451">
        <f t="shared" si="6"/>
        <v>0.79321654831880695</v>
      </c>
      <c r="AH22" s="451">
        <f t="shared" si="17"/>
        <v>1.2782134145110675</v>
      </c>
      <c r="AI22" s="445">
        <f t="shared" si="18"/>
        <v>0.67577764530442774</v>
      </c>
      <c r="AJ22" s="445">
        <f t="shared" si="19"/>
        <v>0.77316903147020188</v>
      </c>
      <c r="AK22" s="451">
        <f t="shared" si="20"/>
        <v>247</v>
      </c>
      <c r="AL22" s="451">
        <f t="shared" si="21"/>
        <v>401</v>
      </c>
      <c r="AM22" s="451">
        <f t="shared" si="22"/>
        <v>0.61596009975062349</v>
      </c>
      <c r="AN22" s="451">
        <f t="shared" si="7"/>
        <v>0.81970958351712442</v>
      </c>
      <c r="AO22" s="451">
        <f t="shared" si="23"/>
        <v>1.2260518589150393</v>
      </c>
      <c r="AP22" s="445">
        <f t="shared" si="24"/>
        <v>0.56639507824009971</v>
      </c>
      <c r="AQ22" s="445">
        <f t="shared" si="25"/>
        <v>0.66380013420023365</v>
      </c>
    </row>
    <row r="23" spans="1:43" s="525" customFormat="1" ht="15" customHeight="1">
      <c r="A23" s="517">
        <v>2015</v>
      </c>
      <c r="B23" s="518">
        <v>560</v>
      </c>
      <c r="C23" s="519">
        <v>505</v>
      </c>
      <c r="D23" s="520"/>
      <c r="E23" s="521">
        <f t="shared" ref="E23" si="36">C23/B23</f>
        <v>0.9017857142857143</v>
      </c>
      <c r="F23" s="27">
        <f>D23/C23</f>
        <v>0</v>
      </c>
      <c r="H23" s="521">
        <v>0.15498558622596059</v>
      </c>
      <c r="I23" s="521">
        <v>0.02</v>
      </c>
      <c r="J23" s="521">
        <f t="shared" ref="J23" si="37">(C23/B23)/((1-H23)*(1-I23))</f>
        <v>1.0889630867518441</v>
      </c>
      <c r="K23" s="521"/>
      <c r="L23" s="521"/>
      <c r="M23" s="521">
        <f t="shared" ref="M23" si="38">J23^(1/3)</f>
        <v>1.028816023139415</v>
      </c>
      <c r="N23" s="521"/>
      <c r="O23" s="521"/>
      <c r="P23" s="517">
        <v>2015</v>
      </c>
      <c r="Q23" s="521">
        <f t="shared" ref="Q23" si="39">1-J23</f>
        <v>-8.8963086751844056E-2</v>
      </c>
      <c r="R23" s="521"/>
      <c r="S23" s="521"/>
      <c r="T23" s="521">
        <f t="shared" ref="T23" si="40">1-M23</f>
        <v>-2.8816023139415003E-2</v>
      </c>
      <c r="U23" s="521"/>
      <c r="V23" s="521"/>
      <c r="W23" s="522">
        <f t="shared" ref="W23" si="41">C23</f>
        <v>505</v>
      </c>
      <c r="X23" s="523">
        <f t="shared" ref="X23" si="42">B23</f>
        <v>560</v>
      </c>
      <c r="Y23" s="523">
        <f t="shared" ref="Y23" si="43">W23/X23</f>
        <v>0.9017857142857143</v>
      </c>
      <c r="Z23" s="523">
        <f t="shared" ref="Z23" si="44">_xlfn.F.INV(0.05/2, 2*W23, 2*(X23-W23+1))</f>
        <v>0.76976814053211329</v>
      </c>
      <c r="AA23" s="523">
        <f t="shared" ref="AA23" si="45">_xlfn.F.INV(1-0.05/2, 2*(W23+1), 2*(X23-W23))</f>
        <v>1.3435355895515035</v>
      </c>
      <c r="AB23" s="524">
        <f t="shared" ref="AB23" si="46">IF(W23=0, 0, 1/(1 +(X23-W23+1)/(W23*Z23)))</f>
        <v>0.87408172721460886</v>
      </c>
      <c r="AC23" s="524">
        <f t="shared" ref="AC23" si="47">IF(W23=X23, 1, 1/(1 + (X23-W23)/(AA23*(W23+1))))</f>
        <v>0.92515265540991254</v>
      </c>
      <c r="AD23" s="523">
        <f t="shared" ref="AD23" si="48">D23</f>
        <v>0</v>
      </c>
      <c r="AE23" s="523">
        <f t="shared" ref="AE23" si="49">C23</f>
        <v>505</v>
      </c>
      <c r="AF23" s="523">
        <f t="shared" ref="AF23" si="50">AD23/AE23</f>
        <v>0</v>
      </c>
      <c r="AG23" s="523" t="e">
        <f t="shared" ref="AG23" si="51">_xlfn.F.INV(0.05/2, 2*AD23, 2*(AE23-AD23+1))</f>
        <v>#NUM!</v>
      </c>
      <c r="AH23" s="523">
        <f t="shared" ref="AH23" si="52">_xlfn.F.INV(1-0.05/2, 2*(AD23+1), 2*(AE23-AD23))</f>
        <v>3.702385420437035</v>
      </c>
      <c r="AI23" s="524">
        <f t="shared" ref="AI23" si="53">IF(AD23=0, 0, 1/(1 +(AE23-AD23+1)/(AD23*AG23)))</f>
        <v>0</v>
      </c>
      <c r="AJ23" s="524">
        <f t="shared" ref="AJ23" si="54">IF(AD23=AE23, 1, 1/(1 + (AE23-AD23)/(AH23*(AD23+1))))</f>
        <v>7.2780972264894208E-3</v>
      </c>
      <c r="AK23" s="523">
        <f t="shared" ref="AK23" si="55">D23</f>
        <v>0</v>
      </c>
      <c r="AL23" s="523">
        <f t="shared" ref="AL23" si="56">B23</f>
        <v>560</v>
      </c>
      <c r="AM23" s="523">
        <f t="shared" ref="AM23" si="57">AK23/AL23</f>
        <v>0</v>
      </c>
      <c r="AN23" s="523" t="e">
        <f t="shared" ref="AN23" si="58">_xlfn.F.INV(0.05/2, 2*AK23, 2*(AL23-AK23+1))</f>
        <v>#NUM!</v>
      </c>
      <c r="AO23" s="523">
        <f t="shared" ref="AO23" si="59">_xlfn.F.INV(1-0.05/2, 2*(AK23+1), 2*(AL23-AK23))</f>
        <v>3.7010560259461078</v>
      </c>
      <c r="AP23" s="524">
        <f t="shared" ref="AP23" si="60">IF(AK23=0, 0, 1/(1 +(AL23-AK23+1)/(AK23*AN23)))</f>
        <v>0</v>
      </c>
      <c r="AQ23" s="524">
        <f t="shared" ref="AQ23" si="61">IF(AK23=AL23, 1, 1/(1 + (AL23-AK23)/(AO23*(AK23+1))))</f>
        <v>6.5656361406137851E-3</v>
      </c>
    </row>
    <row r="24" spans="1:43" ht="15" customHeight="1">
      <c r="A24" s="273">
        <v>2016</v>
      </c>
      <c r="B24" s="450">
        <v>303</v>
      </c>
      <c r="C24" s="293">
        <v>225</v>
      </c>
      <c r="D24" s="448"/>
      <c r="E24" s="27">
        <f t="shared" ref="E24:E27" si="62">C24/B24</f>
        <v>0.74257425742574257</v>
      </c>
      <c r="F24" s="27">
        <f>D24/C24</f>
        <v>0</v>
      </c>
      <c r="H24" s="53">
        <v>0.15696192216802674</v>
      </c>
      <c r="I24" s="120">
        <v>0.02</v>
      </c>
      <c r="J24" s="27">
        <f t="shared" ref="J24" si="63">(C24/B24)/((1-H24)*(1-I24))</f>
        <v>0.89880736592176125</v>
      </c>
      <c r="K24" s="47"/>
      <c r="L24" s="27"/>
      <c r="M24" s="27">
        <f t="shared" ref="M24" si="64">J24^(1/3)</f>
        <v>0.96506272366393286</v>
      </c>
      <c r="N24" s="47"/>
      <c r="O24" s="27"/>
      <c r="P24" s="273">
        <v>2016</v>
      </c>
      <c r="Q24" s="14">
        <f t="shared" ref="Q24" si="65">1-J24</f>
        <v>0.10119263407823875</v>
      </c>
      <c r="R24" s="50"/>
      <c r="S24" s="14"/>
      <c r="T24" s="14">
        <f t="shared" ref="T24" si="66">1-M24</f>
        <v>3.4937276336067136E-2</v>
      </c>
      <c r="U24" s="50"/>
      <c r="V24" s="14"/>
      <c r="W24" s="449">
        <f t="shared" ref="W24" si="67">C24</f>
        <v>225</v>
      </c>
      <c r="X24" s="451">
        <f t="shared" ref="X24" si="68">B24</f>
        <v>303</v>
      </c>
      <c r="Y24" s="451">
        <f t="shared" ref="Y24" si="69">W24/X24</f>
        <v>0.74257425742574257</v>
      </c>
      <c r="Z24" s="451">
        <f t="shared" ref="Z24" si="70">_xlfn.F.INV(0.05/2, 2*W24, 2*(X24-W24+1))</f>
        <v>0.77956506161167027</v>
      </c>
      <c r="AA24" s="451">
        <f t="shared" ref="AA24" si="71">_xlfn.F.INV(1-0.05/2, 2*(W24+1), 2*(X24-W24))</f>
        <v>1.3051734821383143</v>
      </c>
      <c r="AB24" s="445">
        <f t="shared" ref="AB24" si="72">IF(W24=0, 0, 1/(1 +(X24-W24+1)/(W24*Z24)))</f>
        <v>0.68946801959609672</v>
      </c>
      <c r="AC24" s="445">
        <f t="shared" ref="AC24" si="73">IF(W24=X24, 1, 1/(1 + (X24-W24)/(AA24*(W24+1))))</f>
        <v>0.7908674535490976</v>
      </c>
      <c r="AD24" s="451">
        <f t="shared" ref="AD24" si="74">D24</f>
        <v>0</v>
      </c>
      <c r="AE24" s="451">
        <f t="shared" ref="AE24" si="75">C24</f>
        <v>225</v>
      </c>
      <c r="AF24" s="451">
        <f t="shared" ref="AF24" si="76">AD24/AE24</f>
        <v>0</v>
      </c>
      <c r="AG24" s="451" t="e">
        <f t="shared" ref="AG24" si="77">_xlfn.F.INV(0.05/2, 2*AD24, 2*(AE24-AD24+1))</f>
        <v>#NUM!</v>
      </c>
      <c r="AH24" s="451">
        <f t="shared" ref="AH24" si="78">_xlfn.F.INV(1-0.05/2, 2*(AD24+1), 2*(AE24-AD24))</f>
        <v>3.7192850192928071</v>
      </c>
      <c r="AI24" s="445">
        <f t="shared" ref="AI24" si="79">IF(AD24=0, 0, 1/(1 +(AE24-AD24+1)/(AD24*AG24)))</f>
        <v>0</v>
      </c>
      <c r="AJ24" s="445">
        <f t="shared" ref="AJ24" si="80">IF(AD24=AE24, 1, 1/(1 + (AE24-AD24)/(AH24*(AD24+1))))</f>
        <v>1.6261352946163155E-2</v>
      </c>
      <c r="AK24" s="451">
        <f t="shared" ref="AK24" si="81">D24</f>
        <v>0</v>
      </c>
      <c r="AL24" s="451">
        <f t="shared" ref="AL24" si="82">B24</f>
        <v>303</v>
      </c>
      <c r="AM24" s="451">
        <f t="shared" ref="AM24" si="83">AK24/AL24</f>
        <v>0</v>
      </c>
      <c r="AN24" s="451" t="e">
        <f t="shared" ref="AN24" si="84">_xlfn.F.INV(0.05/2, 2*AK24, 2*(AL24-AK24+1))</f>
        <v>#NUM!</v>
      </c>
      <c r="AO24" s="451">
        <f t="shared" ref="AO24" si="85">_xlfn.F.INV(1-0.05/2, 2*(AK24+1), 2*(AL24-AK24))</f>
        <v>3.7114260268088213</v>
      </c>
      <c r="AP24" s="445">
        <f t="shared" ref="AP24" si="86">IF(AK24=0, 0, 1/(1 +(AL24-AK24+1)/(AK24*AN24)))</f>
        <v>0</v>
      </c>
      <c r="AQ24" s="445">
        <f t="shared" ref="AQ24" si="87">IF(AK24=AL24, 1, 1/(1 + (AL24-AK24)/(AO24*(AK24+1))))</f>
        <v>1.210071002207924E-2</v>
      </c>
    </row>
    <row r="25" spans="1:43" ht="15" customHeight="1">
      <c r="A25" s="273">
        <v>2017</v>
      </c>
      <c r="B25" s="450">
        <v>270</v>
      </c>
      <c r="C25" s="293">
        <v>205</v>
      </c>
      <c r="D25" s="448"/>
      <c r="E25" s="27">
        <f t="shared" si="62"/>
        <v>0.7592592592592593</v>
      </c>
      <c r="F25" s="27">
        <f>D25/C25</f>
        <v>0</v>
      </c>
      <c r="H25" s="53">
        <v>8.4737538597265114E-2</v>
      </c>
      <c r="I25" s="120">
        <v>0.02</v>
      </c>
      <c r="J25" s="27">
        <f t="shared" ref="J25:J34" si="88">(C25/B25)/((1-H25)*(1-I25))</f>
        <v>0.84648325355278542</v>
      </c>
      <c r="K25" s="47"/>
      <c r="L25" s="27"/>
      <c r="M25" s="27">
        <f t="shared" ref="M25:M34" si="89">J25^(1/3)</f>
        <v>0.94596003834279807</v>
      </c>
      <c r="N25" s="47"/>
      <c r="O25" s="27"/>
      <c r="P25" s="273">
        <v>2017</v>
      </c>
      <c r="Q25" s="14">
        <f t="shared" ref="Q25:Q34" si="90">1-J25</f>
        <v>0.15351674644721458</v>
      </c>
      <c r="R25" s="50"/>
      <c r="S25" s="14"/>
      <c r="T25" s="14">
        <f t="shared" ref="T25:T34" si="91">1-M25</f>
        <v>5.4039961657201929E-2</v>
      </c>
      <c r="U25" s="50"/>
      <c r="V25" s="14"/>
      <c r="W25" s="449">
        <f t="shared" ref="W25:W34" si="92">C25</f>
        <v>205</v>
      </c>
      <c r="X25" s="451">
        <f t="shared" ref="X25:X34" si="93">B25</f>
        <v>270</v>
      </c>
      <c r="Y25" s="451">
        <f t="shared" ref="Y25:Y34" si="94">W25/X25</f>
        <v>0.7592592592592593</v>
      </c>
      <c r="Z25" s="451">
        <f t="shared" ref="Z25:Z34" si="95">_xlfn.F.INV(0.05/2, 2*W25, 2*(X25-W25+1))</f>
        <v>0.76469379138875027</v>
      </c>
      <c r="AA25" s="451">
        <f t="shared" ref="AA25:AA34" si="96">_xlfn.F.INV(1-0.05/2, 2*(W25+1), 2*(X25-W25))</f>
        <v>1.3365593383027512</v>
      </c>
      <c r="AB25" s="445">
        <f t="shared" ref="AB25:AB34" si="97">IF(W25=0, 0, 1/(1 +(X25-W25+1)/(W25*Z25)))</f>
        <v>0.70371996716272323</v>
      </c>
      <c r="AC25" s="445">
        <f t="shared" ref="AC25:AC34" si="98">IF(W25=X25, 1, 1/(1 + (X25-W25)/(AA25*(W25+1))))</f>
        <v>0.80900958984845595</v>
      </c>
      <c r="AD25" s="451">
        <f t="shared" ref="AD25:AD34" si="99">D25</f>
        <v>0</v>
      </c>
      <c r="AE25" s="451">
        <f t="shared" ref="AE25:AE34" si="100">C25</f>
        <v>205</v>
      </c>
      <c r="AF25" s="451">
        <f t="shared" ref="AF25:AF34" si="101">AD25/AE25</f>
        <v>0</v>
      </c>
      <c r="AG25" s="451" t="e">
        <f t="shared" ref="AG25:AG34" si="102">_xlfn.F.INV(0.05/2, 2*AD25, 2*(AE25-AD25+1))</f>
        <v>#NUM!</v>
      </c>
      <c r="AH25" s="451">
        <f t="shared" ref="AH25:AH34" si="103">_xlfn.F.INV(1-0.05/2, 2*(AD25+1), 2*(AE25-AD25))</f>
        <v>3.7222692646913025</v>
      </c>
      <c r="AI25" s="445">
        <f t="shared" ref="AI25:AI34" si="104">IF(AD25=0, 0, 1/(1 +(AE25-AD25+1)/(AD25*AG25)))</f>
        <v>0</v>
      </c>
      <c r="AJ25" s="445">
        <f t="shared" ref="AJ25:AJ34" si="105">IF(AD25=AE25, 1, 1/(1 + (AE25-AD25)/(AH25*(AD25+1))))</f>
        <v>1.78335990587133E-2</v>
      </c>
      <c r="AK25" s="451">
        <f t="shared" ref="AK25:AK34" si="106">D25</f>
        <v>0</v>
      </c>
      <c r="AL25" s="451">
        <f t="shared" ref="AL25:AL34" si="107">B25</f>
        <v>270</v>
      </c>
      <c r="AM25" s="451">
        <f t="shared" ref="AM25:AM34" si="108">AK25/AL25</f>
        <v>0</v>
      </c>
      <c r="AN25" s="451" t="e">
        <f t="shared" ref="AN25:AN34" si="109">_xlfn.F.INV(0.05/2, 2*AK25, 2*(AL25-AK25+1))</f>
        <v>#NUM!</v>
      </c>
      <c r="AO25" s="451">
        <f t="shared" ref="AO25:AO34" si="110">_xlfn.F.INV(1-0.05/2, 2*(AK25+1), 2*(AL25-AK25))</f>
        <v>3.7141942990945025</v>
      </c>
      <c r="AP25" s="445">
        <f t="shared" ref="AP25:AP34" si="111">IF(AK25=0, 0, 1/(1 +(AL25-AK25+1)/(AK25*AN25)))</f>
        <v>0</v>
      </c>
      <c r="AQ25" s="445">
        <f t="shared" ref="AQ25:AQ34" si="112">IF(AK25=AL25, 1, 1/(1 + (AL25-AK25)/(AO25*(AK25+1))))</f>
        <v>1.3569607921158473E-2</v>
      </c>
    </row>
    <row r="26" spans="1:43" ht="15" customHeight="1">
      <c r="A26" s="273">
        <v>2018</v>
      </c>
      <c r="B26" s="509">
        <v>255</v>
      </c>
      <c r="C26" s="510">
        <v>195</v>
      </c>
      <c r="E26" s="27">
        <f t="shared" si="62"/>
        <v>0.76470588235294112</v>
      </c>
      <c r="F26" s="27">
        <f>D26/C26</f>
        <v>0</v>
      </c>
      <c r="H26" s="53">
        <v>0.1</v>
      </c>
      <c r="I26" s="120">
        <v>0.02</v>
      </c>
      <c r="J26" s="27">
        <f t="shared" si="88"/>
        <v>0.86701347205548884</v>
      </c>
      <c r="K26" s="47"/>
      <c r="L26" s="27"/>
      <c r="M26" s="27">
        <f t="shared" si="89"/>
        <v>0.95354665850458586</v>
      </c>
      <c r="N26" s="47"/>
      <c r="O26" s="27"/>
      <c r="P26" s="273">
        <v>2018</v>
      </c>
      <c r="Q26" s="14">
        <f t="shared" si="90"/>
        <v>0.13298652794451116</v>
      </c>
      <c r="R26" s="50"/>
      <c r="S26" s="14"/>
      <c r="T26" s="14">
        <f t="shared" si="91"/>
        <v>4.6453341495414135E-2</v>
      </c>
      <c r="U26" s="50"/>
      <c r="V26" s="14"/>
      <c r="W26" s="449">
        <f t="shared" si="92"/>
        <v>195</v>
      </c>
      <c r="X26" s="451">
        <f t="shared" si="93"/>
        <v>255</v>
      </c>
      <c r="Y26" s="451">
        <f t="shared" si="94"/>
        <v>0.76470588235294112</v>
      </c>
      <c r="Z26" s="451">
        <f t="shared" si="95"/>
        <v>0.75762515835130506</v>
      </c>
      <c r="AA26" s="451">
        <f t="shared" si="96"/>
        <v>1.3519925563988977</v>
      </c>
      <c r="AB26" s="445">
        <f t="shared" si="97"/>
        <v>0.7077661003775485</v>
      </c>
      <c r="AC26" s="445">
        <f t="shared" si="98"/>
        <v>0.81537924209924473</v>
      </c>
      <c r="AD26" s="451">
        <f>D27</f>
        <v>112</v>
      </c>
      <c r="AE26" s="451">
        <f t="shared" si="100"/>
        <v>195</v>
      </c>
      <c r="AF26" s="451">
        <f t="shared" si="101"/>
        <v>0.57435897435897432</v>
      </c>
      <c r="AG26" s="451">
        <f t="shared" si="102"/>
        <v>0.7551504502173968</v>
      </c>
      <c r="AH26" s="451">
        <f t="shared" si="103"/>
        <v>1.3328554083403943</v>
      </c>
      <c r="AI26" s="445">
        <f t="shared" si="104"/>
        <v>0.50171094199143107</v>
      </c>
      <c r="AJ26" s="445">
        <f t="shared" si="105"/>
        <v>0.64471103751785142</v>
      </c>
      <c r="AK26" s="451">
        <f>D27</f>
        <v>112</v>
      </c>
      <c r="AL26" s="451">
        <f t="shared" si="107"/>
        <v>255</v>
      </c>
      <c r="AM26" s="451">
        <f t="shared" si="108"/>
        <v>0.4392156862745098</v>
      </c>
      <c r="AN26" s="451">
        <f t="shared" si="109"/>
        <v>0.77923911071198371</v>
      </c>
      <c r="AO26" s="451">
        <f t="shared" si="110"/>
        <v>1.2781889866479348</v>
      </c>
      <c r="AP26" s="445">
        <f t="shared" si="111"/>
        <v>0.3773640180260634</v>
      </c>
      <c r="AQ26" s="445">
        <f t="shared" si="112"/>
        <v>0.50249683183330673</v>
      </c>
    </row>
    <row r="27" spans="1:43" ht="15" customHeight="1">
      <c r="A27" s="273">
        <v>2019</v>
      </c>
      <c r="B27" s="509">
        <f>D66</f>
        <v>237</v>
      </c>
      <c r="C27" s="510">
        <v>181</v>
      </c>
      <c r="D27" s="511">
        <f>I66</f>
        <v>112</v>
      </c>
      <c r="E27" s="27">
        <f t="shared" si="62"/>
        <v>0.76371308016877637</v>
      </c>
      <c r="F27" s="27">
        <f>D27/C27</f>
        <v>0.61878453038674031</v>
      </c>
      <c r="G27">
        <f>D27/B27</f>
        <v>0.47257383966244726</v>
      </c>
      <c r="H27" s="53">
        <v>6.6000000000000003E-2</v>
      </c>
      <c r="I27" s="120">
        <v>0.02</v>
      </c>
      <c r="J27" s="27">
        <f t="shared" si="88"/>
        <v>0.83436730342260246</v>
      </c>
      <c r="K27" s="47"/>
      <c r="L27" s="27"/>
      <c r="M27" s="27">
        <f t="shared" si="89"/>
        <v>0.94142506926563241</v>
      </c>
      <c r="N27" s="47"/>
      <c r="O27" s="27"/>
      <c r="P27" s="273">
        <v>2019</v>
      </c>
      <c r="Q27" s="14">
        <f t="shared" si="90"/>
        <v>0.16563269657739754</v>
      </c>
      <c r="R27" s="50"/>
      <c r="S27" s="14"/>
      <c r="T27" s="14">
        <f t="shared" si="91"/>
        <v>5.8574930734367592E-2</v>
      </c>
      <c r="U27" s="50"/>
      <c r="V27" s="14"/>
      <c r="W27" s="449">
        <f t="shared" si="92"/>
        <v>181</v>
      </c>
      <c r="X27" s="451">
        <f t="shared" si="93"/>
        <v>237</v>
      </c>
      <c r="Y27" s="451">
        <f t="shared" si="94"/>
        <v>0.76371308016877637</v>
      </c>
      <c r="Z27" s="451">
        <f t="shared" si="95"/>
        <v>0.75044090637811001</v>
      </c>
      <c r="AA27" s="451">
        <f t="shared" si="96"/>
        <v>1.3672668562904062</v>
      </c>
      <c r="AB27" s="445">
        <f t="shared" si="97"/>
        <v>0.70440254150801151</v>
      </c>
      <c r="AC27" s="445">
        <f t="shared" si="98"/>
        <v>0.81629862129851716</v>
      </c>
      <c r="AD27" s="451">
        <f>D28</f>
        <v>134</v>
      </c>
      <c r="AE27" s="451">
        <f t="shared" si="100"/>
        <v>181</v>
      </c>
      <c r="AF27" s="451">
        <f t="shared" si="101"/>
        <v>0.74033149171270718</v>
      </c>
      <c r="AG27" s="451">
        <f t="shared" si="102"/>
        <v>0.72750345393150018</v>
      </c>
      <c r="AH27" s="451">
        <f t="shared" si="103"/>
        <v>1.4150087317129214</v>
      </c>
      <c r="AI27" s="445">
        <f t="shared" si="104"/>
        <v>0.67007012888197004</v>
      </c>
      <c r="AJ27" s="445">
        <f t="shared" si="105"/>
        <v>0.80254272769217161</v>
      </c>
      <c r="AK27" s="451">
        <f>D28</f>
        <v>134</v>
      </c>
      <c r="AL27" s="451">
        <f t="shared" si="107"/>
        <v>237</v>
      </c>
      <c r="AM27" s="451">
        <f t="shared" si="108"/>
        <v>0.56540084388185652</v>
      </c>
      <c r="AN27" s="451">
        <f t="shared" si="109"/>
        <v>0.77517903493094453</v>
      </c>
      <c r="AO27" s="451">
        <f t="shared" si="110"/>
        <v>1.2960280715797312</v>
      </c>
      <c r="AP27" s="445">
        <f t="shared" si="111"/>
        <v>0.49969690936600397</v>
      </c>
      <c r="AQ27" s="445">
        <f t="shared" si="112"/>
        <v>0.62944813738228911</v>
      </c>
    </row>
    <row r="28" spans="1:43" ht="15" customHeight="1">
      <c r="A28" s="273">
        <v>2020</v>
      </c>
      <c r="B28" s="509">
        <f t="shared" ref="B28:B33" si="113">D67</f>
        <v>176</v>
      </c>
      <c r="C28" s="510">
        <f>G67</f>
        <v>139</v>
      </c>
      <c r="D28" s="511">
        <f>I67</f>
        <v>134</v>
      </c>
      <c r="E28" s="27">
        <f t="shared" ref="E28:E31" si="114">C28/B28</f>
        <v>0.78977272727272729</v>
      </c>
      <c r="F28" s="27">
        <f>D28/C28</f>
        <v>0.96402877697841727</v>
      </c>
      <c r="G28">
        <f t="shared" ref="G28:G31" si="115">D28/B28</f>
        <v>0.76136363636363635</v>
      </c>
      <c r="H28" s="53">
        <v>5.8999999999999997E-2</v>
      </c>
      <c r="I28" s="120">
        <v>0.02</v>
      </c>
      <c r="J28" s="27">
        <f t="shared" ref="J28:J31" si="116">(C28/B28)/((1-H28)*(1-I28))</f>
        <v>0.85641927527459638</v>
      </c>
      <c r="K28" s="47"/>
      <c r="L28" s="27"/>
      <c r="M28" s="27">
        <f t="shared" ref="M28:M30" si="117">J28^(1/3)</f>
        <v>0.94964687716926632</v>
      </c>
      <c r="N28" s="47"/>
      <c r="O28" s="27"/>
      <c r="P28" s="273">
        <v>2020</v>
      </c>
      <c r="Q28" s="14">
        <f t="shared" ref="Q28:Q30" si="118">1-J28</f>
        <v>0.14358072472540362</v>
      </c>
      <c r="R28" s="50"/>
      <c r="S28" s="14"/>
      <c r="T28" s="14">
        <f t="shared" ref="T28:T30" si="119">1-M28</f>
        <v>5.0353122830733676E-2</v>
      </c>
      <c r="U28" s="50"/>
      <c r="V28" s="14"/>
      <c r="W28" s="449">
        <f t="shared" ref="W28:W30" si="120">C28</f>
        <v>139</v>
      </c>
      <c r="X28" s="451">
        <f t="shared" ref="X28:X30" si="121">B28</f>
        <v>176</v>
      </c>
      <c r="Y28" s="451">
        <f t="shared" ref="Y28:Y30" si="122">W28/X28</f>
        <v>0.78977272727272729</v>
      </c>
      <c r="Z28" s="451">
        <f t="shared" ref="Z28:Z30" si="123">_xlfn.F.INV(0.05/2, 2*W28, 2*(X28-W28+1))</f>
        <v>0.71024522981926053</v>
      </c>
      <c r="AA28" s="451">
        <f t="shared" ref="AA28:AA30" si="124">_xlfn.F.INV(1-0.05/2, 2*(W28+1), 2*(X28-W28))</f>
        <v>1.4681854155910343</v>
      </c>
      <c r="AB28" s="445">
        <f t="shared" ref="AB28:AB30" si="125">IF(W28=0, 0, 1/(1 +(X28-W28+1)/(W28*Z28)))</f>
        <v>0.7220679921942329</v>
      </c>
      <c r="AC28" s="445">
        <f t="shared" ref="AC28:AC30" si="126">IF(W28=X28, 1, 1/(1 + (X28-W28)/(AA28*(W28+1))))</f>
        <v>0.84745159112434032</v>
      </c>
      <c r="AD28" s="451">
        <f t="shared" ref="AD28:AD30" si="127">D29</f>
        <v>199</v>
      </c>
      <c r="AE28" s="451">
        <f t="shared" ref="AE28:AE30" si="128">C28</f>
        <v>139</v>
      </c>
      <c r="AF28" s="451">
        <f t="shared" ref="AF28:AF30" si="129">AD28/AE28</f>
        <v>1.4316546762589928</v>
      </c>
      <c r="AG28" s="451" t="e">
        <f t="shared" ref="AG28:AG30" si="130">_xlfn.F.INV(0.05/2, 2*AD28, 2*(AE28-AD28+1))</f>
        <v>#NUM!</v>
      </c>
      <c r="AH28" s="451" t="e">
        <f t="shared" ref="AH28:AH30" si="131">_xlfn.F.INV(1-0.05/2, 2*(AD28+1), 2*(AE28-AD28))</f>
        <v>#NUM!</v>
      </c>
      <c r="AI28" s="445" t="e">
        <f t="shared" ref="AI28:AI30" si="132">IF(AD28=0, 0, 1/(1 +(AE28-AD28+1)/(AD28*AG28)))</f>
        <v>#NUM!</v>
      </c>
      <c r="AJ28" s="445" t="e">
        <f t="shared" ref="AJ28:AJ30" si="133">IF(AD28=AE28, 1, 1/(1 + (AE28-AD28)/(AH28*(AD28+1))))</f>
        <v>#NUM!</v>
      </c>
      <c r="AK28" s="451">
        <f t="shared" ref="AK28:AK30" si="134">D29</f>
        <v>199</v>
      </c>
      <c r="AL28" s="451">
        <f t="shared" ref="AL28:AL30" si="135">B28</f>
        <v>176</v>
      </c>
      <c r="AM28" s="451">
        <f t="shared" ref="AM28:AM30" si="136">AK28/AL28</f>
        <v>1.1306818181818181</v>
      </c>
      <c r="AN28" s="451" t="e">
        <f t="shared" ref="AN28:AN30" si="137">_xlfn.F.INV(0.05/2, 2*AK28, 2*(AL28-AK28+1))</f>
        <v>#NUM!</v>
      </c>
      <c r="AO28" s="451" t="e">
        <f t="shared" ref="AO28:AO30" si="138">_xlfn.F.INV(1-0.05/2, 2*(AK28+1), 2*(AL28-AK28))</f>
        <v>#NUM!</v>
      </c>
      <c r="AP28" s="445" t="e">
        <f t="shared" ref="AP28:AP30" si="139">IF(AK28=0, 0, 1/(1 +(AL28-AK28+1)/(AK28*AN28)))</f>
        <v>#NUM!</v>
      </c>
      <c r="AQ28" s="445" t="e">
        <f t="shared" ref="AQ28:AQ30" si="140">IF(AK28=AL28, 1, 1/(1 + (AL28-AK28)/(AO28*(AK28+1))))</f>
        <v>#NUM!</v>
      </c>
    </row>
    <row r="29" spans="1:43" ht="15" customHeight="1">
      <c r="A29" s="273">
        <v>2021</v>
      </c>
      <c r="B29" s="509">
        <f t="shared" si="113"/>
        <v>238</v>
      </c>
      <c r="C29" s="510">
        <f t="shared" ref="C29:C30" si="141">G68</f>
        <v>199</v>
      </c>
      <c r="D29" s="511">
        <f>I68</f>
        <v>199</v>
      </c>
      <c r="E29" s="27">
        <f t="shared" si="114"/>
        <v>0.83613445378151263</v>
      </c>
      <c r="F29" s="27">
        <f>D29/C29</f>
        <v>1</v>
      </c>
      <c r="G29">
        <f t="shared" si="115"/>
        <v>0.83613445378151263</v>
      </c>
      <c r="H29" s="53">
        <v>6.3E-2</v>
      </c>
      <c r="I29" s="120">
        <v>0.02</v>
      </c>
      <c r="J29" s="27">
        <f t="shared" si="116"/>
        <v>0.91056395114838129</v>
      </c>
      <c r="K29" s="47"/>
      <c r="L29" s="27"/>
      <c r="M29" s="27">
        <f t="shared" si="117"/>
        <v>0.96925224944044874</v>
      </c>
      <c r="N29" s="47"/>
      <c r="O29" s="27"/>
      <c r="P29" s="273">
        <v>2021</v>
      </c>
      <c r="Q29" s="14">
        <f t="shared" si="118"/>
        <v>8.943604885161871E-2</v>
      </c>
      <c r="R29" s="50"/>
      <c r="S29" s="14"/>
      <c r="T29" s="14">
        <f t="shared" si="119"/>
        <v>3.0747750559551257E-2</v>
      </c>
      <c r="U29" s="50"/>
      <c r="V29" s="14"/>
      <c r="W29" s="449">
        <f t="shared" si="120"/>
        <v>199</v>
      </c>
      <c r="X29" s="451">
        <f t="shared" si="121"/>
        <v>238</v>
      </c>
      <c r="Y29" s="451">
        <f t="shared" si="122"/>
        <v>0.83613445378151263</v>
      </c>
      <c r="Z29" s="451">
        <f t="shared" si="123"/>
        <v>0.72472972849137696</v>
      </c>
      <c r="AA29" s="451">
        <f t="shared" si="124"/>
        <v>1.4409845437943973</v>
      </c>
      <c r="AB29" s="445">
        <f t="shared" si="125"/>
        <v>0.78286974282831356</v>
      </c>
      <c r="AC29" s="445">
        <f t="shared" si="126"/>
        <v>0.88080571987084344</v>
      </c>
      <c r="AD29" s="451">
        <f t="shared" si="127"/>
        <v>385</v>
      </c>
      <c r="AE29" s="451">
        <f t="shared" si="128"/>
        <v>199</v>
      </c>
      <c r="AF29" s="451">
        <f t="shared" si="129"/>
        <v>1.9346733668341709</v>
      </c>
      <c r="AG29" s="451" t="e">
        <f t="shared" si="130"/>
        <v>#NUM!</v>
      </c>
      <c r="AH29" s="451" t="e">
        <f t="shared" si="131"/>
        <v>#NUM!</v>
      </c>
      <c r="AI29" s="445" t="e">
        <f t="shared" si="132"/>
        <v>#NUM!</v>
      </c>
      <c r="AJ29" s="445" t="e">
        <f t="shared" si="133"/>
        <v>#NUM!</v>
      </c>
      <c r="AK29" s="451">
        <f t="shared" si="134"/>
        <v>385</v>
      </c>
      <c r="AL29" s="451">
        <f t="shared" si="135"/>
        <v>238</v>
      </c>
      <c r="AM29" s="451">
        <f t="shared" si="136"/>
        <v>1.6176470588235294</v>
      </c>
      <c r="AN29" s="451" t="e">
        <f t="shared" si="137"/>
        <v>#NUM!</v>
      </c>
      <c r="AO29" s="451" t="e">
        <f t="shared" si="138"/>
        <v>#NUM!</v>
      </c>
      <c r="AP29" s="445" t="e">
        <f t="shared" si="139"/>
        <v>#NUM!</v>
      </c>
      <c r="AQ29" s="445" t="e">
        <f t="shared" si="140"/>
        <v>#NUM!</v>
      </c>
    </row>
    <row r="30" spans="1:43" ht="15" customHeight="1">
      <c r="A30" s="273">
        <v>2022</v>
      </c>
      <c r="B30" s="509">
        <f t="shared" si="113"/>
        <v>479</v>
      </c>
      <c r="C30" s="510">
        <f t="shared" si="141"/>
        <v>386</v>
      </c>
      <c r="D30" s="511">
        <f>I69</f>
        <v>385</v>
      </c>
      <c r="E30" s="27">
        <f t="shared" si="114"/>
        <v>0.80584551148225469</v>
      </c>
      <c r="F30" s="27">
        <f>D30/C30</f>
        <v>0.99740932642487046</v>
      </c>
      <c r="G30">
        <f t="shared" si="115"/>
        <v>0.80375782881002089</v>
      </c>
      <c r="H30" s="53">
        <v>9.1999999999999998E-2</v>
      </c>
      <c r="I30" s="120">
        <v>0.02</v>
      </c>
      <c r="J30" s="27">
        <f t="shared" si="116"/>
        <v>0.9056072007127739</v>
      </c>
      <c r="K30" s="47"/>
      <c r="L30" s="27"/>
      <c r="M30" s="27">
        <f t="shared" si="117"/>
        <v>0.96749030633933075</v>
      </c>
      <c r="N30" s="47"/>
      <c r="O30" s="27"/>
      <c r="P30" s="273">
        <v>2022</v>
      </c>
      <c r="Q30" s="14">
        <f t="shared" si="118"/>
        <v>9.4392799287226103E-2</v>
      </c>
      <c r="R30" s="50"/>
      <c r="S30" s="14"/>
      <c r="T30" s="14">
        <f t="shared" si="119"/>
        <v>3.2509693660669248E-2</v>
      </c>
      <c r="U30" s="50"/>
      <c r="V30" s="14"/>
      <c r="W30" s="449">
        <f t="shared" si="120"/>
        <v>386</v>
      </c>
      <c r="X30" s="451">
        <f t="shared" si="121"/>
        <v>479</v>
      </c>
      <c r="Y30" s="451">
        <f t="shared" si="122"/>
        <v>0.80584551148225469</v>
      </c>
      <c r="Z30" s="451">
        <f t="shared" si="123"/>
        <v>0.80403747110014567</v>
      </c>
      <c r="AA30" s="451">
        <f t="shared" si="124"/>
        <v>1.2647468440494494</v>
      </c>
      <c r="AB30" s="445">
        <f t="shared" si="125"/>
        <v>0.7675329975629932</v>
      </c>
      <c r="AC30" s="445">
        <f t="shared" si="126"/>
        <v>0.84033156880944593</v>
      </c>
      <c r="AD30" s="451">
        <f t="shared" si="127"/>
        <v>363</v>
      </c>
      <c r="AE30" s="451">
        <f t="shared" si="128"/>
        <v>386</v>
      </c>
      <c r="AF30" s="451">
        <f t="shared" si="129"/>
        <v>0.94041450777202074</v>
      </c>
      <c r="AG30" s="451">
        <f t="shared" si="130"/>
        <v>0.68461407878678393</v>
      </c>
      <c r="AH30" s="451">
        <f t="shared" si="131"/>
        <v>1.5933747900316262</v>
      </c>
      <c r="AI30" s="445">
        <f t="shared" si="132"/>
        <v>0.91193142442300179</v>
      </c>
      <c r="AJ30" s="445">
        <f t="shared" si="133"/>
        <v>0.96185664748956445</v>
      </c>
      <c r="AK30" s="451">
        <f t="shared" si="134"/>
        <v>363</v>
      </c>
      <c r="AL30" s="451">
        <f t="shared" si="135"/>
        <v>479</v>
      </c>
      <c r="AM30" s="451">
        <f t="shared" si="136"/>
        <v>0.75782881002087688</v>
      </c>
      <c r="AN30" s="451">
        <f t="shared" si="137"/>
        <v>0.81618907818874042</v>
      </c>
      <c r="AO30" s="451">
        <f t="shared" si="138"/>
        <v>1.2399995725355912</v>
      </c>
      <c r="AP30" s="445">
        <f t="shared" si="139"/>
        <v>0.71689664988752788</v>
      </c>
      <c r="AQ30" s="445">
        <f t="shared" si="140"/>
        <v>0.79554421916822593</v>
      </c>
    </row>
    <row r="31" spans="1:43" ht="15" customHeight="1">
      <c r="A31" s="273">
        <v>2023</v>
      </c>
      <c r="B31" s="509">
        <v>474</v>
      </c>
      <c r="C31" s="510">
        <v>364</v>
      </c>
      <c r="D31" s="511">
        <v>363</v>
      </c>
      <c r="E31" s="27">
        <f t="shared" si="114"/>
        <v>0.76793248945147674</v>
      </c>
      <c r="F31" s="27">
        <f>D31/C31</f>
        <v>0.99725274725274726</v>
      </c>
      <c r="G31">
        <f t="shared" si="115"/>
        <v>0.76582278481012656</v>
      </c>
      <c r="H31" s="53">
        <v>9.4E-2</v>
      </c>
      <c r="I31" s="120">
        <v>0.02</v>
      </c>
      <c r="J31" s="27">
        <f t="shared" si="116"/>
        <v>0.86490571862354904</v>
      </c>
      <c r="K31" s="47"/>
      <c r="L31" s="27"/>
      <c r="M31" s="27"/>
      <c r="N31" s="47"/>
      <c r="O31" s="27"/>
      <c r="P31" s="273"/>
      <c r="Q31" s="14"/>
      <c r="R31" s="50"/>
      <c r="S31" s="14"/>
      <c r="T31" s="14"/>
      <c r="U31" s="50"/>
      <c r="V31" s="14"/>
      <c r="W31" s="449"/>
      <c r="X31" s="451"/>
      <c r="Y31" s="451"/>
      <c r="Z31" s="451"/>
      <c r="AA31" s="451"/>
      <c r="AB31" s="445"/>
      <c r="AC31" s="445"/>
      <c r="AD31" s="451"/>
      <c r="AE31" s="451"/>
      <c r="AF31" s="451"/>
      <c r="AG31" s="451"/>
      <c r="AH31" s="451"/>
      <c r="AI31" s="445"/>
      <c r="AJ31" s="445"/>
      <c r="AK31" s="451"/>
      <c r="AL31" s="451"/>
      <c r="AM31" s="451"/>
      <c r="AN31" s="451"/>
      <c r="AO31" s="451"/>
      <c r="AP31" s="445"/>
      <c r="AQ31" s="445"/>
    </row>
    <row r="32" spans="1:43" ht="15" customHeight="1">
      <c r="A32" s="273">
        <v>2024</v>
      </c>
      <c r="B32" s="509">
        <f t="shared" si="113"/>
        <v>0</v>
      </c>
      <c r="C32" s="510"/>
      <c r="D32" s="511"/>
      <c r="E32" s="27"/>
      <c r="F32" s="47"/>
      <c r="G32" s="27"/>
      <c r="H32" s="53"/>
      <c r="I32" s="120"/>
      <c r="J32" s="27"/>
      <c r="K32" s="47"/>
      <c r="L32" s="27"/>
      <c r="M32" s="27"/>
      <c r="N32" s="47"/>
      <c r="O32" s="27"/>
      <c r="P32" s="273"/>
      <c r="Q32" s="14"/>
      <c r="R32" s="50"/>
      <c r="S32" s="14"/>
      <c r="T32" s="14"/>
      <c r="U32" s="50"/>
      <c r="V32" s="14"/>
      <c r="W32" s="449"/>
      <c r="X32" s="451"/>
      <c r="Y32" s="451"/>
      <c r="Z32" s="451"/>
      <c r="AA32" s="451"/>
      <c r="AB32" s="445"/>
      <c r="AC32" s="445"/>
      <c r="AD32" s="451"/>
      <c r="AE32" s="451"/>
      <c r="AF32" s="451"/>
      <c r="AG32" s="451"/>
      <c r="AH32" s="451"/>
      <c r="AI32" s="445"/>
      <c r="AJ32" s="445"/>
      <c r="AK32" s="451"/>
      <c r="AL32" s="451"/>
      <c r="AM32" s="451"/>
      <c r="AN32" s="451"/>
      <c r="AO32" s="451"/>
      <c r="AP32" s="445"/>
      <c r="AQ32" s="445"/>
    </row>
    <row r="33" spans="1:43" ht="15" customHeight="1">
      <c r="A33" s="273">
        <v>2025</v>
      </c>
      <c r="B33" s="509">
        <f t="shared" si="113"/>
        <v>0</v>
      </c>
      <c r="C33" s="510"/>
      <c r="D33" s="511"/>
      <c r="E33" s="27"/>
      <c r="F33" s="47"/>
      <c r="G33" s="27"/>
      <c r="H33" s="53"/>
      <c r="I33" s="120"/>
      <c r="J33" s="27"/>
      <c r="K33" s="47"/>
      <c r="L33" s="27"/>
      <c r="M33" s="27"/>
      <c r="N33" s="47"/>
      <c r="O33" s="27"/>
      <c r="P33" s="273"/>
      <c r="Q33" s="14"/>
      <c r="R33" s="50"/>
      <c r="S33" s="14"/>
      <c r="T33" s="14"/>
      <c r="U33" s="50"/>
      <c r="V33" s="14"/>
      <c r="W33" s="449"/>
      <c r="X33" s="451"/>
      <c r="Y33" s="451"/>
      <c r="Z33" s="451"/>
      <c r="AA33" s="451"/>
      <c r="AB33" s="445"/>
      <c r="AC33" s="445"/>
      <c r="AD33" s="451"/>
      <c r="AE33" s="451"/>
      <c r="AF33" s="451"/>
      <c r="AG33" s="451"/>
      <c r="AH33" s="451"/>
      <c r="AI33" s="445"/>
      <c r="AJ33" s="445"/>
      <c r="AK33" s="451"/>
      <c r="AL33" s="451"/>
      <c r="AM33" s="451"/>
      <c r="AN33" s="451"/>
      <c r="AO33" s="451"/>
      <c r="AP33" s="445"/>
      <c r="AQ33" s="445"/>
    </row>
    <row r="34" spans="1:43" ht="15" customHeight="1">
      <c r="A34" s="273">
        <v>2026</v>
      </c>
      <c r="B34" s="509"/>
      <c r="C34" s="510"/>
      <c r="D34" s="511"/>
      <c r="E34" s="27"/>
      <c r="F34" s="47"/>
      <c r="G34" s="27"/>
      <c r="H34" s="53"/>
      <c r="I34" s="120"/>
      <c r="J34" s="27" t="e">
        <f t="shared" si="88"/>
        <v>#DIV/0!</v>
      </c>
      <c r="K34" s="47"/>
      <c r="L34" s="27"/>
      <c r="M34" s="27" t="e">
        <f t="shared" si="89"/>
        <v>#DIV/0!</v>
      </c>
      <c r="N34" s="47"/>
      <c r="O34" s="27"/>
      <c r="P34" s="273">
        <v>2020</v>
      </c>
      <c r="Q34" s="14" t="e">
        <f t="shared" si="90"/>
        <v>#DIV/0!</v>
      </c>
      <c r="R34" s="50"/>
      <c r="S34" s="14"/>
      <c r="T34" s="14" t="e">
        <f t="shared" si="91"/>
        <v>#DIV/0!</v>
      </c>
      <c r="U34" s="50"/>
      <c r="V34" s="14"/>
      <c r="W34" s="449">
        <f t="shared" si="92"/>
        <v>0</v>
      </c>
      <c r="X34" s="451">
        <f t="shared" si="93"/>
        <v>0</v>
      </c>
      <c r="Y34" s="451" t="e">
        <f t="shared" si="94"/>
        <v>#DIV/0!</v>
      </c>
      <c r="Z34" s="451" t="e">
        <f t="shared" si="95"/>
        <v>#NUM!</v>
      </c>
      <c r="AA34" s="451" t="e">
        <f t="shared" si="96"/>
        <v>#NUM!</v>
      </c>
      <c r="AB34" s="445">
        <f t="shared" si="97"/>
        <v>0</v>
      </c>
      <c r="AC34" s="445">
        <f t="shared" si="98"/>
        <v>1</v>
      </c>
      <c r="AD34" s="451">
        <f t="shared" si="99"/>
        <v>0</v>
      </c>
      <c r="AE34" s="451">
        <f t="shared" si="100"/>
        <v>0</v>
      </c>
      <c r="AF34" s="451" t="e">
        <f t="shared" si="101"/>
        <v>#DIV/0!</v>
      </c>
      <c r="AG34" s="451" t="e">
        <f t="shared" si="102"/>
        <v>#NUM!</v>
      </c>
      <c r="AH34" s="451" t="e">
        <f t="shared" si="103"/>
        <v>#NUM!</v>
      </c>
      <c r="AI34" s="445">
        <f t="shared" si="104"/>
        <v>0</v>
      </c>
      <c r="AJ34" s="445">
        <f t="shared" si="105"/>
        <v>1</v>
      </c>
      <c r="AK34" s="451">
        <f t="shared" si="106"/>
        <v>0</v>
      </c>
      <c r="AL34" s="451">
        <f t="shared" si="107"/>
        <v>0</v>
      </c>
      <c r="AM34" s="451" t="e">
        <f t="shared" si="108"/>
        <v>#DIV/0!</v>
      </c>
      <c r="AN34" s="451" t="e">
        <f t="shared" si="109"/>
        <v>#NUM!</v>
      </c>
      <c r="AO34" s="451" t="e">
        <f t="shared" si="110"/>
        <v>#NUM!</v>
      </c>
      <c r="AP34" s="445">
        <f t="shared" si="111"/>
        <v>0</v>
      </c>
      <c r="AQ34" s="445">
        <f t="shared" si="112"/>
        <v>1</v>
      </c>
    </row>
    <row r="35" spans="1:43" ht="30.6" customHeight="1">
      <c r="A35" s="264" t="s">
        <v>112</v>
      </c>
      <c r="B35" s="138">
        <f>AVERAGE(B19:B24)</f>
        <v>411.16666666666669</v>
      </c>
      <c r="C35" s="138">
        <f t="shared" ref="C35:T35" si="142">AVERAGE(C19:C24)</f>
        <v>340</v>
      </c>
      <c r="D35" s="138">
        <f t="shared" si="142"/>
        <v>263.75</v>
      </c>
      <c r="E35" s="144">
        <f t="shared" si="142"/>
        <v>0.82163235624814923</v>
      </c>
      <c r="F35" s="144"/>
      <c r="G35" s="144">
        <f>AVERAGE(F19:F24)</f>
        <v>0.54499865099873668</v>
      </c>
      <c r="H35" s="144">
        <f t="shared" si="142"/>
        <v>0.14186869098134658</v>
      </c>
      <c r="I35" s="144">
        <f t="shared" si="142"/>
        <v>0.02</v>
      </c>
      <c r="J35" s="144">
        <f>1-AVERAGE(J16:J25)</f>
        <v>5.1498688123594816E-2</v>
      </c>
      <c r="K35" s="144"/>
      <c r="L35" s="144"/>
      <c r="M35" s="144">
        <f t="shared" si="142"/>
        <v>0.99190407149711246</v>
      </c>
      <c r="N35" s="144"/>
      <c r="O35" s="144"/>
      <c r="P35" s="466" t="s">
        <v>112</v>
      </c>
      <c r="Q35" s="144">
        <f t="shared" si="142"/>
        <v>2.2142643658702832E-2</v>
      </c>
      <c r="R35" s="144"/>
      <c r="S35" s="144"/>
      <c r="T35" s="144">
        <f t="shared" si="142"/>
        <v>8.095928502887614E-3</v>
      </c>
      <c r="U35" s="138"/>
      <c r="V35" s="138"/>
      <c r="W35" s="449">
        <f t="shared" ref="W35" si="143">C35</f>
        <v>340</v>
      </c>
      <c r="X35" s="451">
        <f t="shared" ref="X35" si="144">B35</f>
        <v>411.16666666666669</v>
      </c>
      <c r="Y35" s="451">
        <f t="shared" ref="Y35" si="145">W35/X35</f>
        <v>0.82691528171868667</v>
      </c>
      <c r="Z35" s="451">
        <f t="shared" ref="Z35" si="146">_xlfn.F.INV(0.05/2, 2*W35, 2*(X35-W35+1))</f>
        <v>0.78320230100837407</v>
      </c>
      <c r="AA35" s="451">
        <f t="shared" ref="AA35" si="147">_xlfn.F.INV(1-0.05/2, 2*(W35+1), 2*(X35-W35))</f>
        <v>1.3065536245124685</v>
      </c>
      <c r="AB35" s="445">
        <f t="shared" ref="AB35" si="148">IF(W35=0, 0, 1/(1 +(X35-W35+1)/(W35*Z35)))</f>
        <v>0.786776466805715</v>
      </c>
      <c r="AC35" s="445">
        <f t="shared" ref="AC35" si="149">IF(W35=X35, 1, 1/(1 + (X35-W35)/(AA35*(W35+1))))</f>
        <v>0.86226733773427411</v>
      </c>
      <c r="AD35" s="451">
        <f t="shared" ref="AD35" si="150">D35</f>
        <v>263.75</v>
      </c>
      <c r="AE35" s="451">
        <f t="shared" ref="AE35" si="151">C35</f>
        <v>340</v>
      </c>
      <c r="AF35" s="451">
        <f t="shared" ref="AF35" si="152">AD35/AE35</f>
        <v>0.77573529411764708</v>
      </c>
      <c r="AG35" s="451">
        <f t="shared" ref="AG35" si="153">_xlfn.F.INV(0.05/2, 2*AD35, 2*(AE35-AD35+1))</f>
        <v>0.78218810102800007</v>
      </c>
      <c r="AH35" s="451">
        <f t="shared" ref="AH35" si="154">_xlfn.F.INV(1-0.05/2, 2*(AD35+1), 2*(AE35-AD35))</f>
        <v>1.303440353661359</v>
      </c>
      <c r="AI35" s="445">
        <f t="shared" ref="AI35" si="155">IF(AD35=0, 0, 1/(1 +(AE35-AD35+1)/(AD35*AG35)))</f>
        <v>0.72756330555419813</v>
      </c>
      <c r="AJ35" s="445">
        <f t="shared" ref="AJ35" si="156">IF(AD35=AE35, 1, 1/(1 + (AE35-AD35)/(AH35*(AD35+1))))</f>
        <v>0.81902797266793648</v>
      </c>
      <c r="AK35" s="451">
        <f t="shared" ref="AK35" si="157">D35</f>
        <v>263.75</v>
      </c>
      <c r="AL35" s="451">
        <f t="shared" ref="AL35" si="158">B35</f>
        <v>411.16666666666669</v>
      </c>
      <c r="AM35" s="451">
        <f t="shared" ref="AM35" si="159">AK35/AL35</f>
        <v>0.64146736927442238</v>
      </c>
      <c r="AN35" s="451">
        <f t="shared" ref="AN35" si="160">_xlfn.F.INV(0.05/2, 2*AK35, 2*(AL35-AK35+1))</f>
        <v>0.81974572053630501</v>
      </c>
      <c r="AO35" s="451">
        <f t="shared" ref="AO35" si="161">_xlfn.F.INV(1-0.05/2, 2*(AK35+1), 2*(AL35-AK35))</f>
        <v>1.2274086770449708</v>
      </c>
      <c r="AP35" s="445">
        <f t="shared" ref="AP35" si="162">IF(AK35=0, 0, 1/(1 +(AL35-AK35+1)/(AK35*AN35)))</f>
        <v>0.5929603584612918</v>
      </c>
      <c r="AQ35" s="445">
        <f t="shared" ref="AQ35" si="163">IF(AK35=AL35, 1, 1/(1 + (AL35-AK35)/(AO35*(AK35+1))))</f>
        <v>0.68792324896500234</v>
      </c>
    </row>
    <row r="36" spans="1:43" ht="15" customHeight="1">
      <c r="A36" s="110"/>
      <c r="B36" s="77"/>
      <c r="C36" s="77"/>
      <c r="D36" s="77"/>
      <c r="E36" s="12"/>
      <c r="F36" s="77"/>
      <c r="G36" s="78"/>
      <c r="H36" s="77"/>
      <c r="I36" s="77"/>
      <c r="J36" s="145">
        <f>1-MIN(J16:J25)</f>
        <v>0.15351674644721458</v>
      </c>
      <c r="K36" s="112"/>
      <c r="L36" s="78"/>
      <c r="M36" s="77"/>
      <c r="N36" s="77"/>
      <c r="O36" s="77"/>
      <c r="P36" s="110"/>
      <c r="Q36" s="77"/>
      <c r="R36" s="77"/>
      <c r="S36" s="77"/>
      <c r="T36" s="12"/>
      <c r="U36" s="77"/>
      <c r="V36" s="78"/>
    </row>
    <row r="37" spans="1:43" ht="15" customHeight="1">
      <c r="A37" t="s">
        <v>90</v>
      </c>
      <c r="J37" s="145">
        <f>1-MAX(J16:J25)</f>
        <v>-8.8963086751844056E-2</v>
      </c>
      <c r="K37" s="286"/>
      <c r="L37" s="272" t="s">
        <v>98</v>
      </c>
    </row>
    <row r="38" spans="1:43" s="20" customFormat="1" ht="15" customHeight="1">
      <c r="A38"/>
      <c r="B38" s="118"/>
      <c r="C38" s="272" t="s">
        <v>101</v>
      </c>
      <c r="D38"/>
      <c r="E38"/>
      <c r="F38" s="292" t="s">
        <v>103</v>
      </c>
      <c r="G38"/>
      <c r="H38"/>
      <c r="I38"/>
      <c r="J38"/>
      <c r="K38"/>
      <c r="L38"/>
      <c r="M38"/>
      <c r="N38"/>
      <c r="O38"/>
      <c r="P38"/>
      <c r="Q38"/>
      <c r="R38"/>
      <c r="S38"/>
      <c r="T38"/>
      <c r="U38"/>
      <c r="V38"/>
    </row>
    <row r="39" spans="1:43" s="20" customFormat="1" ht="15" customHeight="1">
      <c r="A39"/>
      <c r="B39"/>
      <c r="C39"/>
      <c r="D39"/>
      <c r="E39"/>
      <c r="F39"/>
      <c r="G39"/>
      <c r="H39"/>
      <c r="I39"/>
      <c r="J39"/>
      <c r="K39"/>
      <c r="L39"/>
      <c r="M39"/>
      <c r="N39"/>
      <c r="O39"/>
      <c r="P39"/>
      <c r="Q39"/>
      <c r="R39"/>
      <c r="S39"/>
      <c r="T39"/>
      <c r="U39"/>
      <c r="V39"/>
    </row>
    <row r="40" spans="1:43" s="20" customFormat="1" ht="15" customHeight="1">
      <c r="A40"/>
      <c r="B40"/>
      <c r="C40"/>
      <c r="D40"/>
      <c r="E40"/>
      <c r="F40"/>
      <c r="G40"/>
      <c r="M40"/>
      <c r="N40"/>
      <c r="O40"/>
      <c r="P40"/>
      <c r="Q40"/>
      <c r="R40"/>
      <c r="S40"/>
      <c r="T40"/>
      <c r="U40"/>
      <c r="V40"/>
    </row>
    <row r="41" spans="1:43" s="20" customFormat="1" ht="15" customHeight="1">
      <c r="A41" s="512" t="s">
        <v>245</v>
      </c>
      <c r="B41" s="512"/>
      <c r="C41"/>
      <c r="D41"/>
      <c r="E41"/>
      <c r="F41"/>
      <c r="G41"/>
      <c r="M41"/>
      <c r="N41"/>
      <c r="O41"/>
      <c r="P41"/>
      <c r="Q41"/>
      <c r="R41"/>
      <c r="S41"/>
      <c r="T41"/>
      <c r="U41"/>
      <c r="V41"/>
    </row>
    <row r="42" spans="1:43" s="20" customFormat="1" ht="15" customHeight="1">
      <c r="A42"/>
      <c r="B42"/>
      <c r="C42"/>
      <c r="D42"/>
      <c r="E42"/>
      <c r="F42"/>
      <c r="G42"/>
      <c r="M42"/>
      <c r="N42"/>
      <c r="O42"/>
      <c r="P42"/>
      <c r="Q42"/>
      <c r="R42"/>
      <c r="S42"/>
      <c r="T42">
        <f>17188/186448</f>
        <v>9.2186561400497732E-2</v>
      </c>
      <c r="U42"/>
      <c r="V42"/>
    </row>
    <row r="43" spans="1:43" s="20" customFormat="1" ht="15" customHeight="1" thickBot="1">
      <c r="A43"/>
      <c r="B43"/>
      <c r="C43"/>
      <c r="D43"/>
      <c r="E43"/>
      <c r="F43"/>
      <c r="G43"/>
      <c r="M43"/>
      <c r="N43"/>
      <c r="O43"/>
      <c r="P43"/>
      <c r="Q43"/>
      <c r="R43"/>
      <c r="S43"/>
      <c r="T43"/>
      <c r="U43"/>
      <c r="V43"/>
    </row>
    <row r="44" spans="1:43" s="20" customFormat="1" ht="15" customHeight="1">
      <c r="A44" s="585" t="s">
        <v>290</v>
      </c>
      <c r="B44" s="557"/>
      <c r="C44" s="557"/>
      <c r="D44" s="557"/>
      <c r="E44" s="558"/>
      <c r="F44"/>
      <c r="G44" s="501"/>
      <c r="M44"/>
      <c r="N44"/>
      <c r="O44"/>
      <c r="P44"/>
      <c r="Q44"/>
      <c r="R44"/>
      <c r="S44"/>
      <c r="T44"/>
      <c r="U44"/>
      <c r="V44"/>
    </row>
    <row r="45" spans="1:43" s="20" customFormat="1" ht="15" customHeight="1">
      <c r="A45" s="559"/>
      <c r="B45" s="560"/>
      <c r="C45" s="566" t="s">
        <v>261</v>
      </c>
      <c r="D45" s="566" t="s">
        <v>262</v>
      </c>
      <c r="E45" s="561"/>
      <c r="M45"/>
      <c r="N45"/>
      <c r="O45"/>
      <c r="P45"/>
      <c r="Q45"/>
      <c r="R45"/>
      <c r="S45"/>
      <c r="T45"/>
      <c r="U45"/>
      <c r="V45"/>
    </row>
    <row r="46" spans="1:43" s="20" customFormat="1" ht="15" customHeight="1">
      <c r="A46" s="568" t="s">
        <v>287</v>
      </c>
      <c r="B46" s="566" t="s">
        <v>80</v>
      </c>
      <c r="C46" s="562">
        <f>AVERAGE(J18:J27)</f>
        <v>0.93847860744831524</v>
      </c>
      <c r="D46" s="562">
        <f>1-C46</f>
        <v>6.1521392551684762E-2</v>
      </c>
      <c r="E46" s="561"/>
      <c r="H46"/>
      <c r="I46"/>
      <c r="J46"/>
      <c r="K46"/>
      <c r="L46"/>
      <c r="M46"/>
      <c r="N46"/>
      <c r="O46"/>
      <c r="P46"/>
      <c r="Q46"/>
      <c r="R46"/>
      <c r="S46"/>
      <c r="T46"/>
      <c r="U46"/>
      <c r="V46"/>
    </row>
    <row r="47" spans="1:43" s="20" customFormat="1" ht="15" customHeight="1">
      <c r="A47" s="568" t="s">
        <v>257</v>
      </c>
      <c r="B47" s="566" t="s">
        <v>259</v>
      </c>
      <c r="C47" s="562">
        <f>MAX(J18:J27)</f>
        <v>1.0889630867518441</v>
      </c>
      <c r="D47" s="562">
        <f t="shared" ref="D47:D48" si="164">1-C47</f>
        <v>-8.8963086751844056E-2</v>
      </c>
      <c r="E47" s="561"/>
      <c r="K47"/>
      <c r="L47"/>
      <c r="M47"/>
      <c r="N47"/>
      <c r="O47"/>
      <c r="P47"/>
      <c r="Q47"/>
      <c r="R47"/>
      <c r="S47"/>
      <c r="T47"/>
      <c r="U47"/>
      <c r="V47"/>
    </row>
    <row r="48" spans="1:43" s="20" customFormat="1" ht="15" customHeight="1">
      <c r="A48" s="559"/>
      <c r="B48" s="566" t="s">
        <v>260</v>
      </c>
      <c r="C48" s="562">
        <f>MIN(J18:J27)</f>
        <v>0.83436730342260246</v>
      </c>
      <c r="D48" s="562">
        <f t="shared" si="164"/>
        <v>0.16563269657739754</v>
      </c>
      <c r="E48" s="561"/>
      <c r="K48"/>
      <c r="L48"/>
      <c r="M48"/>
      <c r="N48"/>
      <c r="O48"/>
      <c r="P48"/>
      <c r="Q48"/>
      <c r="R48"/>
      <c r="S48"/>
      <c r="T48"/>
      <c r="U48"/>
      <c r="V48"/>
    </row>
    <row r="49" spans="1:18" ht="15" customHeight="1" thickBot="1">
      <c r="A49" s="563"/>
      <c r="B49" s="564"/>
      <c r="C49" s="564"/>
      <c r="D49" s="564"/>
      <c r="E49" s="565"/>
    </row>
    <row r="50" spans="1:18" ht="15" customHeight="1"/>
    <row r="51" spans="1:18" ht="15" customHeight="1">
      <c r="A51" t="s">
        <v>321</v>
      </c>
      <c r="C51" t="s">
        <v>322</v>
      </c>
    </row>
    <row r="52" spans="1:18" ht="15" customHeight="1"/>
    <row r="53" spans="1:18" ht="15" customHeight="1"/>
    <row r="54" spans="1:18" ht="15" customHeight="1">
      <c r="A54" s="595" t="s">
        <v>307</v>
      </c>
      <c r="B54" s="595" t="s">
        <v>308</v>
      </c>
      <c r="C54" s="595" t="s">
        <v>230</v>
      </c>
      <c r="D54" s="595" t="s">
        <v>231</v>
      </c>
      <c r="E54" s="595" t="s">
        <v>232</v>
      </c>
      <c r="F54" s="595" t="s">
        <v>309</v>
      </c>
      <c r="G54" s="595" t="s">
        <v>233</v>
      </c>
      <c r="H54" s="595" t="s">
        <v>313</v>
      </c>
      <c r="I54" s="595" t="s">
        <v>314</v>
      </c>
      <c r="J54" s="621"/>
      <c r="K54" s="603" t="s">
        <v>346</v>
      </c>
      <c r="L54" s="603" t="s">
        <v>347</v>
      </c>
      <c r="M54" s="603" t="s">
        <v>348</v>
      </c>
      <c r="N54" s="603" t="s">
        <v>115</v>
      </c>
      <c r="O54" s="603" t="s">
        <v>353</v>
      </c>
      <c r="P54" s="603" t="s">
        <v>352</v>
      </c>
      <c r="Q54" s="603" t="s">
        <v>354</v>
      </c>
      <c r="R54" s="603" t="s">
        <v>238</v>
      </c>
    </row>
    <row r="55" spans="1:18" ht="15" customHeight="1">
      <c r="A55" s="596" t="s">
        <v>317</v>
      </c>
      <c r="B55" s="596" t="s">
        <v>320</v>
      </c>
      <c r="C55" s="597">
        <v>2008</v>
      </c>
      <c r="D55" s="597">
        <v>213</v>
      </c>
      <c r="E55" s="597">
        <v>0</v>
      </c>
      <c r="F55" s="597">
        <v>0</v>
      </c>
      <c r="G55" s="597">
        <v>158</v>
      </c>
      <c r="H55" s="597">
        <v>160</v>
      </c>
      <c r="I55" s="597">
        <v>151</v>
      </c>
      <c r="J55" s="622"/>
      <c r="K55" s="604"/>
      <c r="L55" s="604"/>
      <c r="M55" s="604"/>
      <c r="N55" s="455">
        <f>G55/D55</f>
        <v>0.74178403755868549</v>
      </c>
      <c r="O55" s="493">
        <f>H55/G55</f>
        <v>1.0126582278481013</v>
      </c>
      <c r="P55" s="455">
        <f>I55/H55</f>
        <v>0.94374999999999998</v>
      </c>
      <c r="Q55" s="455">
        <f>I55/D55</f>
        <v>0.70892018779342725</v>
      </c>
      <c r="R55" s="455">
        <f t="shared" ref="R55" si="165">G55/C55</f>
        <v>7.8685258964143426E-2</v>
      </c>
    </row>
    <row r="56" spans="1:18" ht="15" customHeight="1">
      <c r="A56" s="596" t="s">
        <v>317</v>
      </c>
      <c r="B56" s="596" t="s">
        <v>320</v>
      </c>
      <c r="C56" s="597">
        <v>2009</v>
      </c>
      <c r="D56" s="597">
        <v>151</v>
      </c>
      <c r="E56" s="597">
        <v>0</v>
      </c>
      <c r="F56" s="597">
        <v>0</v>
      </c>
      <c r="G56" s="597">
        <v>121</v>
      </c>
      <c r="H56" s="597">
        <v>120</v>
      </c>
      <c r="I56" s="597">
        <v>112</v>
      </c>
      <c r="J56" s="622"/>
      <c r="K56" s="604"/>
      <c r="L56" s="604"/>
      <c r="M56" s="604"/>
      <c r="N56" s="455">
        <f t="shared" ref="N56:N69" si="166">G56/D56</f>
        <v>0.80132450331125826</v>
      </c>
      <c r="O56" s="493">
        <f t="shared" ref="O56:O69" si="167">H56/G56</f>
        <v>0.99173553719008267</v>
      </c>
      <c r="P56" s="455">
        <f t="shared" ref="P56:P69" si="168">I56/H56</f>
        <v>0.93333333333333335</v>
      </c>
      <c r="Q56" s="455">
        <f t="shared" ref="Q56:Q69" si="169">I56/D56</f>
        <v>0.74172185430463577</v>
      </c>
      <c r="R56" s="455">
        <f t="shared" ref="R56:R69" si="170">G56/C56</f>
        <v>6.0228969636635141E-2</v>
      </c>
    </row>
    <row r="57" spans="1:18" ht="15" customHeight="1">
      <c r="A57" s="596" t="s">
        <v>317</v>
      </c>
      <c r="B57" s="596" t="s">
        <v>320</v>
      </c>
      <c r="C57" s="597">
        <v>2010</v>
      </c>
      <c r="D57" s="597">
        <v>462</v>
      </c>
      <c r="E57" s="597">
        <v>0</v>
      </c>
      <c r="F57" s="597">
        <v>0</v>
      </c>
      <c r="G57" s="597">
        <v>382</v>
      </c>
      <c r="H57" s="597">
        <v>375</v>
      </c>
      <c r="I57" s="597">
        <v>366</v>
      </c>
      <c r="J57" s="622"/>
      <c r="K57" s="604"/>
      <c r="L57" s="604"/>
      <c r="M57" s="604"/>
      <c r="N57" s="455">
        <f t="shared" si="166"/>
        <v>0.82683982683982682</v>
      </c>
      <c r="O57" s="493">
        <f t="shared" si="167"/>
        <v>0.98167539267015702</v>
      </c>
      <c r="P57" s="455">
        <f t="shared" si="168"/>
        <v>0.97599999999999998</v>
      </c>
      <c r="Q57" s="455">
        <f t="shared" si="169"/>
        <v>0.79220779220779225</v>
      </c>
      <c r="R57" s="455">
        <f t="shared" si="170"/>
        <v>0.1900497512437811</v>
      </c>
    </row>
    <row r="58" spans="1:18" ht="15" customHeight="1">
      <c r="A58" s="596" t="s">
        <v>317</v>
      </c>
      <c r="B58" s="596" t="s">
        <v>320</v>
      </c>
      <c r="C58" s="597">
        <v>2011</v>
      </c>
      <c r="D58" s="597">
        <v>344</v>
      </c>
      <c r="E58" s="597">
        <v>0</v>
      </c>
      <c r="F58" s="597">
        <v>0</v>
      </c>
      <c r="G58" s="597">
        <v>263</v>
      </c>
      <c r="H58" s="597">
        <v>264</v>
      </c>
      <c r="I58" s="597">
        <v>232</v>
      </c>
      <c r="J58" s="622"/>
      <c r="K58" s="604"/>
      <c r="L58" s="604"/>
      <c r="M58" s="604"/>
      <c r="N58" s="455">
        <f t="shared" si="166"/>
        <v>0.76453488372093026</v>
      </c>
      <c r="O58" s="493">
        <f t="shared" si="167"/>
        <v>1.0038022813688212</v>
      </c>
      <c r="P58" s="455">
        <f t="shared" si="168"/>
        <v>0.87878787878787878</v>
      </c>
      <c r="Q58" s="455">
        <f t="shared" si="169"/>
        <v>0.67441860465116277</v>
      </c>
      <c r="R58" s="455">
        <f t="shared" si="170"/>
        <v>0.13078070611636003</v>
      </c>
    </row>
    <row r="59" spans="1:18" ht="28.8">
      <c r="A59" s="596" t="s">
        <v>317</v>
      </c>
      <c r="B59" s="596" t="s">
        <v>320</v>
      </c>
      <c r="C59" s="597">
        <v>2012</v>
      </c>
      <c r="D59" s="597">
        <v>493</v>
      </c>
      <c r="E59" s="597">
        <v>0</v>
      </c>
      <c r="F59" s="597">
        <v>0</v>
      </c>
      <c r="G59" s="597">
        <v>409</v>
      </c>
      <c r="H59" s="597">
        <v>321</v>
      </c>
      <c r="I59" s="597">
        <v>384</v>
      </c>
      <c r="J59" s="622"/>
      <c r="K59" s="604"/>
      <c r="L59" s="604"/>
      <c r="M59" s="604"/>
      <c r="N59" s="455">
        <f t="shared" si="166"/>
        <v>0.82961460446247459</v>
      </c>
      <c r="O59" s="493">
        <f t="shared" si="167"/>
        <v>0.78484107579462103</v>
      </c>
      <c r="P59" s="455">
        <f t="shared" si="168"/>
        <v>1.1962616822429906</v>
      </c>
      <c r="Q59" s="455">
        <f t="shared" si="169"/>
        <v>0.77890466531440161</v>
      </c>
      <c r="R59" s="455">
        <f t="shared" si="170"/>
        <v>0.20328031809145128</v>
      </c>
    </row>
    <row r="60" spans="1:18" ht="28.8">
      <c r="A60" s="596" t="s">
        <v>317</v>
      </c>
      <c r="B60" s="596" t="s">
        <v>320</v>
      </c>
      <c r="C60" s="597">
        <v>2013</v>
      </c>
      <c r="D60" s="597">
        <v>267</v>
      </c>
      <c r="E60" s="597">
        <v>245</v>
      </c>
      <c r="F60" s="597">
        <v>0</v>
      </c>
      <c r="G60" s="597">
        <v>228</v>
      </c>
      <c r="H60" s="597">
        <v>227</v>
      </c>
      <c r="I60" s="597">
        <v>212</v>
      </c>
      <c r="J60" s="622"/>
      <c r="K60" s="455">
        <f t="shared" ref="K60:K69" si="171">E60/D60</f>
        <v>0.91760299625468167</v>
      </c>
      <c r="L60" s="604"/>
      <c r="M60" s="604"/>
      <c r="N60" s="455">
        <f t="shared" si="166"/>
        <v>0.8539325842696629</v>
      </c>
      <c r="O60" s="493">
        <f t="shared" si="167"/>
        <v>0.99561403508771928</v>
      </c>
      <c r="P60" s="455">
        <f t="shared" si="168"/>
        <v>0.93392070484581502</v>
      </c>
      <c r="Q60" s="455">
        <f t="shared" si="169"/>
        <v>0.79400749063670417</v>
      </c>
      <c r="R60" s="455">
        <f t="shared" si="170"/>
        <v>0.11326378539493294</v>
      </c>
    </row>
    <row r="61" spans="1:18" ht="28.8">
      <c r="A61" s="596" t="s">
        <v>317</v>
      </c>
      <c r="B61" s="596" t="s">
        <v>320</v>
      </c>
      <c r="C61" s="597">
        <v>2014</v>
      </c>
      <c r="D61" s="597">
        <v>405</v>
      </c>
      <c r="E61" s="597">
        <v>366</v>
      </c>
      <c r="F61" s="597">
        <v>0</v>
      </c>
      <c r="G61" s="597">
        <v>343</v>
      </c>
      <c r="H61" s="597">
        <v>339</v>
      </c>
      <c r="I61" s="597">
        <v>249</v>
      </c>
      <c r="J61" s="622"/>
      <c r="K61" s="455">
        <f t="shared" si="171"/>
        <v>0.90370370370370368</v>
      </c>
      <c r="L61" s="604"/>
      <c r="M61" s="604"/>
      <c r="N61" s="455">
        <f t="shared" si="166"/>
        <v>0.84691358024691354</v>
      </c>
      <c r="O61" s="493">
        <f t="shared" si="167"/>
        <v>0.98833819241982512</v>
      </c>
      <c r="P61" s="455">
        <f t="shared" si="168"/>
        <v>0.73451327433628322</v>
      </c>
      <c r="Q61" s="455">
        <f t="shared" si="169"/>
        <v>0.61481481481481481</v>
      </c>
      <c r="R61" s="455">
        <f t="shared" si="170"/>
        <v>0.17030784508440913</v>
      </c>
    </row>
    <row r="62" spans="1:18" ht="28.8">
      <c r="A62" s="596" t="s">
        <v>317</v>
      </c>
      <c r="B62" s="596" t="s">
        <v>320</v>
      </c>
      <c r="C62" s="597">
        <v>2015</v>
      </c>
      <c r="D62" s="597">
        <v>553</v>
      </c>
      <c r="E62" s="597">
        <v>501</v>
      </c>
      <c r="F62" s="597">
        <v>0</v>
      </c>
      <c r="G62" s="597">
        <v>443</v>
      </c>
      <c r="H62" s="597">
        <v>423</v>
      </c>
      <c r="I62" s="597">
        <v>339</v>
      </c>
      <c r="J62" s="622"/>
      <c r="K62" s="455">
        <f t="shared" si="171"/>
        <v>0.9059674502712477</v>
      </c>
      <c r="L62" s="604"/>
      <c r="M62" s="604"/>
      <c r="N62" s="455">
        <f t="shared" si="166"/>
        <v>0.80108499095840868</v>
      </c>
      <c r="O62" s="493">
        <f t="shared" si="167"/>
        <v>0.95485327313769752</v>
      </c>
      <c r="P62" s="455">
        <f t="shared" si="168"/>
        <v>0.8014184397163121</v>
      </c>
      <c r="Q62" s="455">
        <f t="shared" si="169"/>
        <v>0.61301989150090419</v>
      </c>
      <c r="R62" s="455">
        <f t="shared" si="170"/>
        <v>0.21985111662531018</v>
      </c>
    </row>
    <row r="63" spans="1:18" ht="28.8">
      <c r="A63" s="596" t="s">
        <v>317</v>
      </c>
      <c r="B63" s="596" t="s">
        <v>320</v>
      </c>
      <c r="C63" s="597">
        <v>2016</v>
      </c>
      <c r="D63" s="597">
        <v>289</v>
      </c>
      <c r="E63" s="597">
        <v>257</v>
      </c>
      <c r="F63" s="597">
        <v>0</v>
      </c>
      <c r="G63" s="597">
        <v>230</v>
      </c>
      <c r="H63" s="597">
        <v>221</v>
      </c>
      <c r="I63" s="597">
        <v>174</v>
      </c>
      <c r="J63" s="622"/>
      <c r="K63" s="455">
        <f t="shared" si="171"/>
        <v>0.88927335640138405</v>
      </c>
      <c r="L63" s="604"/>
      <c r="M63" s="604"/>
      <c r="N63" s="455">
        <f t="shared" si="166"/>
        <v>0.79584775086505188</v>
      </c>
      <c r="O63" s="493">
        <f t="shared" si="167"/>
        <v>0.96086956521739131</v>
      </c>
      <c r="P63" s="455">
        <f t="shared" si="168"/>
        <v>0.78733031674208143</v>
      </c>
      <c r="Q63" s="455">
        <f t="shared" si="169"/>
        <v>0.60207612456747406</v>
      </c>
      <c r="R63" s="455">
        <f t="shared" si="170"/>
        <v>0.11408730158730158</v>
      </c>
    </row>
    <row r="64" spans="1:18" ht="28.8">
      <c r="A64" s="596" t="s">
        <v>317</v>
      </c>
      <c r="B64" s="596" t="s">
        <v>320</v>
      </c>
      <c r="C64" s="597">
        <v>2017</v>
      </c>
      <c r="D64" s="597">
        <v>258</v>
      </c>
      <c r="E64" s="597">
        <v>211</v>
      </c>
      <c r="F64" s="597">
        <v>0</v>
      </c>
      <c r="G64" s="597">
        <v>189</v>
      </c>
      <c r="H64" s="597">
        <v>184</v>
      </c>
      <c r="I64" s="597">
        <v>103</v>
      </c>
      <c r="J64" s="622"/>
      <c r="K64" s="455">
        <f t="shared" si="171"/>
        <v>0.81782945736434109</v>
      </c>
      <c r="L64" s="604"/>
      <c r="M64" s="604"/>
      <c r="N64" s="455">
        <f t="shared" si="166"/>
        <v>0.73255813953488369</v>
      </c>
      <c r="O64" s="493">
        <f t="shared" si="167"/>
        <v>0.97354497354497349</v>
      </c>
      <c r="P64" s="455">
        <f t="shared" si="168"/>
        <v>0.55978260869565222</v>
      </c>
      <c r="Q64" s="455">
        <f t="shared" si="169"/>
        <v>0.39922480620155038</v>
      </c>
      <c r="R64" s="455">
        <f t="shared" si="170"/>
        <v>9.3703520079325725E-2</v>
      </c>
    </row>
    <row r="65" spans="1:21" ht="28.8">
      <c r="A65" s="596" t="s">
        <v>317</v>
      </c>
      <c r="B65" s="596" t="s">
        <v>320</v>
      </c>
      <c r="C65" s="597">
        <v>2018</v>
      </c>
      <c r="D65" s="597">
        <v>242</v>
      </c>
      <c r="E65" s="597">
        <v>214</v>
      </c>
      <c r="F65" s="597">
        <v>199</v>
      </c>
      <c r="G65" s="597">
        <v>194</v>
      </c>
      <c r="H65" s="597">
        <v>186</v>
      </c>
      <c r="I65" s="597">
        <v>115</v>
      </c>
      <c r="J65" s="622"/>
      <c r="K65" s="455">
        <f t="shared" si="171"/>
        <v>0.88429752066115708</v>
      </c>
      <c r="L65" s="455">
        <f t="shared" ref="L65:L69" si="172">F65/E65</f>
        <v>0.92990654205607481</v>
      </c>
      <c r="M65" s="455">
        <f t="shared" ref="M65:M69" si="173">G65/F65</f>
        <v>0.97487437185929648</v>
      </c>
      <c r="N65" s="455">
        <f t="shared" si="166"/>
        <v>0.80165289256198347</v>
      </c>
      <c r="O65" s="493">
        <f t="shared" si="167"/>
        <v>0.95876288659793818</v>
      </c>
      <c r="P65" s="455">
        <f t="shared" si="168"/>
        <v>0.61827956989247312</v>
      </c>
      <c r="Q65" s="455">
        <f t="shared" si="169"/>
        <v>0.47520661157024796</v>
      </c>
      <c r="R65" s="455">
        <f t="shared" si="170"/>
        <v>9.6134786917740342E-2</v>
      </c>
    </row>
    <row r="66" spans="1:21" ht="28.8">
      <c r="A66" s="596" t="s">
        <v>317</v>
      </c>
      <c r="B66" s="596" t="s">
        <v>320</v>
      </c>
      <c r="C66" s="597">
        <v>2019</v>
      </c>
      <c r="D66" s="597">
        <v>237</v>
      </c>
      <c r="E66" s="597">
        <v>197</v>
      </c>
      <c r="F66" s="597">
        <v>184</v>
      </c>
      <c r="G66" s="597">
        <v>182</v>
      </c>
      <c r="H66" s="597">
        <v>180</v>
      </c>
      <c r="I66" s="597">
        <v>112</v>
      </c>
      <c r="J66" s="622"/>
      <c r="K66" s="455">
        <f t="shared" si="171"/>
        <v>0.83122362869198307</v>
      </c>
      <c r="L66" s="455">
        <f t="shared" si="172"/>
        <v>0.93401015228426398</v>
      </c>
      <c r="M66" s="455">
        <f t="shared" si="173"/>
        <v>0.98913043478260865</v>
      </c>
      <c r="N66" s="455">
        <f t="shared" si="166"/>
        <v>0.76793248945147674</v>
      </c>
      <c r="O66" s="493">
        <f t="shared" si="167"/>
        <v>0.98901098901098905</v>
      </c>
      <c r="P66" s="455">
        <f t="shared" si="168"/>
        <v>0.62222222222222223</v>
      </c>
      <c r="Q66" s="455">
        <f t="shared" si="169"/>
        <v>0.47257383966244726</v>
      </c>
      <c r="R66" s="455">
        <f t="shared" si="170"/>
        <v>9.0143635463100544E-2</v>
      </c>
    </row>
    <row r="67" spans="1:21" ht="28.8">
      <c r="A67" s="596" t="s">
        <v>317</v>
      </c>
      <c r="B67" s="596" t="s">
        <v>320</v>
      </c>
      <c r="C67" s="597">
        <v>2020</v>
      </c>
      <c r="D67" s="597">
        <v>176</v>
      </c>
      <c r="E67" s="597">
        <v>152</v>
      </c>
      <c r="F67" s="597">
        <v>144</v>
      </c>
      <c r="G67" s="597">
        <v>139</v>
      </c>
      <c r="H67" s="597">
        <v>138</v>
      </c>
      <c r="I67" s="597">
        <v>134</v>
      </c>
      <c r="J67" s="622"/>
      <c r="K67" s="455">
        <f t="shared" si="171"/>
        <v>0.86363636363636365</v>
      </c>
      <c r="L67" s="455">
        <f t="shared" si="172"/>
        <v>0.94736842105263153</v>
      </c>
      <c r="M67" s="455">
        <f t="shared" si="173"/>
        <v>0.96527777777777779</v>
      </c>
      <c r="N67" s="455">
        <f t="shared" si="166"/>
        <v>0.78977272727272729</v>
      </c>
      <c r="O67" s="493">
        <f t="shared" si="167"/>
        <v>0.9928057553956835</v>
      </c>
      <c r="P67" s="455">
        <f t="shared" si="168"/>
        <v>0.97101449275362317</v>
      </c>
      <c r="Q67" s="455">
        <f t="shared" si="169"/>
        <v>0.76136363636363635</v>
      </c>
      <c r="R67" s="455">
        <f t="shared" si="170"/>
        <v>6.8811881188118817E-2</v>
      </c>
    </row>
    <row r="68" spans="1:21" ht="28.8">
      <c r="A68" s="596" t="s">
        <v>317</v>
      </c>
      <c r="B68" s="596" t="s">
        <v>320</v>
      </c>
      <c r="C68" s="597">
        <v>2021</v>
      </c>
      <c r="D68" s="597">
        <v>238</v>
      </c>
      <c r="E68" s="597">
        <v>211</v>
      </c>
      <c r="F68" s="597">
        <v>198</v>
      </c>
      <c r="G68" s="597">
        <v>199</v>
      </c>
      <c r="H68" s="597">
        <v>198</v>
      </c>
      <c r="I68" s="597">
        <v>199</v>
      </c>
      <c r="J68" s="622"/>
      <c r="K68" s="455">
        <f t="shared" si="171"/>
        <v>0.88655462184873945</v>
      </c>
      <c r="L68" s="455">
        <f t="shared" si="172"/>
        <v>0.93838862559241709</v>
      </c>
      <c r="M68" s="455">
        <f t="shared" si="173"/>
        <v>1.005050505050505</v>
      </c>
      <c r="N68" s="455">
        <f t="shared" si="166"/>
        <v>0.83613445378151263</v>
      </c>
      <c r="O68" s="493">
        <f t="shared" si="167"/>
        <v>0.99497487437185927</v>
      </c>
      <c r="P68" s="455">
        <f t="shared" si="168"/>
        <v>1.005050505050505</v>
      </c>
      <c r="Q68" s="455">
        <f t="shared" si="169"/>
        <v>0.83613445378151263</v>
      </c>
      <c r="R68" s="455">
        <f t="shared" si="170"/>
        <v>9.8466105888174171E-2</v>
      </c>
    </row>
    <row r="69" spans="1:21" ht="28.8">
      <c r="A69" s="596" t="s">
        <v>317</v>
      </c>
      <c r="B69" s="596" t="s">
        <v>320</v>
      </c>
      <c r="C69" s="597">
        <v>2022</v>
      </c>
      <c r="D69" s="597">
        <v>479</v>
      </c>
      <c r="E69" s="597">
        <v>420</v>
      </c>
      <c r="F69" s="597">
        <v>392</v>
      </c>
      <c r="G69" s="597">
        <v>386</v>
      </c>
      <c r="H69" s="597">
        <v>386</v>
      </c>
      <c r="I69" s="597">
        <v>385</v>
      </c>
      <c r="J69" s="622"/>
      <c r="K69" s="455">
        <f t="shared" si="171"/>
        <v>0.87682672233820458</v>
      </c>
      <c r="L69" s="455">
        <f t="shared" si="172"/>
        <v>0.93333333333333335</v>
      </c>
      <c r="M69" s="455">
        <f t="shared" si="173"/>
        <v>0.98469387755102045</v>
      </c>
      <c r="N69" s="455">
        <f t="shared" si="166"/>
        <v>0.80584551148225469</v>
      </c>
      <c r="O69" s="493">
        <f t="shared" si="167"/>
        <v>1</v>
      </c>
      <c r="P69" s="455">
        <f t="shared" si="168"/>
        <v>0.99740932642487046</v>
      </c>
      <c r="Q69" s="455">
        <f t="shared" si="169"/>
        <v>0.80375782881002089</v>
      </c>
      <c r="R69" s="455">
        <f t="shared" si="170"/>
        <v>0.19090009891196835</v>
      </c>
    </row>
    <row r="75" spans="1:21">
      <c r="A75" t="s">
        <v>323</v>
      </c>
    </row>
    <row r="77" spans="1:21" ht="14.4">
      <c r="A77" s="595" t="s">
        <v>307</v>
      </c>
      <c r="B77" s="595" t="s">
        <v>308</v>
      </c>
      <c r="C77" s="595" t="s">
        <v>230</v>
      </c>
      <c r="D77" s="595" t="s">
        <v>231</v>
      </c>
      <c r="E77" s="595" t="s">
        <v>232</v>
      </c>
      <c r="F77" s="595" t="s">
        <v>309</v>
      </c>
      <c r="G77" s="595" t="s">
        <v>233</v>
      </c>
      <c r="H77" s="595" t="s">
        <v>313</v>
      </c>
      <c r="I77" s="595" t="s">
        <v>314</v>
      </c>
      <c r="J77" s="621"/>
      <c r="K77" s="603" t="s">
        <v>346</v>
      </c>
      <c r="L77" s="603" t="s">
        <v>347</v>
      </c>
      <c r="M77" s="603" t="s">
        <v>348</v>
      </c>
      <c r="N77" s="603" t="s">
        <v>115</v>
      </c>
      <c r="O77" s="603" t="s">
        <v>353</v>
      </c>
      <c r="P77" s="603" t="s">
        <v>352</v>
      </c>
      <c r="Q77" s="603" t="s">
        <v>354</v>
      </c>
      <c r="R77" s="603" t="s">
        <v>238</v>
      </c>
      <c r="S77" s="603"/>
      <c r="T77" s="603"/>
      <c r="U77" s="603"/>
    </row>
    <row r="78" spans="1:21" ht="28.8">
      <c r="A78" s="596" t="s">
        <v>317</v>
      </c>
      <c r="B78" s="596" t="s">
        <v>320</v>
      </c>
      <c r="C78" s="597">
        <v>2008</v>
      </c>
      <c r="D78" s="597">
        <v>30</v>
      </c>
      <c r="E78" s="597">
        <v>0</v>
      </c>
      <c r="F78" s="597">
        <v>0</v>
      </c>
      <c r="G78" s="597">
        <v>26</v>
      </c>
      <c r="H78" s="597">
        <v>26</v>
      </c>
      <c r="I78" s="597">
        <v>23</v>
      </c>
      <c r="J78" s="622"/>
      <c r="K78" s="604"/>
      <c r="L78" s="604"/>
      <c r="M78" s="604"/>
      <c r="N78" s="455">
        <f>G78/D78</f>
        <v>0.8666666666666667</v>
      </c>
      <c r="O78" s="493">
        <f>H78/G78</f>
        <v>1</v>
      </c>
      <c r="P78" s="455">
        <f>I78/H78</f>
        <v>0.88461538461538458</v>
      </c>
      <c r="Q78" s="455">
        <f>I78/D78</f>
        <v>0.76666666666666672</v>
      </c>
      <c r="R78" s="455">
        <f t="shared" ref="R78:R92" si="174">G78/C78</f>
        <v>1.2948207171314742E-2</v>
      </c>
      <c r="S78" s="604"/>
      <c r="T78" s="455"/>
      <c r="U78" s="455"/>
    </row>
    <row r="79" spans="1:21" ht="28.8">
      <c r="A79" s="596" t="s">
        <v>317</v>
      </c>
      <c r="B79" s="596" t="s">
        <v>320</v>
      </c>
      <c r="C79" s="597">
        <v>2009</v>
      </c>
      <c r="D79" s="597">
        <v>62</v>
      </c>
      <c r="E79" s="597">
        <v>0</v>
      </c>
      <c r="F79" s="597">
        <v>0</v>
      </c>
      <c r="G79" s="597">
        <v>57</v>
      </c>
      <c r="H79" s="597">
        <v>57</v>
      </c>
      <c r="I79" s="597">
        <v>52</v>
      </c>
      <c r="J79" s="622"/>
      <c r="K79" s="604"/>
      <c r="L79" s="604"/>
      <c r="M79" s="604"/>
      <c r="N79" s="455">
        <f t="shared" ref="N79:N92" si="175">G79/D79</f>
        <v>0.91935483870967738</v>
      </c>
      <c r="O79" s="493">
        <f t="shared" ref="O79:O92" si="176">H79/G79</f>
        <v>1</v>
      </c>
      <c r="P79" s="455">
        <f t="shared" ref="P79:P92" si="177">I79/H79</f>
        <v>0.91228070175438591</v>
      </c>
      <c r="Q79" s="455">
        <f t="shared" ref="Q79:Q92" si="178">I79/D79</f>
        <v>0.83870967741935487</v>
      </c>
      <c r="R79" s="455">
        <f t="shared" si="174"/>
        <v>2.8372324539571926E-2</v>
      </c>
      <c r="S79" s="604"/>
      <c r="T79" s="455"/>
      <c r="U79" s="455"/>
    </row>
    <row r="80" spans="1:21" ht="28.8">
      <c r="A80" s="596" t="s">
        <v>317</v>
      </c>
      <c r="B80" s="596" t="s">
        <v>320</v>
      </c>
      <c r="C80" s="597">
        <v>2010</v>
      </c>
      <c r="D80" s="597">
        <v>24</v>
      </c>
      <c r="E80" s="597">
        <v>0</v>
      </c>
      <c r="F80" s="597">
        <v>0</v>
      </c>
      <c r="G80" s="597">
        <v>22</v>
      </c>
      <c r="H80" s="597">
        <v>22</v>
      </c>
      <c r="I80" s="597">
        <v>20</v>
      </c>
      <c r="J80" s="622"/>
      <c r="K80" s="604"/>
      <c r="L80" s="604"/>
      <c r="M80" s="604"/>
      <c r="N80" s="455">
        <f t="shared" si="175"/>
        <v>0.91666666666666663</v>
      </c>
      <c r="O80" s="493">
        <f t="shared" si="176"/>
        <v>1</v>
      </c>
      <c r="P80" s="455">
        <f t="shared" si="177"/>
        <v>0.90909090909090906</v>
      </c>
      <c r="Q80" s="455">
        <f t="shared" si="178"/>
        <v>0.83333333333333337</v>
      </c>
      <c r="R80" s="455">
        <f t="shared" si="174"/>
        <v>1.0945273631840797E-2</v>
      </c>
      <c r="S80" s="604"/>
      <c r="T80" s="455"/>
      <c r="U80" s="455"/>
    </row>
    <row r="81" spans="1:21" ht="28.8">
      <c r="A81" s="596" t="s">
        <v>317</v>
      </c>
      <c r="B81" s="596" t="s">
        <v>320</v>
      </c>
      <c r="C81" s="597">
        <v>2011</v>
      </c>
      <c r="D81" s="597">
        <v>383</v>
      </c>
      <c r="E81" s="597">
        <v>0</v>
      </c>
      <c r="F81" s="597">
        <v>0</v>
      </c>
      <c r="G81" s="597">
        <v>316</v>
      </c>
      <c r="H81" s="597">
        <v>322</v>
      </c>
      <c r="I81" s="597">
        <v>239</v>
      </c>
      <c r="J81" s="622"/>
      <c r="K81" s="604"/>
      <c r="L81" s="604"/>
      <c r="M81" s="604"/>
      <c r="N81" s="455">
        <f t="shared" si="175"/>
        <v>0.82506527415143605</v>
      </c>
      <c r="O81" s="493">
        <f t="shared" si="176"/>
        <v>1.018987341772152</v>
      </c>
      <c r="P81" s="455">
        <f t="shared" si="177"/>
        <v>0.74223602484472051</v>
      </c>
      <c r="Q81" s="455">
        <f t="shared" si="178"/>
        <v>0.62402088772845954</v>
      </c>
      <c r="R81" s="455">
        <f t="shared" si="174"/>
        <v>0.15713575335653904</v>
      </c>
      <c r="S81" s="604"/>
      <c r="T81" s="455"/>
      <c r="U81" s="455"/>
    </row>
    <row r="82" spans="1:21" ht="28.8">
      <c r="A82" s="596" t="s">
        <v>317</v>
      </c>
      <c r="B82" s="596" t="s">
        <v>320</v>
      </c>
      <c r="C82" s="597">
        <v>2012</v>
      </c>
      <c r="D82" s="597">
        <v>40</v>
      </c>
      <c r="E82" s="597">
        <v>0</v>
      </c>
      <c r="F82" s="597">
        <v>0</v>
      </c>
      <c r="G82" s="597">
        <v>33</v>
      </c>
      <c r="H82" s="597">
        <v>31</v>
      </c>
      <c r="I82" s="597">
        <v>32</v>
      </c>
      <c r="J82" s="622"/>
      <c r="K82" s="604"/>
      <c r="L82" s="604"/>
      <c r="M82" s="604"/>
      <c r="N82" s="455">
        <f t="shared" si="175"/>
        <v>0.82499999999999996</v>
      </c>
      <c r="O82" s="493">
        <f t="shared" si="176"/>
        <v>0.93939393939393945</v>
      </c>
      <c r="P82" s="455">
        <f t="shared" si="177"/>
        <v>1.032258064516129</v>
      </c>
      <c r="Q82" s="455">
        <f t="shared" si="178"/>
        <v>0.8</v>
      </c>
      <c r="R82" s="455">
        <f t="shared" si="174"/>
        <v>1.6401590457256462E-2</v>
      </c>
      <c r="S82" s="604"/>
      <c r="T82" s="455"/>
      <c r="U82" s="455"/>
    </row>
    <row r="83" spans="1:21" ht="28.8">
      <c r="A83" s="596" t="s">
        <v>317</v>
      </c>
      <c r="B83" s="596" t="s">
        <v>320</v>
      </c>
      <c r="C83" s="597">
        <v>2013</v>
      </c>
      <c r="D83" s="597">
        <v>94</v>
      </c>
      <c r="E83" s="597">
        <v>90</v>
      </c>
      <c r="F83" s="597">
        <v>0</v>
      </c>
      <c r="G83" s="597">
        <v>90</v>
      </c>
      <c r="H83" s="597">
        <v>90</v>
      </c>
      <c r="I83" s="597">
        <v>81</v>
      </c>
      <c r="J83" s="622"/>
      <c r="K83" s="455">
        <f t="shared" ref="K83:K92" si="179">E83/D83</f>
        <v>0.95744680851063835</v>
      </c>
      <c r="L83" s="604"/>
      <c r="M83" s="604"/>
      <c r="N83" s="455">
        <f t="shared" si="175"/>
        <v>0.95744680851063835</v>
      </c>
      <c r="O83" s="493">
        <f t="shared" si="176"/>
        <v>1</v>
      </c>
      <c r="P83" s="455">
        <f t="shared" si="177"/>
        <v>0.9</v>
      </c>
      <c r="Q83" s="455">
        <f t="shared" si="178"/>
        <v>0.86170212765957444</v>
      </c>
      <c r="R83" s="455">
        <f t="shared" si="174"/>
        <v>4.4709388971684055E-2</v>
      </c>
      <c r="S83" s="455"/>
      <c r="T83" s="455"/>
      <c r="U83" s="455"/>
    </row>
    <row r="84" spans="1:21" ht="28.8">
      <c r="A84" s="596" t="s">
        <v>317</v>
      </c>
      <c r="B84" s="596" t="s">
        <v>320</v>
      </c>
      <c r="C84" s="597">
        <v>2014</v>
      </c>
      <c r="D84" s="597">
        <v>230</v>
      </c>
      <c r="E84" s="597">
        <v>212</v>
      </c>
      <c r="F84" s="597">
        <v>0</v>
      </c>
      <c r="G84" s="597">
        <v>198</v>
      </c>
      <c r="H84" s="597">
        <v>198</v>
      </c>
      <c r="I84" s="597">
        <v>102</v>
      </c>
      <c r="J84" s="622"/>
      <c r="K84" s="455">
        <f t="shared" si="179"/>
        <v>0.92173913043478262</v>
      </c>
      <c r="L84" s="604"/>
      <c r="M84" s="604"/>
      <c r="N84" s="455">
        <f t="shared" si="175"/>
        <v>0.86086956521739133</v>
      </c>
      <c r="O84" s="493">
        <f t="shared" si="176"/>
        <v>1</v>
      </c>
      <c r="P84" s="455">
        <f t="shared" si="177"/>
        <v>0.51515151515151514</v>
      </c>
      <c r="Q84" s="455">
        <f t="shared" si="178"/>
        <v>0.44347826086956521</v>
      </c>
      <c r="R84" s="455">
        <f t="shared" si="174"/>
        <v>9.831181727904667E-2</v>
      </c>
      <c r="S84" s="455"/>
      <c r="T84" s="455"/>
      <c r="U84" s="455"/>
    </row>
    <row r="85" spans="1:21" ht="28.8">
      <c r="A85" s="596" t="s">
        <v>317</v>
      </c>
      <c r="B85" s="596" t="s">
        <v>320</v>
      </c>
      <c r="C85" s="597">
        <v>2015</v>
      </c>
      <c r="D85" s="597">
        <v>68</v>
      </c>
      <c r="E85" s="597">
        <v>63</v>
      </c>
      <c r="F85" s="597">
        <v>0</v>
      </c>
      <c r="G85" s="597">
        <v>54</v>
      </c>
      <c r="H85" s="597">
        <v>51</v>
      </c>
      <c r="I85" s="597">
        <v>41</v>
      </c>
      <c r="J85" s="622"/>
      <c r="K85" s="455">
        <f t="shared" si="179"/>
        <v>0.92647058823529416</v>
      </c>
      <c r="L85" s="604"/>
      <c r="M85" s="604"/>
      <c r="N85" s="455">
        <f t="shared" si="175"/>
        <v>0.79411764705882348</v>
      </c>
      <c r="O85" s="493">
        <f t="shared" si="176"/>
        <v>0.94444444444444442</v>
      </c>
      <c r="P85" s="455">
        <f t="shared" si="177"/>
        <v>0.80392156862745101</v>
      </c>
      <c r="Q85" s="455">
        <f t="shared" si="178"/>
        <v>0.6029411764705882</v>
      </c>
      <c r="R85" s="455">
        <f t="shared" si="174"/>
        <v>2.6799007444168736E-2</v>
      </c>
      <c r="S85" s="455"/>
      <c r="T85" s="455"/>
      <c r="U85" s="455"/>
    </row>
    <row r="86" spans="1:21" ht="28.8">
      <c r="A86" s="596" t="s">
        <v>317</v>
      </c>
      <c r="B86" s="596" t="s">
        <v>320</v>
      </c>
      <c r="C86" s="597">
        <v>2016</v>
      </c>
      <c r="D86" s="597">
        <v>113</v>
      </c>
      <c r="E86" s="597">
        <v>108</v>
      </c>
      <c r="F86" s="597">
        <v>0</v>
      </c>
      <c r="G86" s="597">
        <v>101</v>
      </c>
      <c r="H86" s="597">
        <v>101</v>
      </c>
      <c r="I86" s="597">
        <v>88</v>
      </c>
      <c r="J86" s="622"/>
      <c r="K86" s="455">
        <f t="shared" si="179"/>
        <v>0.95575221238938057</v>
      </c>
      <c r="L86" s="604"/>
      <c r="M86" s="604"/>
      <c r="N86" s="455">
        <f t="shared" si="175"/>
        <v>0.89380530973451322</v>
      </c>
      <c r="O86" s="493">
        <f t="shared" si="176"/>
        <v>1</v>
      </c>
      <c r="P86" s="455">
        <f t="shared" si="177"/>
        <v>0.87128712871287128</v>
      </c>
      <c r="Q86" s="455">
        <f t="shared" si="178"/>
        <v>0.77876106194690264</v>
      </c>
      <c r="R86" s="455">
        <f t="shared" si="174"/>
        <v>5.0099206349206352E-2</v>
      </c>
      <c r="S86" s="455"/>
      <c r="T86" s="455"/>
      <c r="U86" s="455"/>
    </row>
    <row r="87" spans="1:21" ht="28.8">
      <c r="A87" s="596" t="s">
        <v>317</v>
      </c>
      <c r="B87" s="596" t="s">
        <v>320</v>
      </c>
      <c r="C87" s="597">
        <v>2017</v>
      </c>
      <c r="D87" s="597">
        <v>54</v>
      </c>
      <c r="E87" s="597">
        <v>50</v>
      </c>
      <c r="F87" s="597">
        <v>0</v>
      </c>
      <c r="G87" s="597">
        <v>46</v>
      </c>
      <c r="H87" s="597">
        <v>45</v>
      </c>
      <c r="I87" s="597">
        <v>33</v>
      </c>
      <c r="J87" s="622"/>
      <c r="K87" s="455">
        <f t="shared" si="179"/>
        <v>0.92592592592592593</v>
      </c>
      <c r="L87" s="604"/>
      <c r="M87" s="604"/>
      <c r="N87" s="455">
        <f t="shared" si="175"/>
        <v>0.85185185185185186</v>
      </c>
      <c r="O87" s="493">
        <f t="shared" si="176"/>
        <v>0.97826086956521741</v>
      </c>
      <c r="P87" s="455">
        <f t="shared" si="177"/>
        <v>0.73333333333333328</v>
      </c>
      <c r="Q87" s="455">
        <f t="shared" si="178"/>
        <v>0.61111111111111116</v>
      </c>
      <c r="R87" s="455">
        <f t="shared" si="174"/>
        <v>2.2806147744174516E-2</v>
      </c>
      <c r="S87" s="455"/>
      <c r="T87" s="455"/>
      <c r="U87" s="455"/>
    </row>
    <row r="88" spans="1:21" ht="28.8">
      <c r="A88" s="596" t="s">
        <v>317</v>
      </c>
      <c r="B88" s="596" t="s">
        <v>320</v>
      </c>
      <c r="C88" s="597">
        <v>2018</v>
      </c>
      <c r="D88" s="597">
        <v>61</v>
      </c>
      <c r="E88" s="597">
        <v>58</v>
      </c>
      <c r="F88" s="597">
        <v>56</v>
      </c>
      <c r="G88" s="597">
        <v>52</v>
      </c>
      <c r="H88" s="597">
        <v>51</v>
      </c>
      <c r="I88" s="597">
        <v>26</v>
      </c>
      <c r="J88" s="622"/>
      <c r="K88" s="455">
        <f t="shared" si="179"/>
        <v>0.95081967213114749</v>
      </c>
      <c r="L88" s="455">
        <f t="shared" ref="L88:L92" si="180">F88/E88</f>
        <v>0.96551724137931039</v>
      </c>
      <c r="M88" s="455">
        <f t="shared" ref="M88:M92" si="181">G88/F88</f>
        <v>0.9285714285714286</v>
      </c>
      <c r="N88" s="455">
        <f t="shared" si="175"/>
        <v>0.85245901639344257</v>
      </c>
      <c r="O88" s="493">
        <f t="shared" si="176"/>
        <v>0.98076923076923073</v>
      </c>
      <c r="P88" s="455">
        <f t="shared" si="177"/>
        <v>0.50980392156862742</v>
      </c>
      <c r="Q88" s="455">
        <f t="shared" si="178"/>
        <v>0.42622950819672129</v>
      </c>
      <c r="R88" s="455">
        <f t="shared" si="174"/>
        <v>2.576808721506442E-2</v>
      </c>
      <c r="S88" s="455"/>
      <c r="T88" s="455"/>
      <c r="U88" s="455"/>
    </row>
    <row r="89" spans="1:21" ht="28.8">
      <c r="A89" s="596" t="s">
        <v>317</v>
      </c>
      <c r="B89" s="596" t="s">
        <v>320</v>
      </c>
      <c r="C89" s="597">
        <v>2019</v>
      </c>
      <c r="D89" s="597">
        <v>38</v>
      </c>
      <c r="E89" s="597">
        <v>36</v>
      </c>
      <c r="F89" s="597">
        <v>34</v>
      </c>
      <c r="G89" s="597">
        <v>35</v>
      </c>
      <c r="H89" s="597">
        <v>35</v>
      </c>
      <c r="I89" s="597">
        <v>29</v>
      </c>
      <c r="J89" s="622"/>
      <c r="K89" s="455">
        <f t="shared" si="179"/>
        <v>0.94736842105263153</v>
      </c>
      <c r="L89" s="455">
        <f t="shared" si="180"/>
        <v>0.94444444444444442</v>
      </c>
      <c r="M89" s="455">
        <f t="shared" si="181"/>
        <v>1.0294117647058822</v>
      </c>
      <c r="N89" s="455">
        <f t="shared" si="175"/>
        <v>0.92105263157894735</v>
      </c>
      <c r="O89" s="493">
        <f t="shared" si="176"/>
        <v>1</v>
      </c>
      <c r="P89" s="455">
        <f t="shared" si="177"/>
        <v>0.82857142857142863</v>
      </c>
      <c r="Q89" s="455">
        <f t="shared" si="178"/>
        <v>0.76315789473684215</v>
      </c>
      <c r="R89" s="455">
        <f t="shared" si="174"/>
        <v>1.7335314512134721E-2</v>
      </c>
      <c r="S89" s="455"/>
      <c r="T89" s="455"/>
      <c r="U89" s="455"/>
    </row>
    <row r="90" spans="1:21" ht="28.8">
      <c r="A90" s="596" t="s">
        <v>317</v>
      </c>
      <c r="B90" s="596" t="s">
        <v>320</v>
      </c>
      <c r="C90" s="597">
        <v>2020</v>
      </c>
      <c r="D90" s="597">
        <v>46</v>
      </c>
      <c r="E90" s="597">
        <v>43</v>
      </c>
      <c r="F90" s="597">
        <v>42</v>
      </c>
      <c r="G90" s="597">
        <v>42</v>
      </c>
      <c r="H90" s="597">
        <v>42</v>
      </c>
      <c r="I90" s="597">
        <v>35</v>
      </c>
      <c r="J90" s="622"/>
      <c r="K90" s="455">
        <f t="shared" si="179"/>
        <v>0.93478260869565222</v>
      </c>
      <c r="L90" s="455">
        <f t="shared" si="180"/>
        <v>0.97674418604651159</v>
      </c>
      <c r="M90" s="455">
        <f t="shared" si="181"/>
        <v>1</v>
      </c>
      <c r="N90" s="455">
        <f t="shared" si="175"/>
        <v>0.91304347826086951</v>
      </c>
      <c r="O90" s="493">
        <f t="shared" si="176"/>
        <v>1</v>
      </c>
      <c r="P90" s="455">
        <f t="shared" si="177"/>
        <v>0.83333333333333337</v>
      </c>
      <c r="Q90" s="455">
        <f t="shared" si="178"/>
        <v>0.76086956521739135</v>
      </c>
      <c r="R90" s="455">
        <f t="shared" si="174"/>
        <v>2.0792079207920793E-2</v>
      </c>
      <c r="S90" s="455"/>
      <c r="T90" s="455"/>
      <c r="U90" s="455"/>
    </row>
    <row r="91" spans="1:21" ht="28.8">
      <c r="A91" s="596" t="s">
        <v>317</v>
      </c>
      <c r="B91" s="596" t="s">
        <v>320</v>
      </c>
      <c r="C91" s="597">
        <v>2021</v>
      </c>
      <c r="D91" s="597">
        <v>89</v>
      </c>
      <c r="E91" s="597">
        <v>80</v>
      </c>
      <c r="F91" s="597">
        <v>75</v>
      </c>
      <c r="G91" s="597">
        <v>74</v>
      </c>
      <c r="H91" s="597">
        <v>74</v>
      </c>
      <c r="I91" s="597">
        <v>73</v>
      </c>
      <c r="J91" s="622"/>
      <c r="K91" s="455">
        <f t="shared" si="179"/>
        <v>0.898876404494382</v>
      </c>
      <c r="L91" s="455">
        <f t="shared" si="180"/>
        <v>0.9375</v>
      </c>
      <c r="M91" s="455">
        <f t="shared" si="181"/>
        <v>0.98666666666666669</v>
      </c>
      <c r="N91" s="455">
        <f t="shared" si="175"/>
        <v>0.8314606741573034</v>
      </c>
      <c r="O91" s="493">
        <f t="shared" si="176"/>
        <v>1</v>
      </c>
      <c r="P91" s="455">
        <f t="shared" si="177"/>
        <v>0.98648648648648651</v>
      </c>
      <c r="Q91" s="455">
        <f t="shared" si="178"/>
        <v>0.8202247191011236</v>
      </c>
      <c r="R91" s="455">
        <f t="shared" si="174"/>
        <v>3.6615536862939141E-2</v>
      </c>
      <c r="S91" s="455"/>
      <c r="T91" s="455"/>
      <c r="U91" s="455"/>
    </row>
    <row r="92" spans="1:21" ht="28.8">
      <c r="A92" s="596" t="s">
        <v>317</v>
      </c>
      <c r="B92" s="596" t="s">
        <v>320</v>
      </c>
      <c r="C92" s="597">
        <v>2022</v>
      </c>
      <c r="D92" s="597">
        <v>127</v>
      </c>
      <c r="E92" s="597">
        <v>121</v>
      </c>
      <c r="F92" s="597">
        <v>115</v>
      </c>
      <c r="G92" s="597">
        <v>114</v>
      </c>
      <c r="H92" s="597">
        <v>113</v>
      </c>
      <c r="I92" s="597">
        <v>113</v>
      </c>
      <c r="J92" s="622"/>
      <c r="K92" s="455">
        <f t="shared" si="179"/>
        <v>0.952755905511811</v>
      </c>
      <c r="L92" s="455">
        <f t="shared" si="180"/>
        <v>0.95041322314049592</v>
      </c>
      <c r="M92" s="455">
        <f t="shared" si="181"/>
        <v>0.99130434782608701</v>
      </c>
      <c r="N92" s="455">
        <f t="shared" si="175"/>
        <v>0.89763779527559051</v>
      </c>
      <c r="O92" s="493">
        <f t="shared" si="176"/>
        <v>0.99122807017543857</v>
      </c>
      <c r="P92" s="455">
        <f t="shared" si="177"/>
        <v>1</v>
      </c>
      <c r="Q92" s="455">
        <f t="shared" si="178"/>
        <v>0.88976377952755903</v>
      </c>
      <c r="R92" s="455">
        <f t="shared" si="174"/>
        <v>5.637982195845697E-2</v>
      </c>
      <c r="S92" s="455"/>
      <c r="T92" s="455"/>
      <c r="U92" s="455"/>
    </row>
  </sheetData>
  <mergeCells count="9">
    <mergeCell ref="B6:O6"/>
    <mergeCell ref="P6:AC6"/>
    <mergeCell ref="E7:G7"/>
    <mergeCell ref="H7:I7"/>
    <mergeCell ref="J7:L7"/>
    <mergeCell ref="M7:O7"/>
    <mergeCell ref="Q7:S7"/>
    <mergeCell ref="T7:V7"/>
    <mergeCell ref="B7:D7"/>
  </mergeCells>
  <phoneticPr fontId="7" type="noConversion"/>
  <pageMargins left="0.7" right="0.7" top="0.75" bottom="0.75" header="0.3" footer="0.3"/>
  <pageSetup scale="59" orientation="landscape" r:id="rId1"/>
  <colBreaks count="1" manualBreakCount="1">
    <brk id="15" max="57"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3" tint="0.39997558519241921"/>
  </sheetPr>
  <dimension ref="A1:AR86"/>
  <sheetViews>
    <sheetView topLeftCell="A8" zoomScaleNormal="100" zoomScaleSheetLayoutView="80" workbookViewId="0">
      <selection activeCell="L28" sqref="L28:M31"/>
    </sheetView>
  </sheetViews>
  <sheetFormatPr defaultRowHeight="13.2"/>
  <cols>
    <col min="1" max="12" width="9.5546875" customWidth="1"/>
    <col min="13" max="13" width="9.6640625" customWidth="1"/>
    <col min="14" max="22" width="9.5546875" customWidth="1"/>
  </cols>
  <sheetData>
    <row r="1" spans="1:44" ht="15" customHeight="1">
      <c r="A1" s="33" t="s">
        <v>48</v>
      </c>
      <c r="B1" s="34"/>
      <c r="C1" s="34"/>
      <c r="D1" s="34"/>
      <c r="E1" s="34"/>
      <c r="F1" s="34"/>
      <c r="G1" s="34"/>
      <c r="H1" s="34"/>
      <c r="I1" s="34"/>
      <c r="J1" s="34"/>
      <c r="K1" s="34"/>
      <c r="L1" s="34"/>
      <c r="M1" s="34"/>
      <c r="N1" s="11"/>
      <c r="O1" s="60">
        <f>'SR Fall Chin'!P1</f>
        <v>39562</v>
      </c>
      <c r="P1" s="54" t="s">
        <v>49</v>
      </c>
      <c r="V1" s="60">
        <f>O1</f>
        <v>39562</v>
      </c>
    </row>
    <row r="2" spans="1:44" ht="41.25" customHeight="1">
      <c r="A2" s="117" t="s">
        <v>87</v>
      </c>
      <c r="B2" s="11"/>
      <c r="C2" s="11"/>
      <c r="D2" s="11"/>
      <c r="E2" s="11"/>
      <c r="F2" s="11"/>
      <c r="G2" s="11"/>
      <c r="H2" s="663" t="s">
        <v>249</v>
      </c>
      <c r="I2" s="663"/>
      <c r="J2" s="663"/>
      <c r="K2" s="663"/>
      <c r="L2" s="663"/>
      <c r="M2" s="663"/>
      <c r="N2" s="663"/>
      <c r="O2" s="11"/>
      <c r="P2" s="11"/>
    </row>
    <row r="3" spans="1:44" ht="15" customHeight="1">
      <c r="A3" s="35" t="s">
        <v>19</v>
      </c>
    </row>
    <row r="4" spans="1:44" ht="15" customHeight="1" thickBot="1">
      <c r="A4" s="10" t="s">
        <v>20</v>
      </c>
      <c r="B4" s="9"/>
      <c r="C4" s="9"/>
      <c r="D4" s="9"/>
      <c r="E4" s="9"/>
      <c r="F4" s="9"/>
      <c r="G4" s="9"/>
      <c r="H4" s="9"/>
      <c r="I4" s="9"/>
      <c r="J4" s="9"/>
      <c r="K4" s="9"/>
      <c r="L4" s="9"/>
      <c r="M4" s="9"/>
      <c r="N4" s="9"/>
      <c r="O4" s="9"/>
      <c r="P4" s="9"/>
      <c r="Q4" s="35" t="s">
        <v>36</v>
      </c>
      <c r="R4" s="35"/>
    </row>
    <row r="5" spans="1:44" ht="15" customHeight="1">
      <c r="A5" s="32"/>
      <c r="B5" s="15"/>
      <c r="C5" s="15"/>
      <c r="D5" s="15"/>
      <c r="E5" s="15"/>
      <c r="F5" s="15"/>
      <c r="G5" s="15"/>
      <c r="H5" s="15"/>
      <c r="I5" s="15"/>
      <c r="J5" s="15"/>
      <c r="K5" s="15"/>
      <c r="L5" s="15"/>
      <c r="M5" s="15"/>
      <c r="N5" s="15"/>
      <c r="O5" s="16"/>
      <c r="P5" s="38"/>
      <c r="Q5" s="39"/>
      <c r="R5" s="39"/>
      <c r="S5" s="39"/>
      <c r="T5" s="39"/>
      <c r="U5" s="39"/>
      <c r="V5" s="40"/>
    </row>
    <row r="6" spans="1:44" ht="15" customHeight="1">
      <c r="A6" s="105"/>
      <c r="B6" s="664" t="s">
        <v>52</v>
      </c>
      <c r="C6" s="665"/>
      <c r="D6" s="665"/>
      <c r="E6" s="665"/>
      <c r="F6" s="665"/>
      <c r="G6" s="665"/>
      <c r="H6" s="665"/>
      <c r="I6" s="665"/>
      <c r="J6" s="665"/>
      <c r="K6" s="665"/>
      <c r="L6" s="665"/>
      <c r="M6" s="665"/>
      <c r="N6" s="665"/>
      <c r="O6" s="666"/>
      <c r="P6" s="664" t="s">
        <v>52</v>
      </c>
      <c r="Q6" s="665"/>
      <c r="R6" s="665"/>
      <c r="S6" s="665"/>
      <c r="T6" s="665"/>
      <c r="U6" s="665"/>
      <c r="V6" s="665"/>
      <c r="W6" s="665"/>
      <c r="X6" s="665"/>
      <c r="Y6" s="665"/>
      <c r="Z6" s="665"/>
      <c r="AA6" s="665"/>
      <c r="AB6" s="665"/>
      <c r="AC6" s="666"/>
    </row>
    <row r="7" spans="1:44" ht="30" customHeight="1">
      <c r="A7" s="104"/>
      <c r="B7" s="667" t="s">
        <v>15</v>
      </c>
      <c r="C7" s="668"/>
      <c r="D7" s="668"/>
      <c r="E7" s="667" t="s">
        <v>11</v>
      </c>
      <c r="F7" s="669"/>
      <c r="G7" s="670"/>
      <c r="H7" s="671" t="s">
        <v>23</v>
      </c>
      <c r="I7" s="672"/>
      <c r="J7" s="673" t="s">
        <v>12</v>
      </c>
      <c r="K7" s="660"/>
      <c r="L7" s="674"/>
      <c r="M7" s="667" t="s">
        <v>16</v>
      </c>
      <c r="N7" s="669"/>
      <c r="O7" s="675"/>
      <c r="P7" s="107"/>
      <c r="Q7" s="676" t="s">
        <v>30</v>
      </c>
      <c r="R7" s="656"/>
      <c r="S7" s="657"/>
      <c r="T7" s="676" t="s">
        <v>46</v>
      </c>
      <c r="U7" s="656"/>
      <c r="V7" s="677"/>
      <c r="AD7" t="s">
        <v>177</v>
      </c>
    </row>
    <row r="8" spans="1:44" ht="57" customHeight="1">
      <c r="A8" s="106" t="s">
        <v>0</v>
      </c>
      <c r="B8" s="30" t="s">
        <v>1</v>
      </c>
      <c r="C8" s="18" t="s">
        <v>27</v>
      </c>
      <c r="D8" s="18" t="s">
        <v>195</v>
      </c>
      <c r="E8" s="30" t="s">
        <v>13</v>
      </c>
      <c r="F8" s="30" t="s">
        <v>167</v>
      </c>
      <c r="G8" s="696" t="s">
        <v>375</v>
      </c>
      <c r="H8" s="697"/>
      <c r="I8" s="30" t="s">
        <v>32</v>
      </c>
      <c r="J8" s="22" t="s">
        <v>17</v>
      </c>
      <c r="K8" s="30" t="s">
        <v>13</v>
      </c>
      <c r="L8" s="698"/>
      <c r="M8" s="699"/>
      <c r="N8" s="30" t="s">
        <v>25</v>
      </c>
      <c r="O8" s="46"/>
      <c r="P8" s="28"/>
      <c r="Q8" s="106" t="s">
        <v>0</v>
      </c>
      <c r="R8" s="30" t="s">
        <v>13</v>
      </c>
      <c r="S8" s="46"/>
      <c r="T8" s="18"/>
      <c r="U8" s="30" t="s">
        <v>21</v>
      </c>
      <c r="V8" s="46"/>
      <c r="W8" s="28"/>
      <c r="X8" s="433" t="s">
        <v>172</v>
      </c>
      <c r="Y8" s="433" t="s">
        <v>173</v>
      </c>
      <c r="Z8" s="283" t="s">
        <v>174</v>
      </c>
      <c r="AA8" s="283" t="s">
        <v>175</v>
      </c>
      <c r="AB8" s="283" t="s">
        <v>176</v>
      </c>
      <c r="AC8" s="437" t="s">
        <v>185</v>
      </c>
      <c r="AD8" s="437" t="s">
        <v>180</v>
      </c>
      <c r="AE8" s="283" t="s">
        <v>178</v>
      </c>
      <c r="AF8" s="283" t="s">
        <v>172</v>
      </c>
      <c r="AG8" s="283" t="s">
        <v>174</v>
      </c>
      <c r="AH8" s="283" t="s">
        <v>175</v>
      </c>
      <c r="AI8" s="283" t="s">
        <v>176</v>
      </c>
      <c r="AJ8" s="437" t="s">
        <v>186</v>
      </c>
      <c r="AK8" s="437" t="s">
        <v>187</v>
      </c>
      <c r="AL8" s="283" t="s">
        <v>178</v>
      </c>
      <c r="AM8" s="283" t="s">
        <v>171</v>
      </c>
      <c r="AN8" s="283" t="s">
        <v>174</v>
      </c>
      <c r="AO8" s="283" t="s">
        <v>175</v>
      </c>
      <c r="AP8" s="283" t="s">
        <v>176</v>
      </c>
      <c r="AQ8" s="437" t="s">
        <v>188</v>
      </c>
      <c r="AR8" s="437" t="s">
        <v>189</v>
      </c>
    </row>
    <row r="9" spans="1:44" ht="15" customHeight="1">
      <c r="A9" s="108" t="s">
        <v>60</v>
      </c>
      <c r="B9" s="87">
        <v>294</v>
      </c>
      <c r="C9" s="19">
        <v>232</v>
      </c>
      <c r="D9" s="23"/>
      <c r="E9" s="79">
        <f t="shared" ref="E9:E14" si="0">C9/B9</f>
        <v>0.78911564625850339</v>
      </c>
      <c r="F9" s="81"/>
      <c r="G9" s="81">
        <f>AC9</f>
        <v>0.7379755013567959</v>
      </c>
      <c r="H9" s="626">
        <f>AD9</f>
        <v>0.83432344118954804</v>
      </c>
      <c r="I9" s="122">
        <v>8.89458518234017E-2</v>
      </c>
      <c r="J9" s="26">
        <v>3.7999999999999999E-2</v>
      </c>
      <c r="K9" s="79">
        <f t="shared" ref="K9:K14" si="1">(C9/B9)/((1-I9)*(1-J9))</f>
        <v>0.90037078061055587</v>
      </c>
      <c r="L9" s="81"/>
      <c r="M9" s="81"/>
      <c r="N9" s="27">
        <f t="shared" ref="N9:N14" si="2">K9^(1/3)</f>
        <v>0.96562195334418188</v>
      </c>
      <c r="O9" s="47"/>
      <c r="P9" s="29"/>
      <c r="Q9" s="108" t="s">
        <v>60</v>
      </c>
      <c r="R9" s="51">
        <f t="shared" ref="R9:R14" si="3">1-K9</f>
        <v>9.9629219389444135E-2</v>
      </c>
      <c r="S9" s="55"/>
      <c r="T9" s="51"/>
      <c r="U9" s="82">
        <f t="shared" ref="U9:U14" si="4">1-N9</f>
        <v>3.4378046655818117E-2</v>
      </c>
      <c r="V9" s="83"/>
      <c r="W9" s="84"/>
      <c r="X9" s="283">
        <f t="shared" ref="X9:X14" si="5">C9</f>
        <v>232</v>
      </c>
      <c r="Y9" s="283">
        <f t="shared" ref="Y9:Y14" si="6">B9</f>
        <v>294</v>
      </c>
      <c r="Z9" s="283">
        <f>X9/Y9</f>
        <v>0.78911564625850339</v>
      </c>
      <c r="AA9" s="283">
        <f t="shared" ref="AA9:AA21" si="7">_xlfn.F.INV(0.05/2, 2*X9, 2*(Y9-X9+1))</f>
        <v>0.7648083320555169</v>
      </c>
      <c r="AB9" s="283">
        <f>_xlfn.F.INV(1-0.05/2, 2*(X9+1), 2*(Y9-X9))</f>
        <v>1.3400134229673613</v>
      </c>
      <c r="AC9" s="496">
        <f>IF(X9=0, 0, 1/(1 +(Y9-X9+1)/(X9*AA9)))</f>
        <v>0.7379755013567959</v>
      </c>
      <c r="AD9" s="496">
        <f>IF(X9=Y9, 1, 1/(1 + (Y9-X9)/(AB9*(X9+1))))</f>
        <v>0.83432344118954804</v>
      </c>
      <c r="AE9" s="283">
        <f t="shared" ref="AE9:AE14" si="8">D9</f>
        <v>0</v>
      </c>
      <c r="AF9" s="283">
        <f t="shared" ref="AF9:AF14" si="9">C9</f>
        <v>232</v>
      </c>
      <c r="AG9" s="283">
        <f>AE9/AF9</f>
        <v>0</v>
      </c>
      <c r="AH9" s="283" t="e">
        <f t="shared" ref="AH9:AH21" si="10">_xlfn.F.INV(0.05/2, 2*AE9, 2*(AF9-AE9+1))</f>
        <v>#NUM!</v>
      </c>
      <c r="AI9" s="283">
        <f>_xlfn.F.INV(1-0.05/2, 2*(AE9+1), 2*(AF9-AE9))</f>
        <v>3.7183627349275801</v>
      </c>
      <c r="AJ9" s="436">
        <f>IF(AE9=0, 0, 1/(1 +(AF9-AE9+1)/(AE9*AH9)))</f>
        <v>0</v>
      </c>
      <c r="AK9" s="436">
        <f>IF(AE9=AF9, 1, 1/(1 + (AF9-AE9)/(AI9*(AE9+1))))</f>
        <v>1.5774599364195445E-2</v>
      </c>
      <c r="AL9" s="283">
        <f t="shared" ref="AL9:AL14" si="11">C9</f>
        <v>232</v>
      </c>
      <c r="AM9" s="283">
        <f t="shared" ref="AM9:AM14" si="12">B9</f>
        <v>294</v>
      </c>
      <c r="AN9" s="283">
        <f>AL9/AM9</f>
        <v>0.78911564625850339</v>
      </c>
      <c r="AO9" s="283">
        <f t="shared" ref="AO9:AO21" si="13">_xlfn.F.INV(0.05/2, 2*AL9, 2*(AM9-AL9+1))</f>
        <v>0.7648083320555169</v>
      </c>
      <c r="AP9" s="283">
        <f>_xlfn.F.INV(1-0.05/2, 2*(AL9+1), 2*(AM9-AL9))</f>
        <v>1.3400134229673613</v>
      </c>
      <c r="AQ9" s="436">
        <f>IF(AL9=0, 0, 1/(1 +(AM9-AL9+1)/(AL9*AO9)))</f>
        <v>0.7379755013567959</v>
      </c>
      <c r="AR9" s="436">
        <f>IF(AL9=AM9, 1, 1/(1 + (AM9-AL9)/(AP9*(AL9+1))))</f>
        <v>0.83432344118954804</v>
      </c>
    </row>
    <row r="10" spans="1:44" ht="15" customHeight="1">
      <c r="A10" s="109">
        <v>2003</v>
      </c>
      <c r="B10" s="11">
        <v>44</v>
      </c>
      <c r="C10" s="20">
        <v>34</v>
      </c>
      <c r="D10" s="24"/>
      <c r="E10" s="36">
        <f t="shared" si="0"/>
        <v>0.77272727272727271</v>
      </c>
      <c r="F10" s="47"/>
      <c r="G10" s="81">
        <f t="shared" ref="G10:G31" si="14">AC10</f>
        <v>0.62155705243448056</v>
      </c>
      <c r="H10" s="626">
        <f t="shared" ref="H10:H31" si="15">AD10</f>
        <v>0.88526648606140435</v>
      </c>
      <c r="I10" s="122">
        <v>0.10748990899092109</v>
      </c>
      <c r="J10" s="26">
        <v>5.2999999999999999E-2</v>
      </c>
      <c r="K10" s="36">
        <f t="shared" si="1"/>
        <v>0.91424612119848503</v>
      </c>
      <c r="L10" s="47"/>
      <c r="M10" s="26"/>
      <c r="N10" s="27">
        <f t="shared" si="2"/>
        <v>0.97055699090607384</v>
      </c>
      <c r="O10" s="47"/>
      <c r="P10" s="29"/>
      <c r="Q10" s="109">
        <v>2003</v>
      </c>
      <c r="R10" s="27">
        <f t="shared" si="3"/>
        <v>8.5753878801514971E-2</v>
      </c>
      <c r="S10" s="47"/>
      <c r="T10" s="27"/>
      <c r="U10" s="36">
        <f t="shared" si="4"/>
        <v>2.9443009093926165E-2</v>
      </c>
      <c r="V10" s="47"/>
      <c r="W10" s="26"/>
      <c r="X10" s="283">
        <f t="shared" si="5"/>
        <v>34</v>
      </c>
      <c r="Y10" s="283">
        <f t="shared" si="6"/>
        <v>44</v>
      </c>
      <c r="Z10" s="283">
        <f t="shared" ref="Z10:Z21" si="16">X10/Y10</f>
        <v>0.77272727272727271</v>
      </c>
      <c r="AA10" s="283">
        <f t="shared" si="7"/>
        <v>0.53136671946441039</v>
      </c>
      <c r="AB10" s="283">
        <f t="shared" ref="AB10:AB21" si="17">_xlfn.F.INV(1-0.05/2, 2*(X10+1), 2*(Y10-X10))</f>
        <v>2.2045283287252713</v>
      </c>
      <c r="AC10" s="496">
        <f t="shared" ref="AC10:AC21" si="18">IF(X10=0, 0, 1/(1 +(Y10-X10+1)/(X10*AA10)))</f>
        <v>0.62155705243448056</v>
      </c>
      <c r="AD10" s="496">
        <f t="shared" ref="AD10:AD21" si="19">IF(X10=Y10, 1, 1/(1 + (Y10-X10)/(AB10*(X10+1))))</f>
        <v>0.88526648606140435</v>
      </c>
      <c r="AE10" s="283">
        <f t="shared" si="8"/>
        <v>0</v>
      </c>
      <c r="AF10" s="283">
        <f t="shared" si="9"/>
        <v>34</v>
      </c>
      <c r="AG10" s="283">
        <f t="shared" ref="AG10:AG21" si="20">AE10/AF10</f>
        <v>0</v>
      </c>
      <c r="AH10" s="283" t="e">
        <f t="shared" si="10"/>
        <v>#NUM!</v>
      </c>
      <c r="AI10" s="283">
        <f t="shared" ref="AI10:AI21" si="21">_xlfn.F.INV(1-0.05/2, 2*(AE10+1), 2*(AF10-AE10))</f>
        <v>3.8964325295054758</v>
      </c>
      <c r="AJ10" s="436">
        <f t="shared" ref="AJ10:AJ21" si="22">IF(AE10=0, 0, 1/(1 +(AF10-AE10+1)/(AE10*AH10)))</f>
        <v>0</v>
      </c>
      <c r="AK10" s="436">
        <f t="shared" ref="AK10:AK21" si="23">IF(AE10=AF10, 1, 1/(1 + (AF10-AE10)/(AI10*(AE10+1))))</f>
        <v>0.10281792425901261</v>
      </c>
      <c r="AL10" s="283">
        <f t="shared" si="11"/>
        <v>34</v>
      </c>
      <c r="AM10" s="283">
        <f t="shared" si="12"/>
        <v>44</v>
      </c>
      <c r="AN10" s="283">
        <f t="shared" ref="AN10:AN21" si="24">AL10/AM10</f>
        <v>0.77272727272727271</v>
      </c>
      <c r="AO10" s="283">
        <f t="shared" si="13"/>
        <v>0.53136671946441039</v>
      </c>
      <c r="AP10" s="283">
        <f t="shared" ref="AP10:AP21" si="25">_xlfn.F.INV(1-0.05/2, 2*(AL10+1), 2*(AM10-AL10))</f>
        <v>2.2045283287252713</v>
      </c>
      <c r="AQ10" s="436">
        <f t="shared" ref="AQ10:AQ21" si="26">IF(AL10=0, 0, 1/(1 +(AM10-AL10+1)/(AL10*AO10)))</f>
        <v>0.62155705243448056</v>
      </c>
      <c r="AR10" s="436">
        <f t="shared" ref="AR10:AR21" si="27">IF(AL10=AM10, 1, 1/(1 + (AM10-AL10)/(AP10*(AL10+1))))</f>
        <v>0.88526648606140435</v>
      </c>
    </row>
    <row r="11" spans="1:44" ht="15" customHeight="1">
      <c r="A11" s="109">
        <v>2004</v>
      </c>
      <c r="B11" s="11">
        <v>3448</v>
      </c>
      <c r="C11" s="20">
        <v>2468</v>
      </c>
      <c r="D11" s="24"/>
      <c r="E11" s="36">
        <f t="shared" si="0"/>
        <v>0.71577726218097448</v>
      </c>
      <c r="F11" s="47"/>
      <c r="G11" s="81">
        <f t="shared" si="14"/>
        <v>0.70039858286217682</v>
      </c>
      <c r="H11" s="626">
        <f t="shared" si="15"/>
        <v>0.73078923451198152</v>
      </c>
      <c r="I11" s="122">
        <v>8.4062801936502091E-2</v>
      </c>
      <c r="J11" s="26">
        <v>4.7E-2</v>
      </c>
      <c r="K11" s="36">
        <f t="shared" si="1"/>
        <v>0.82001028697923783</v>
      </c>
      <c r="L11" s="47"/>
      <c r="M11" s="26"/>
      <c r="N11" s="27">
        <f t="shared" si="2"/>
        <v>0.93599407632675935</v>
      </c>
      <c r="O11" s="47"/>
      <c r="P11" s="29"/>
      <c r="Q11" s="109">
        <v>2004</v>
      </c>
      <c r="R11" s="27">
        <f t="shared" si="3"/>
        <v>0.17998971302076217</v>
      </c>
      <c r="S11" s="47"/>
      <c r="T11" s="27"/>
      <c r="U11" s="36">
        <f t="shared" si="4"/>
        <v>6.400592367324065E-2</v>
      </c>
      <c r="V11" s="47"/>
      <c r="W11" s="26"/>
      <c r="X11" s="283">
        <f t="shared" si="5"/>
        <v>2468</v>
      </c>
      <c r="Y11" s="283">
        <f t="shared" si="6"/>
        <v>3448</v>
      </c>
      <c r="Z11" s="283">
        <f t="shared" si="16"/>
        <v>0.71577726218097448</v>
      </c>
      <c r="AA11" s="283">
        <f t="shared" si="7"/>
        <v>0.92923433269520983</v>
      </c>
      <c r="AB11" s="283">
        <f t="shared" si="17"/>
        <v>1.0774688014167109</v>
      </c>
      <c r="AC11" s="496">
        <f t="shared" si="18"/>
        <v>0.70039858286217682</v>
      </c>
      <c r="AD11" s="496">
        <f t="shared" si="19"/>
        <v>0.73078923451198152</v>
      </c>
      <c r="AE11" s="283">
        <f t="shared" si="8"/>
        <v>0</v>
      </c>
      <c r="AF11" s="283">
        <f t="shared" si="9"/>
        <v>2468</v>
      </c>
      <c r="AG11" s="283">
        <f t="shared" si="20"/>
        <v>0</v>
      </c>
      <c r="AH11" s="283" t="e">
        <f t="shared" si="10"/>
        <v>#NUM!</v>
      </c>
      <c r="AI11" s="283">
        <f t="shared" si="21"/>
        <v>3.6916376822262293</v>
      </c>
      <c r="AJ11" s="436">
        <f t="shared" si="22"/>
        <v>0</v>
      </c>
      <c r="AK11" s="436">
        <f t="shared" si="23"/>
        <v>1.4935672500344663E-3</v>
      </c>
      <c r="AL11" s="283">
        <f t="shared" si="11"/>
        <v>2468</v>
      </c>
      <c r="AM11" s="283">
        <f t="shared" si="12"/>
        <v>3448</v>
      </c>
      <c r="AN11" s="283">
        <f t="shared" si="24"/>
        <v>0.71577726218097448</v>
      </c>
      <c r="AO11" s="283">
        <f t="shared" si="13"/>
        <v>0.92923433269520983</v>
      </c>
      <c r="AP11" s="283">
        <f t="shared" si="25"/>
        <v>1.0774688014167109</v>
      </c>
      <c r="AQ11" s="436">
        <f t="shared" si="26"/>
        <v>0.70039858286217682</v>
      </c>
      <c r="AR11" s="436">
        <f t="shared" si="27"/>
        <v>0.73078923451198152</v>
      </c>
    </row>
    <row r="12" spans="1:44" ht="15" customHeight="1">
      <c r="A12" s="109">
        <v>2005</v>
      </c>
      <c r="B12" s="11">
        <v>6123</v>
      </c>
      <c r="C12" s="20">
        <v>4200</v>
      </c>
      <c r="D12" s="24"/>
      <c r="E12" s="36">
        <f t="shared" si="0"/>
        <v>0.68593826555609994</v>
      </c>
      <c r="F12" s="47"/>
      <c r="G12" s="81">
        <f t="shared" si="14"/>
        <v>0.67414444120144412</v>
      </c>
      <c r="H12" s="626">
        <f t="shared" si="15"/>
        <v>0.69755471524861046</v>
      </c>
      <c r="I12" s="122">
        <v>8.3515218624375678E-2</v>
      </c>
      <c r="J12" s="26">
        <v>4.7E-2</v>
      </c>
      <c r="K12" s="36">
        <f t="shared" si="1"/>
        <v>0.78535655440890617</v>
      </c>
      <c r="L12" s="47"/>
      <c r="M12" s="26"/>
      <c r="N12" s="27">
        <f t="shared" si="2"/>
        <v>0.92261878084948523</v>
      </c>
      <c r="O12" s="47"/>
      <c r="P12" s="29"/>
      <c r="Q12" s="109">
        <v>2005</v>
      </c>
      <c r="R12" s="27">
        <f t="shared" si="3"/>
        <v>0.21464344559109383</v>
      </c>
      <c r="S12" s="47"/>
      <c r="T12" s="27"/>
      <c r="U12" s="36">
        <f t="shared" si="4"/>
        <v>7.7381219150514768E-2</v>
      </c>
      <c r="V12" s="47"/>
      <c r="W12" s="26"/>
      <c r="X12" s="283">
        <f t="shared" si="5"/>
        <v>4200</v>
      </c>
      <c r="Y12" s="283">
        <f t="shared" si="6"/>
        <v>6123</v>
      </c>
      <c r="Z12" s="283">
        <f t="shared" si="16"/>
        <v>0.68593826555609994</v>
      </c>
      <c r="AA12" s="283">
        <f t="shared" si="7"/>
        <v>0.94772775840129531</v>
      </c>
      <c r="AB12" s="283">
        <f t="shared" si="17"/>
        <v>1.0557426422414828</v>
      </c>
      <c r="AC12" s="496">
        <f t="shared" si="18"/>
        <v>0.67414444120144412</v>
      </c>
      <c r="AD12" s="496">
        <f t="shared" si="19"/>
        <v>0.69755471524861046</v>
      </c>
      <c r="AE12" s="283">
        <f t="shared" si="8"/>
        <v>0</v>
      </c>
      <c r="AF12" s="283">
        <f t="shared" si="9"/>
        <v>4200</v>
      </c>
      <c r="AG12" s="283">
        <f t="shared" si="20"/>
        <v>0</v>
      </c>
      <c r="AH12" s="283" t="e">
        <f t="shared" si="10"/>
        <v>#NUM!</v>
      </c>
      <c r="AI12" s="283">
        <f t="shared" si="21"/>
        <v>3.6904999084521681</v>
      </c>
      <c r="AJ12" s="436">
        <f t="shared" si="22"/>
        <v>0</v>
      </c>
      <c r="AK12" s="436">
        <f t="shared" si="23"/>
        <v>8.7791903531730974E-4</v>
      </c>
      <c r="AL12" s="283">
        <f t="shared" si="11"/>
        <v>4200</v>
      </c>
      <c r="AM12" s="283">
        <f t="shared" si="12"/>
        <v>6123</v>
      </c>
      <c r="AN12" s="283">
        <f t="shared" si="24"/>
        <v>0.68593826555609994</v>
      </c>
      <c r="AO12" s="283">
        <f t="shared" si="13"/>
        <v>0.94772775840129531</v>
      </c>
      <c r="AP12" s="283">
        <f t="shared" si="25"/>
        <v>1.0557426422414828</v>
      </c>
      <c r="AQ12" s="436">
        <f t="shared" si="26"/>
        <v>0.67414444120144412</v>
      </c>
      <c r="AR12" s="436">
        <f t="shared" si="27"/>
        <v>0.69755471524861046</v>
      </c>
    </row>
    <row r="13" spans="1:44" ht="15" customHeight="1">
      <c r="A13" s="237">
        <v>2006</v>
      </c>
      <c r="B13" s="11">
        <v>6790</v>
      </c>
      <c r="C13" s="20">
        <v>4944</v>
      </c>
      <c r="D13" s="24"/>
      <c r="E13" s="36">
        <f t="shared" si="0"/>
        <v>0.72812960235640645</v>
      </c>
      <c r="F13" s="47"/>
      <c r="G13" s="81">
        <f t="shared" si="14"/>
        <v>0.71737675069222395</v>
      </c>
      <c r="H13" s="626">
        <f t="shared" si="15"/>
        <v>0.73868622120876049</v>
      </c>
      <c r="I13" s="122">
        <v>0.10617229669730416</v>
      </c>
      <c r="J13" s="26">
        <v>4.7E-2</v>
      </c>
      <c r="K13" s="36">
        <f t="shared" si="1"/>
        <v>0.85479500579827761</v>
      </c>
      <c r="L13" s="47"/>
      <c r="M13" s="26"/>
      <c r="N13" s="27">
        <f t="shared" si="2"/>
        <v>0.94904613613139766</v>
      </c>
      <c r="O13" s="47"/>
      <c r="P13" s="29"/>
      <c r="Q13" s="109">
        <v>2006</v>
      </c>
      <c r="R13" s="27">
        <f t="shared" si="3"/>
        <v>0.14520499420172239</v>
      </c>
      <c r="S13" s="47"/>
      <c r="T13" s="27"/>
      <c r="U13" s="36">
        <f t="shared" si="4"/>
        <v>5.0953863868602345E-2</v>
      </c>
      <c r="V13" s="47"/>
      <c r="W13" s="26"/>
      <c r="X13" s="283">
        <f t="shared" si="5"/>
        <v>4944</v>
      </c>
      <c r="Y13" s="283">
        <f t="shared" si="6"/>
        <v>6790</v>
      </c>
      <c r="Z13" s="283">
        <f t="shared" si="16"/>
        <v>0.72812960235640645</v>
      </c>
      <c r="AA13" s="283">
        <f t="shared" si="7"/>
        <v>0.94826090506618788</v>
      </c>
      <c r="AB13" s="283">
        <f t="shared" si="17"/>
        <v>1.0552687773921061</v>
      </c>
      <c r="AC13" s="496">
        <f t="shared" si="18"/>
        <v>0.71737675069222395</v>
      </c>
      <c r="AD13" s="496">
        <f t="shared" si="19"/>
        <v>0.73868622120876049</v>
      </c>
      <c r="AE13" s="283">
        <f t="shared" si="8"/>
        <v>0</v>
      </c>
      <c r="AF13" s="283">
        <f t="shared" si="9"/>
        <v>4944</v>
      </c>
      <c r="AG13" s="283">
        <f t="shared" si="20"/>
        <v>0</v>
      </c>
      <c r="AH13" s="283" t="e">
        <f t="shared" si="10"/>
        <v>#NUM!</v>
      </c>
      <c r="AI13" s="283">
        <f t="shared" si="21"/>
        <v>3.6902559930172649</v>
      </c>
      <c r="AJ13" s="436">
        <f t="shared" si="22"/>
        <v>0</v>
      </c>
      <c r="AK13" s="436">
        <f t="shared" si="23"/>
        <v>7.4585428797757636E-4</v>
      </c>
      <c r="AL13" s="283">
        <f t="shared" si="11"/>
        <v>4944</v>
      </c>
      <c r="AM13" s="283">
        <f t="shared" si="12"/>
        <v>6790</v>
      </c>
      <c r="AN13" s="283">
        <f t="shared" si="24"/>
        <v>0.72812960235640645</v>
      </c>
      <c r="AO13" s="283">
        <f t="shared" si="13"/>
        <v>0.94826090506618788</v>
      </c>
      <c r="AP13" s="283">
        <f t="shared" si="25"/>
        <v>1.0552687773921061</v>
      </c>
      <c r="AQ13" s="436">
        <f t="shared" si="26"/>
        <v>0.71737675069222395</v>
      </c>
      <c r="AR13" s="436">
        <f t="shared" si="27"/>
        <v>0.73868622120876049</v>
      </c>
    </row>
    <row r="14" spans="1:44" ht="15" customHeight="1" thickBot="1">
      <c r="A14" s="237">
        <v>2007</v>
      </c>
      <c r="B14" s="20">
        <v>1167</v>
      </c>
      <c r="C14" s="20">
        <v>856</v>
      </c>
      <c r="D14" s="20"/>
      <c r="E14" s="36">
        <f t="shared" si="0"/>
        <v>0.7335047129391602</v>
      </c>
      <c r="F14" s="47"/>
      <c r="G14" s="81">
        <f t="shared" si="14"/>
        <v>0.70714204112361578</v>
      </c>
      <c r="H14" s="626">
        <f t="shared" si="15"/>
        <v>0.75868489217163815</v>
      </c>
      <c r="I14" s="122">
        <v>9.7412866310849583E-2</v>
      </c>
      <c r="J14" s="27">
        <v>4.7E-2</v>
      </c>
      <c r="K14" s="36">
        <f t="shared" si="1"/>
        <v>0.85274831435196219</v>
      </c>
      <c r="L14" s="47"/>
      <c r="M14" s="26"/>
      <c r="N14" s="27">
        <f t="shared" si="2"/>
        <v>0.94828807642638924</v>
      </c>
      <c r="O14" s="47"/>
      <c r="P14" s="27"/>
      <c r="Q14" s="237">
        <v>2007</v>
      </c>
      <c r="R14" s="27">
        <f t="shared" si="3"/>
        <v>0.14725168564803781</v>
      </c>
      <c r="S14" s="47"/>
      <c r="T14" s="27"/>
      <c r="U14" s="36">
        <f t="shared" si="4"/>
        <v>5.1711923573610763E-2</v>
      </c>
      <c r="V14" s="47"/>
      <c r="W14" s="26"/>
      <c r="X14" s="283">
        <f t="shared" si="5"/>
        <v>856</v>
      </c>
      <c r="Y14" s="283">
        <f t="shared" si="6"/>
        <v>1167</v>
      </c>
      <c r="Z14" s="283">
        <f t="shared" si="16"/>
        <v>0.7335047129391602</v>
      </c>
      <c r="AA14" s="283">
        <f t="shared" si="7"/>
        <v>0.88009682841560699</v>
      </c>
      <c r="AB14" s="283">
        <f t="shared" si="17"/>
        <v>1.1409234086633857</v>
      </c>
      <c r="AC14" s="496">
        <f t="shared" si="18"/>
        <v>0.70714204112361578</v>
      </c>
      <c r="AD14" s="496">
        <f t="shared" si="19"/>
        <v>0.75868489217163815</v>
      </c>
      <c r="AE14" s="283">
        <f t="shared" si="8"/>
        <v>0</v>
      </c>
      <c r="AF14" s="283">
        <f t="shared" si="9"/>
        <v>856</v>
      </c>
      <c r="AG14" s="283">
        <f t="shared" si="20"/>
        <v>0</v>
      </c>
      <c r="AH14" s="283" t="e">
        <f t="shared" si="10"/>
        <v>#NUM!</v>
      </c>
      <c r="AI14" s="283">
        <f t="shared" si="21"/>
        <v>3.6968393840651417</v>
      </c>
      <c r="AJ14" s="436">
        <f t="shared" si="22"/>
        <v>0</v>
      </c>
      <c r="AK14" s="436">
        <f t="shared" si="23"/>
        <v>4.3001663082927744E-3</v>
      </c>
      <c r="AL14" s="283">
        <f t="shared" si="11"/>
        <v>856</v>
      </c>
      <c r="AM14" s="283">
        <f t="shared" si="12"/>
        <v>1167</v>
      </c>
      <c r="AN14" s="283">
        <f t="shared" si="24"/>
        <v>0.7335047129391602</v>
      </c>
      <c r="AO14" s="283">
        <f t="shared" si="13"/>
        <v>0.88009682841560699</v>
      </c>
      <c r="AP14" s="283">
        <f t="shared" si="25"/>
        <v>1.1409234086633857</v>
      </c>
      <c r="AQ14" s="436">
        <f t="shared" si="26"/>
        <v>0.70714204112361578</v>
      </c>
      <c r="AR14" s="436">
        <f t="shared" si="27"/>
        <v>0.75868489217163815</v>
      </c>
    </row>
    <row r="15" spans="1:44" ht="15" customHeight="1" thickBot="1">
      <c r="A15" s="215" t="s">
        <v>81</v>
      </c>
      <c r="B15" s="160"/>
      <c r="C15" s="160"/>
      <c r="D15" s="160"/>
      <c r="E15" s="161">
        <f>AVERAGE(E9:E14)</f>
        <v>0.73753212700306958</v>
      </c>
      <c r="F15" s="238"/>
      <c r="G15" s="81">
        <f t="shared" si="14"/>
        <v>0</v>
      </c>
      <c r="H15" s="626">
        <f t="shared" si="15"/>
        <v>0</v>
      </c>
      <c r="I15" s="161">
        <f>AVERAGE(I9:I14)</f>
        <v>9.4599824063892377E-2</v>
      </c>
      <c r="J15" s="161">
        <f>AVERAGE(J9:J14)</f>
        <v>4.6499999999999993E-2</v>
      </c>
      <c r="K15" s="161">
        <f>AVERAGE(K9:K14)</f>
        <v>0.85458784389123743</v>
      </c>
      <c r="L15" s="238"/>
      <c r="M15" s="239"/>
      <c r="N15" s="161">
        <f>AVERAGE(N9:N14)</f>
        <v>0.94868766899738122</v>
      </c>
      <c r="O15" s="238"/>
      <c r="P15" s="240"/>
      <c r="Q15" s="262" t="s">
        <v>81</v>
      </c>
      <c r="R15" s="161">
        <f>AVERAGE(R9:R14)</f>
        <v>0.14541215610876254</v>
      </c>
      <c r="S15" s="238"/>
      <c r="T15" s="240"/>
      <c r="U15" s="161">
        <f>AVERAGE(U9:U14)</f>
        <v>5.1312331002618804E-2</v>
      </c>
      <c r="V15" s="238"/>
      <c r="W15" s="260"/>
      <c r="X15" s="283"/>
      <c r="Y15" s="283"/>
      <c r="Z15" s="283"/>
      <c r="AA15" s="283"/>
      <c r="AB15" s="283"/>
      <c r="AC15" s="496"/>
      <c r="AD15" s="496"/>
      <c r="AE15" s="283"/>
      <c r="AF15" s="283"/>
      <c r="AG15" s="283"/>
      <c r="AH15" s="283"/>
      <c r="AI15" s="283"/>
      <c r="AJ15" s="436"/>
      <c r="AK15" s="436"/>
      <c r="AL15" s="283"/>
      <c r="AM15" s="283"/>
      <c r="AN15" s="283"/>
      <c r="AO15" s="283"/>
      <c r="AP15" s="283"/>
      <c r="AQ15" s="436"/>
      <c r="AR15" s="436"/>
    </row>
    <row r="16" spans="1:44" ht="15" customHeight="1">
      <c r="A16" s="237">
        <v>2008</v>
      </c>
      <c r="B16" s="123">
        <v>336</v>
      </c>
      <c r="C16" s="123">
        <v>251</v>
      </c>
      <c r="D16" s="65"/>
      <c r="E16" s="61">
        <f t="shared" ref="E16:E18" si="28">C16/B16</f>
        <v>0.74702380952380953</v>
      </c>
      <c r="F16" s="62"/>
      <c r="G16" s="81">
        <f t="shared" si="14"/>
        <v>0.69699771682595713</v>
      </c>
      <c r="H16" s="626">
        <f t="shared" si="15"/>
        <v>0.7926359732410847</v>
      </c>
      <c r="I16" s="129">
        <v>0.13195500689752751</v>
      </c>
      <c r="J16" s="27">
        <v>4.7E-2</v>
      </c>
      <c r="K16" s="61">
        <f t="shared" ref="K16:K31" si="29">(C16/B16)/((1-I16)*(1-J16))</f>
        <v>0.90302402947059379</v>
      </c>
      <c r="L16" s="62"/>
      <c r="M16" s="64"/>
      <c r="N16" s="63">
        <f t="shared" ref="N16:N18" si="30">K16^(1/3)</f>
        <v>0.96656953437700088</v>
      </c>
      <c r="O16" s="62"/>
      <c r="P16" s="63"/>
      <c r="Q16" s="109">
        <v>2008</v>
      </c>
      <c r="R16" s="27">
        <f t="shared" ref="R16" si="31">1-K16</f>
        <v>9.6975970529406208E-2</v>
      </c>
      <c r="S16" s="47"/>
      <c r="T16" s="27"/>
      <c r="U16" s="36">
        <f t="shared" ref="U16" si="32">1-N16</f>
        <v>3.3430465622999117E-2</v>
      </c>
      <c r="V16" s="47"/>
      <c r="W16" s="26"/>
      <c r="X16" s="283">
        <f t="shared" ref="X16:X31" si="33">C16</f>
        <v>251</v>
      </c>
      <c r="Y16" s="283">
        <f t="shared" ref="Y16:Y31" si="34">B16</f>
        <v>336</v>
      </c>
      <c r="Z16" s="283">
        <f t="shared" si="16"/>
        <v>0.74702380952380953</v>
      </c>
      <c r="AA16" s="283">
        <f t="shared" si="7"/>
        <v>0.78815236710302938</v>
      </c>
      <c r="AB16" s="283">
        <f t="shared" si="17"/>
        <v>1.2893141404771737</v>
      </c>
      <c r="AC16" s="496">
        <f t="shared" si="18"/>
        <v>0.69699771682595713</v>
      </c>
      <c r="AD16" s="496">
        <f t="shared" si="19"/>
        <v>0.7926359732410847</v>
      </c>
      <c r="AE16" s="283">
        <f t="shared" ref="AE16:AE31" si="35">D16</f>
        <v>0</v>
      </c>
      <c r="AF16" s="283">
        <f t="shared" ref="AF16:AF31" si="36">C16</f>
        <v>251</v>
      </c>
      <c r="AG16" s="283">
        <f t="shared" si="20"/>
        <v>0</v>
      </c>
      <c r="AH16" s="283" t="e">
        <f t="shared" si="10"/>
        <v>#NUM!</v>
      </c>
      <c r="AI16" s="283">
        <f t="shared" si="21"/>
        <v>3.7161199736940729</v>
      </c>
      <c r="AJ16" s="436">
        <f t="shared" si="22"/>
        <v>0</v>
      </c>
      <c r="AK16" s="436">
        <f t="shared" si="23"/>
        <v>1.4589261072592723E-2</v>
      </c>
      <c r="AL16" s="283">
        <f t="shared" ref="AL16:AL31" si="37">C16</f>
        <v>251</v>
      </c>
      <c r="AM16" s="283">
        <f t="shared" ref="AM16:AM31" si="38">B16</f>
        <v>336</v>
      </c>
      <c r="AN16" s="283">
        <f t="shared" si="24"/>
        <v>0.74702380952380953</v>
      </c>
      <c r="AO16" s="283">
        <f t="shared" si="13"/>
        <v>0.78815236710302938</v>
      </c>
      <c r="AP16" s="283">
        <f t="shared" si="25"/>
        <v>1.2893141404771737</v>
      </c>
      <c r="AQ16" s="436">
        <f t="shared" si="26"/>
        <v>0.69699771682595713</v>
      </c>
      <c r="AR16" s="436">
        <f t="shared" si="27"/>
        <v>0.7926359732410847</v>
      </c>
    </row>
    <row r="17" spans="1:44" ht="15" customHeight="1">
      <c r="A17" s="143">
        <v>2009</v>
      </c>
      <c r="B17" s="123">
        <v>390</v>
      </c>
      <c r="C17" s="123">
        <v>286</v>
      </c>
      <c r="D17" s="65"/>
      <c r="E17" s="63">
        <f t="shared" si="28"/>
        <v>0.73333333333333328</v>
      </c>
      <c r="F17" s="62"/>
      <c r="G17" s="81">
        <f t="shared" si="14"/>
        <v>0.68649705637629532</v>
      </c>
      <c r="H17" s="626">
        <f t="shared" si="15"/>
        <v>0.77658776378224326</v>
      </c>
      <c r="I17" s="129">
        <v>0.13329646864658393</v>
      </c>
      <c r="J17" s="27">
        <v>4.7E-2</v>
      </c>
      <c r="K17" s="61">
        <f t="shared" si="29"/>
        <v>0.88784664799051893</v>
      </c>
      <c r="L17" s="62"/>
      <c r="M17" s="63"/>
      <c r="N17" s="63">
        <f t="shared" si="30"/>
        <v>0.96112377369555257</v>
      </c>
      <c r="O17" s="62"/>
      <c r="P17" s="63"/>
      <c r="Q17" s="273">
        <v>2009</v>
      </c>
      <c r="R17" s="27">
        <f t="shared" ref="R17:R18" si="39">1-K17</f>
        <v>0.11215335200948107</v>
      </c>
      <c r="S17" s="47"/>
      <c r="T17" s="27"/>
      <c r="U17" s="36">
        <f t="shared" ref="U17:U18" si="40">1-N17</f>
        <v>3.8876226304447425E-2</v>
      </c>
      <c r="V17" s="47"/>
      <c r="W17" s="27"/>
      <c r="X17" s="283">
        <f t="shared" si="33"/>
        <v>286</v>
      </c>
      <c r="Y17" s="283">
        <f t="shared" si="34"/>
        <v>390</v>
      </c>
      <c r="Z17" s="283">
        <f t="shared" si="16"/>
        <v>0.73333333333333328</v>
      </c>
      <c r="AA17" s="283">
        <f t="shared" si="7"/>
        <v>0.8039338631799875</v>
      </c>
      <c r="AB17" s="283">
        <f t="shared" si="17"/>
        <v>1.2596068980310846</v>
      </c>
      <c r="AC17" s="496">
        <f t="shared" si="18"/>
        <v>0.68649705637629532</v>
      </c>
      <c r="AD17" s="496">
        <f t="shared" si="19"/>
        <v>0.77658776378224326</v>
      </c>
      <c r="AE17" s="283">
        <f t="shared" si="35"/>
        <v>0</v>
      </c>
      <c r="AF17" s="283">
        <f t="shared" si="36"/>
        <v>286</v>
      </c>
      <c r="AG17" s="283">
        <f t="shared" si="20"/>
        <v>0</v>
      </c>
      <c r="AH17" s="283" t="e">
        <f t="shared" si="10"/>
        <v>#NUM!</v>
      </c>
      <c r="AI17" s="283">
        <f t="shared" si="21"/>
        <v>3.7127719824149992</v>
      </c>
      <c r="AJ17" s="436">
        <f t="shared" si="22"/>
        <v>0</v>
      </c>
      <c r="AK17" s="436">
        <f t="shared" si="23"/>
        <v>1.2815354866855359E-2</v>
      </c>
      <c r="AL17" s="283">
        <f t="shared" si="37"/>
        <v>286</v>
      </c>
      <c r="AM17" s="283">
        <f t="shared" si="38"/>
        <v>390</v>
      </c>
      <c r="AN17" s="283">
        <f t="shared" si="24"/>
        <v>0.73333333333333328</v>
      </c>
      <c r="AO17" s="283">
        <f t="shared" si="13"/>
        <v>0.8039338631799875</v>
      </c>
      <c r="AP17" s="283">
        <f t="shared" si="25"/>
        <v>1.2596068980310846</v>
      </c>
      <c r="AQ17" s="436">
        <f t="shared" si="26"/>
        <v>0.68649705637629532</v>
      </c>
      <c r="AR17" s="436">
        <f t="shared" si="27"/>
        <v>0.77658776378224326</v>
      </c>
    </row>
    <row r="18" spans="1:44" ht="15" customHeight="1">
      <c r="A18" s="273">
        <v>2010</v>
      </c>
      <c r="B18" s="119">
        <v>938</v>
      </c>
      <c r="C18" s="119">
        <v>736</v>
      </c>
      <c r="D18" s="20">
        <v>679</v>
      </c>
      <c r="E18" s="36">
        <f t="shared" si="28"/>
        <v>0.78464818763326227</v>
      </c>
      <c r="F18" s="47">
        <f t="shared" ref="F18" si="41">D18/C18</f>
        <v>0.92255434782608692</v>
      </c>
      <c r="G18" s="81">
        <f t="shared" si="14"/>
        <v>0.75693550621565331</v>
      </c>
      <c r="H18" s="626">
        <f t="shared" si="15"/>
        <v>0.81056033059207011</v>
      </c>
      <c r="I18" s="289">
        <v>0.12625279419018334</v>
      </c>
      <c r="J18" s="27">
        <v>4.7E-2</v>
      </c>
      <c r="K18" s="36">
        <f t="shared" si="29"/>
        <v>0.94231537110004715</v>
      </c>
      <c r="L18" s="47"/>
      <c r="M18" s="27"/>
      <c r="N18" s="27">
        <f t="shared" si="30"/>
        <v>0.98038974193337791</v>
      </c>
      <c r="O18" s="47"/>
      <c r="P18" s="27"/>
      <c r="Q18" s="273">
        <v>2010</v>
      </c>
      <c r="R18" s="14">
        <f t="shared" si="39"/>
        <v>5.768462889995285E-2</v>
      </c>
      <c r="S18" s="50"/>
      <c r="T18" s="14"/>
      <c r="U18" s="13">
        <f t="shared" si="40"/>
        <v>1.9610258066622088E-2</v>
      </c>
      <c r="V18" s="50"/>
      <c r="W18" s="14"/>
      <c r="X18" s="283">
        <f t="shared" si="33"/>
        <v>736</v>
      </c>
      <c r="Y18" s="283">
        <f t="shared" si="34"/>
        <v>938</v>
      </c>
      <c r="Z18" s="283">
        <f t="shared" si="16"/>
        <v>0.78464818763326227</v>
      </c>
      <c r="AA18" s="283">
        <f t="shared" si="7"/>
        <v>0.85892566185868968</v>
      </c>
      <c r="AB18" s="283">
        <f t="shared" si="17"/>
        <v>1.1727307143583001</v>
      </c>
      <c r="AC18" s="496">
        <f t="shared" si="18"/>
        <v>0.75693550621565331</v>
      </c>
      <c r="AD18" s="496">
        <f t="shared" si="19"/>
        <v>0.81056033059207011</v>
      </c>
      <c r="AE18" s="283">
        <f t="shared" si="35"/>
        <v>679</v>
      </c>
      <c r="AF18" s="283">
        <f t="shared" si="36"/>
        <v>736</v>
      </c>
      <c r="AG18" s="283">
        <f t="shared" si="20"/>
        <v>0.92255434782608692</v>
      </c>
      <c r="AH18" s="283">
        <f t="shared" si="10"/>
        <v>0.77585690726484158</v>
      </c>
      <c r="AI18" s="283">
        <f t="shared" si="21"/>
        <v>1.3325562755739651</v>
      </c>
      <c r="AJ18" s="436">
        <f t="shared" si="22"/>
        <v>0.90082195345604332</v>
      </c>
      <c r="AK18" s="436">
        <f t="shared" si="23"/>
        <v>0.94081846612278597</v>
      </c>
      <c r="AL18" s="283">
        <f t="shared" si="37"/>
        <v>736</v>
      </c>
      <c r="AM18" s="283">
        <f t="shared" si="38"/>
        <v>938</v>
      </c>
      <c r="AN18" s="283">
        <f t="shared" si="24"/>
        <v>0.78464818763326227</v>
      </c>
      <c r="AO18" s="283">
        <f t="shared" si="13"/>
        <v>0.85892566185868968</v>
      </c>
      <c r="AP18" s="283">
        <f t="shared" si="25"/>
        <v>1.1727307143583001</v>
      </c>
      <c r="AQ18" s="436">
        <f t="shared" si="26"/>
        <v>0.75693550621565331</v>
      </c>
      <c r="AR18" s="436">
        <f t="shared" si="27"/>
        <v>0.81056033059207011</v>
      </c>
    </row>
    <row r="19" spans="1:44" ht="15" customHeight="1">
      <c r="A19" s="273">
        <v>2011</v>
      </c>
      <c r="B19" s="119">
        <v>936</v>
      </c>
      <c r="C19" s="119">
        <v>734</v>
      </c>
      <c r="D19" s="20"/>
      <c r="E19" s="36">
        <f t="shared" ref="E19:E22" si="42">C19/B19</f>
        <v>0.78418803418803418</v>
      </c>
      <c r="F19" s="47"/>
      <c r="G19" s="81">
        <f t="shared" si="14"/>
        <v>0.75642541525491014</v>
      </c>
      <c r="H19" s="626">
        <f t="shared" si="15"/>
        <v>0.81014917668473474</v>
      </c>
      <c r="I19" s="289">
        <v>0.1025537774448709</v>
      </c>
      <c r="J19" s="27">
        <v>4.7E-2</v>
      </c>
      <c r="K19" s="36">
        <f t="shared" si="29"/>
        <v>0.916893463410832</v>
      </c>
      <c r="L19" s="47"/>
      <c r="M19" s="27"/>
      <c r="N19" s="27">
        <f t="shared" ref="N19:N21" si="43">K19^(1/3)</f>
        <v>0.971492887846924</v>
      </c>
      <c r="O19" s="47"/>
      <c r="P19" s="27"/>
      <c r="Q19" s="273">
        <v>2011</v>
      </c>
      <c r="R19" s="14">
        <f t="shared" ref="R19" si="44">1-K19</f>
        <v>8.3106536589168001E-2</v>
      </c>
      <c r="S19" s="50"/>
      <c r="T19" s="14"/>
      <c r="U19" s="13">
        <f t="shared" ref="U19" si="45">1-N19</f>
        <v>2.8507112153075997E-2</v>
      </c>
      <c r="V19" s="50"/>
      <c r="W19" s="14"/>
      <c r="X19" s="283">
        <f t="shared" si="33"/>
        <v>734</v>
      </c>
      <c r="Y19" s="283">
        <f t="shared" si="34"/>
        <v>936</v>
      </c>
      <c r="Z19" s="283">
        <f t="shared" si="16"/>
        <v>0.78418803418803418</v>
      </c>
      <c r="AA19" s="283">
        <f t="shared" si="7"/>
        <v>0.85888322298250808</v>
      </c>
      <c r="AB19" s="283">
        <f t="shared" si="17"/>
        <v>1.1727799712848221</v>
      </c>
      <c r="AC19" s="496">
        <f t="shared" si="18"/>
        <v>0.75642541525491014</v>
      </c>
      <c r="AD19" s="496">
        <f t="shared" si="19"/>
        <v>0.81014917668473474</v>
      </c>
      <c r="AE19" s="283">
        <f t="shared" si="35"/>
        <v>0</v>
      </c>
      <c r="AF19" s="283">
        <f t="shared" si="36"/>
        <v>734</v>
      </c>
      <c r="AG19" s="283">
        <f t="shared" si="20"/>
        <v>0</v>
      </c>
      <c r="AH19" s="283" t="e">
        <f t="shared" si="10"/>
        <v>#NUM!</v>
      </c>
      <c r="AI19" s="283">
        <f t="shared" si="21"/>
        <v>3.6981646425933583</v>
      </c>
      <c r="AJ19" s="436">
        <f t="shared" si="22"/>
        <v>0</v>
      </c>
      <c r="AK19" s="436">
        <f t="shared" si="23"/>
        <v>5.0131135196535004E-3</v>
      </c>
      <c r="AL19" s="283">
        <f t="shared" si="37"/>
        <v>734</v>
      </c>
      <c r="AM19" s="283">
        <f t="shared" si="38"/>
        <v>936</v>
      </c>
      <c r="AN19" s="283">
        <f t="shared" si="24"/>
        <v>0.78418803418803418</v>
      </c>
      <c r="AO19" s="283">
        <f t="shared" si="13"/>
        <v>0.85888322298250808</v>
      </c>
      <c r="AP19" s="283">
        <f t="shared" si="25"/>
        <v>1.1727799712848221</v>
      </c>
      <c r="AQ19" s="436">
        <f t="shared" si="26"/>
        <v>0.75642541525491014</v>
      </c>
      <c r="AR19" s="436">
        <f t="shared" si="27"/>
        <v>0.81014917668473474</v>
      </c>
    </row>
    <row r="20" spans="1:44" ht="15" customHeight="1">
      <c r="A20" s="273">
        <v>2012</v>
      </c>
      <c r="B20" s="119">
        <v>1043</v>
      </c>
      <c r="C20" s="119">
        <v>820</v>
      </c>
      <c r="D20" s="20"/>
      <c r="E20" s="36">
        <f t="shared" si="42"/>
        <v>0.78619367209971236</v>
      </c>
      <c r="F20" s="47"/>
      <c r="G20" s="81">
        <f t="shared" si="14"/>
        <v>0.76004205142882342</v>
      </c>
      <c r="H20" s="626">
        <f t="shared" si="15"/>
        <v>0.8107190194689089</v>
      </c>
      <c r="I20" s="289">
        <v>0.14476227729842581</v>
      </c>
      <c r="J20" s="27">
        <v>4.7E-2</v>
      </c>
      <c r="K20" s="36">
        <f t="shared" si="29"/>
        <v>0.96460563557246681</v>
      </c>
      <c r="L20" s="47"/>
      <c r="M20" s="27"/>
      <c r="N20" s="27">
        <f t="shared" si="43"/>
        <v>0.98805987946610352</v>
      </c>
      <c r="O20" s="47"/>
      <c r="P20" s="27"/>
      <c r="Q20" s="273">
        <v>2012</v>
      </c>
      <c r="R20" s="14">
        <f t="shared" ref="R20:R22" si="46">1-K20</f>
        <v>3.5394364427533187E-2</v>
      </c>
      <c r="S20" s="50"/>
      <c r="T20" s="14"/>
      <c r="U20" s="13">
        <f t="shared" ref="U20:U22" si="47">1-N20</f>
        <v>1.1940120533896481E-2</v>
      </c>
      <c r="V20" s="50"/>
      <c r="W20" s="14"/>
      <c r="X20" s="283">
        <f t="shared" si="33"/>
        <v>820</v>
      </c>
      <c r="Y20" s="283">
        <f t="shared" si="34"/>
        <v>1043</v>
      </c>
      <c r="Z20" s="283">
        <f t="shared" si="16"/>
        <v>0.78619367209971236</v>
      </c>
      <c r="AA20" s="283">
        <f t="shared" si="7"/>
        <v>0.86524011625127351</v>
      </c>
      <c r="AB20" s="283">
        <f t="shared" si="17"/>
        <v>1.1633893680217084</v>
      </c>
      <c r="AC20" s="496">
        <f t="shared" si="18"/>
        <v>0.76004205142882342</v>
      </c>
      <c r="AD20" s="496">
        <f t="shared" si="19"/>
        <v>0.8107190194689089</v>
      </c>
      <c r="AE20" s="283">
        <f t="shared" si="35"/>
        <v>0</v>
      </c>
      <c r="AF20" s="283">
        <f t="shared" si="36"/>
        <v>820</v>
      </c>
      <c r="AG20" s="283">
        <f t="shared" si="20"/>
        <v>0</v>
      </c>
      <c r="AH20" s="283" t="e">
        <f t="shared" si="10"/>
        <v>#NUM!</v>
      </c>
      <c r="AI20" s="283">
        <f t="shared" si="21"/>
        <v>3.6971893688370763</v>
      </c>
      <c r="AJ20" s="436">
        <f t="shared" si="22"/>
        <v>0</v>
      </c>
      <c r="AK20" s="436">
        <f t="shared" si="23"/>
        <v>4.4885297856486189E-3</v>
      </c>
      <c r="AL20" s="283">
        <f t="shared" si="37"/>
        <v>820</v>
      </c>
      <c r="AM20" s="283">
        <f t="shared" si="38"/>
        <v>1043</v>
      </c>
      <c r="AN20" s="283">
        <f t="shared" si="24"/>
        <v>0.78619367209971236</v>
      </c>
      <c r="AO20" s="283">
        <f t="shared" si="13"/>
        <v>0.86524011625127351</v>
      </c>
      <c r="AP20" s="283">
        <f t="shared" si="25"/>
        <v>1.1633893680217084</v>
      </c>
      <c r="AQ20" s="436">
        <f t="shared" si="26"/>
        <v>0.76004205142882342</v>
      </c>
      <c r="AR20" s="436">
        <f t="shared" si="27"/>
        <v>0.8107190194689089</v>
      </c>
    </row>
    <row r="21" spans="1:44" ht="15" customHeight="1">
      <c r="A21" s="273">
        <v>2013</v>
      </c>
      <c r="B21" s="119">
        <v>772</v>
      </c>
      <c r="C21" s="119">
        <v>553</v>
      </c>
      <c r="D21" s="20">
        <v>502</v>
      </c>
      <c r="E21" s="36">
        <f t="shared" si="42"/>
        <v>0.71632124352331605</v>
      </c>
      <c r="F21" s="47">
        <f>D21/C21</f>
        <v>0.90777576853526221</v>
      </c>
      <c r="G21" s="81">
        <f t="shared" si="14"/>
        <v>0.68309003921748446</v>
      </c>
      <c r="H21" s="626">
        <f t="shared" si="15"/>
        <v>0.74789021165083136</v>
      </c>
      <c r="I21" s="289">
        <v>0.14202185428995723</v>
      </c>
      <c r="J21" s="27">
        <v>4.7E-2</v>
      </c>
      <c r="K21" s="36">
        <f t="shared" si="29"/>
        <v>0.87606979009974695</v>
      </c>
      <c r="L21" s="47"/>
      <c r="M21" s="27"/>
      <c r="N21" s="27">
        <f t="shared" si="43"/>
        <v>0.95685522974898751</v>
      </c>
      <c r="O21" s="47"/>
      <c r="P21" s="27"/>
      <c r="Q21" s="273">
        <v>2013</v>
      </c>
      <c r="R21" s="14">
        <f t="shared" si="46"/>
        <v>0.12393020990025305</v>
      </c>
      <c r="S21" s="50"/>
      <c r="T21" s="14"/>
      <c r="U21" s="13">
        <f t="shared" si="47"/>
        <v>4.3144770251012488E-2</v>
      </c>
      <c r="V21" s="50"/>
      <c r="W21" s="14"/>
      <c r="X21" s="283">
        <f t="shared" si="33"/>
        <v>553</v>
      </c>
      <c r="Y21" s="283">
        <f t="shared" si="34"/>
        <v>772</v>
      </c>
      <c r="Z21" s="283">
        <f t="shared" si="16"/>
        <v>0.71632124352331605</v>
      </c>
      <c r="AA21" s="283">
        <f t="shared" si="7"/>
        <v>0.85751082731296346</v>
      </c>
      <c r="AB21" s="283">
        <f t="shared" si="17"/>
        <v>1.1726880282369971</v>
      </c>
      <c r="AC21" s="496">
        <f t="shared" si="18"/>
        <v>0.68309003921748446</v>
      </c>
      <c r="AD21" s="496">
        <f t="shared" si="19"/>
        <v>0.74789021165083136</v>
      </c>
      <c r="AE21" s="283">
        <f t="shared" si="35"/>
        <v>502</v>
      </c>
      <c r="AF21" s="283">
        <f t="shared" si="36"/>
        <v>553</v>
      </c>
      <c r="AG21" s="283">
        <f t="shared" si="20"/>
        <v>0.90777576853526221</v>
      </c>
      <c r="AH21" s="283">
        <f t="shared" si="10"/>
        <v>0.76342538624890599</v>
      </c>
      <c r="AI21" s="283">
        <f t="shared" si="21"/>
        <v>1.3587813136120157</v>
      </c>
      <c r="AJ21" s="436">
        <f t="shared" si="22"/>
        <v>0.88052556177590391</v>
      </c>
      <c r="AK21" s="436">
        <f t="shared" si="23"/>
        <v>0.93056189052994809</v>
      </c>
      <c r="AL21" s="283">
        <f t="shared" si="37"/>
        <v>553</v>
      </c>
      <c r="AM21" s="283">
        <f t="shared" si="38"/>
        <v>772</v>
      </c>
      <c r="AN21" s="283">
        <f t="shared" si="24"/>
        <v>0.71632124352331605</v>
      </c>
      <c r="AO21" s="283">
        <f t="shared" si="13"/>
        <v>0.85751082731296346</v>
      </c>
      <c r="AP21" s="283">
        <f t="shared" si="25"/>
        <v>1.1726880282369971</v>
      </c>
      <c r="AQ21" s="436">
        <f t="shared" si="26"/>
        <v>0.68309003921748446</v>
      </c>
      <c r="AR21" s="436">
        <f t="shared" si="27"/>
        <v>0.74789021165083136</v>
      </c>
    </row>
    <row r="22" spans="1:44" ht="15" customHeight="1">
      <c r="A22" s="273">
        <v>2014</v>
      </c>
      <c r="B22" s="119">
        <v>870</v>
      </c>
      <c r="C22" s="119">
        <v>660</v>
      </c>
      <c r="D22" s="20">
        <v>425</v>
      </c>
      <c r="E22" s="36">
        <f t="shared" si="42"/>
        <v>0.75862068965517238</v>
      </c>
      <c r="F22" s="47">
        <f t="shared" ref="F22:F31" si="48">D22/C22</f>
        <v>0.64393939393939392</v>
      </c>
      <c r="G22" s="81">
        <f t="shared" si="14"/>
        <v>0.72876312237802277</v>
      </c>
      <c r="H22" s="626">
        <f t="shared" si="15"/>
        <v>0.78671481767773599</v>
      </c>
      <c r="I22" s="289">
        <v>0.14226839026391092</v>
      </c>
      <c r="J22" s="27">
        <v>4.7E-2</v>
      </c>
      <c r="K22" s="36">
        <f t="shared" si="29"/>
        <v>0.92806921513206386</v>
      </c>
      <c r="L22" s="47"/>
      <c r="M22" s="27"/>
      <c r="N22" s="27">
        <f t="shared" ref="N22" si="49">K22^(1/3)</f>
        <v>0.97542404176459985</v>
      </c>
      <c r="O22" s="47"/>
      <c r="P22" s="27"/>
      <c r="Q22" s="273">
        <v>2014</v>
      </c>
      <c r="R22" s="14">
        <f t="shared" si="46"/>
        <v>7.1930784867936137E-2</v>
      </c>
      <c r="S22" s="50"/>
      <c r="T22" s="14"/>
      <c r="U22" s="13">
        <f t="shared" si="47"/>
        <v>2.4575958235400153E-2</v>
      </c>
      <c r="V22" s="50"/>
      <c r="W22" s="14"/>
      <c r="X22" s="283">
        <f t="shared" si="33"/>
        <v>660</v>
      </c>
      <c r="Y22" s="283">
        <f t="shared" si="34"/>
        <v>870</v>
      </c>
      <c r="Z22" s="283">
        <f t="shared" ref="Z22" si="50">X22/Y22</f>
        <v>0.75862068965517238</v>
      </c>
      <c r="AA22" s="283">
        <f t="shared" ref="AA22" si="51">_xlfn.F.INV(0.05/2, 2*X22, 2*(Y22-X22+1))</f>
        <v>0.85896639090450122</v>
      </c>
      <c r="AB22" s="283">
        <f t="shared" ref="AB22" si="52">_xlfn.F.INV(1-0.05/2, 2*(X22+1), 2*(Y22-X22))</f>
        <v>1.1718566283485132</v>
      </c>
      <c r="AC22" s="496">
        <f t="shared" ref="AC22" si="53">IF(X22=0, 0, 1/(1 +(Y22-X22+1)/(X22*AA22)))</f>
        <v>0.72876312237802277</v>
      </c>
      <c r="AD22" s="496">
        <f t="shared" ref="AD22" si="54">IF(X22=Y22, 1, 1/(1 + (Y22-X22)/(AB22*(X22+1))))</f>
        <v>0.78671481767773599</v>
      </c>
      <c r="AE22" s="283">
        <f t="shared" si="35"/>
        <v>425</v>
      </c>
      <c r="AF22" s="283">
        <f t="shared" si="36"/>
        <v>660</v>
      </c>
      <c r="AG22" s="283">
        <f t="shared" ref="AG22" si="55">AE22/AF22</f>
        <v>0.64393939393939392</v>
      </c>
      <c r="AH22" s="283">
        <f t="shared" ref="AH22" si="56">_xlfn.F.INV(0.05/2, 2*AE22, 2*(AF22-AE22+1))</f>
        <v>0.85433558102232965</v>
      </c>
      <c r="AI22" s="283">
        <f t="shared" ref="AI22" si="57">_xlfn.F.INV(1-0.05/2, 2*(AE22+1), 2*(AF22-AE22))</f>
        <v>1.1750148322292044</v>
      </c>
      <c r="AJ22" s="436">
        <f t="shared" ref="AJ22" si="58">IF(AE22=0, 0, 1/(1 +(AF22-AE22+1)/(AE22*AH22)))</f>
        <v>0.60607092900268389</v>
      </c>
      <c r="AK22" s="436">
        <f t="shared" ref="AK22" si="59">IF(AE22=AF22, 1, 1/(1 + (AF22-AE22)/(AI22*(AE22+1))))</f>
        <v>0.68051392656138254</v>
      </c>
      <c r="AL22" s="283">
        <f t="shared" si="37"/>
        <v>660</v>
      </c>
      <c r="AM22" s="283">
        <f t="shared" si="38"/>
        <v>870</v>
      </c>
      <c r="AN22" s="283">
        <f t="shared" ref="AN22" si="60">AL22/AM22</f>
        <v>0.75862068965517238</v>
      </c>
      <c r="AO22" s="283">
        <f t="shared" ref="AO22" si="61">_xlfn.F.INV(0.05/2, 2*AL22, 2*(AM22-AL22+1))</f>
        <v>0.85896639090450122</v>
      </c>
      <c r="AP22" s="283">
        <f t="shared" ref="AP22" si="62">_xlfn.F.INV(1-0.05/2, 2*(AL22+1), 2*(AM22-AL22))</f>
        <v>1.1718566283485132</v>
      </c>
      <c r="AQ22" s="436">
        <f t="shared" ref="AQ22" si="63">IF(AL22=0, 0, 1/(1 +(AM22-AL22+1)/(AL22*AO22)))</f>
        <v>0.72876312237802277</v>
      </c>
      <c r="AR22" s="436">
        <f t="shared" ref="AR22" si="64">IF(AL22=AM22, 1, 1/(1 + (AM22-AL22)/(AP22*(AL22+1))))</f>
        <v>0.78671481767773599</v>
      </c>
    </row>
    <row r="23" spans="1:44" ht="15" customHeight="1">
      <c r="A23" s="273">
        <v>2015</v>
      </c>
      <c r="B23" s="119">
        <v>904</v>
      </c>
      <c r="C23" s="119">
        <v>708</v>
      </c>
      <c r="D23" s="20">
        <v>683</v>
      </c>
      <c r="E23" s="36">
        <f t="shared" ref="E23:E31" si="65">C23/B23</f>
        <v>0.7831858407079646</v>
      </c>
      <c r="F23" s="47">
        <f t="shared" si="48"/>
        <v>0.96468926553672318</v>
      </c>
      <c r="G23" s="81">
        <f t="shared" si="14"/>
        <v>0.7548695964107861</v>
      </c>
      <c r="H23" s="626">
        <f t="shared" si="15"/>
        <v>0.80964276685570769</v>
      </c>
      <c r="I23" s="289">
        <v>0.15062591320143742</v>
      </c>
      <c r="J23" s="27">
        <v>4.7E-2</v>
      </c>
      <c r="K23" s="36">
        <f t="shared" si="29"/>
        <v>0.96754889087769991</v>
      </c>
      <c r="L23" s="47"/>
      <c r="M23" s="27"/>
      <c r="N23" s="27">
        <f t="shared" ref="N23" si="66">K23^(1/3)</f>
        <v>0.98906379912804754</v>
      </c>
      <c r="O23" s="47"/>
      <c r="P23" s="27"/>
      <c r="Q23" s="273">
        <v>2015</v>
      </c>
      <c r="R23" s="14">
        <f t="shared" ref="R23" si="67">1-K23</f>
        <v>3.2451109122300092E-2</v>
      </c>
      <c r="S23" s="50"/>
      <c r="T23" s="14"/>
      <c r="U23" s="13">
        <f t="shared" ref="U23" si="68">1-N23</f>
        <v>1.0936200871952462E-2</v>
      </c>
      <c r="V23" s="50"/>
      <c r="W23" s="14"/>
      <c r="X23" s="283">
        <f t="shared" si="33"/>
        <v>708</v>
      </c>
      <c r="Y23" s="283">
        <f t="shared" si="34"/>
        <v>904</v>
      </c>
      <c r="Z23" s="283">
        <f t="shared" ref="Z23" si="69">X23/Y23</f>
        <v>0.7831858407079646</v>
      </c>
      <c r="AA23" s="283">
        <f t="shared" ref="AA23" si="70">_xlfn.F.INV(0.05/2, 2*X23, 2*(Y23-X23+1))</f>
        <v>0.85685576299744015</v>
      </c>
      <c r="AB23" s="283">
        <f t="shared" ref="AB23" si="71">_xlfn.F.INV(1-0.05/2, 2*(X23+1), 2*(Y23-X23))</f>
        <v>1.1758011831321822</v>
      </c>
      <c r="AC23" s="496">
        <f t="shared" ref="AC23" si="72">IF(X23=0, 0, 1/(1 +(Y23-X23+1)/(X23*AA23)))</f>
        <v>0.7548695964107861</v>
      </c>
      <c r="AD23" s="496">
        <f t="shared" ref="AD23" si="73">IF(X23=Y23, 1, 1/(1 + (Y23-X23)/(AB23*(X23+1))))</f>
        <v>0.80964276685570769</v>
      </c>
      <c r="AE23" s="283">
        <f t="shared" si="35"/>
        <v>683</v>
      </c>
      <c r="AF23" s="283">
        <f t="shared" si="36"/>
        <v>708</v>
      </c>
      <c r="AG23" s="283">
        <f t="shared" ref="AG23" si="74">AE23/AF23</f>
        <v>0.96468926553672318</v>
      </c>
      <c r="AH23" s="283">
        <f t="shared" ref="AH23" si="75">_xlfn.F.INV(0.05/2, 2*AE23, 2*(AF23-AE23+1))</f>
        <v>0.69844254117395022</v>
      </c>
      <c r="AI23" s="283">
        <f t="shared" ref="AI23" si="76">_xlfn.F.INV(1-0.05/2, 2*(AE23+1), 2*(AF23-AE23))</f>
        <v>1.5540118836569887</v>
      </c>
      <c r="AJ23" s="436">
        <f t="shared" ref="AJ23" si="77">IF(AE23=0, 0, 1/(1 +(AF23-AE23+1)/(AE23*AH23)))</f>
        <v>0.94831386463812406</v>
      </c>
      <c r="AK23" s="436">
        <f t="shared" ref="AK23" si="78">IF(AE23=AF23, 1, 1/(1 + (AF23-AE23)/(AI23*(AE23+1))))</f>
        <v>0.9770208787869693</v>
      </c>
      <c r="AL23" s="283">
        <f t="shared" si="37"/>
        <v>708</v>
      </c>
      <c r="AM23" s="283">
        <f t="shared" si="38"/>
        <v>904</v>
      </c>
      <c r="AN23" s="283">
        <f t="shared" ref="AN23" si="79">AL23/AM23</f>
        <v>0.7831858407079646</v>
      </c>
      <c r="AO23" s="283">
        <f t="shared" ref="AO23" si="80">_xlfn.F.INV(0.05/2, 2*AL23, 2*(AM23-AL23+1))</f>
        <v>0.85685576299744015</v>
      </c>
      <c r="AP23" s="283">
        <f t="shared" ref="AP23" si="81">_xlfn.F.INV(1-0.05/2, 2*(AL23+1), 2*(AM23-AL23))</f>
        <v>1.1758011831321822</v>
      </c>
      <c r="AQ23" s="436">
        <f t="shared" ref="AQ23" si="82">IF(AL23=0, 0, 1/(1 +(AM23-AL23+1)/(AL23*AO23)))</f>
        <v>0.7548695964107861</v>
      </c>
      <c r="AR23" s="436">
        <f t="shared" ref="AR23" si="83">IF(AL23=AM23, 1, 1/(1 + (AM23-AL23)/(AP23*(AL23+1))))</f>
        <v>0.80964276685570769</v>
      </c>
    </row>
    <row r="24" spans="1:44" ht="15" customHeight="1">
      <c r="A24" s="273">
        <v>2016</v>
      </c>
      <c r="B24" s="119">
        <v>347</v>
      </c>
      <c r="C24" s="119">
        <v>261</v>
      </c>
      <c r="D24" s="20">
        <v>210</v>
      </c>
      <c r="E24" s="36">
        <f t="shared" si="65"/>
        <v>0.75216138328530258</v>
      </c>
      <c r="F24" s="47">
        <f t="shared" si="48"/>
        <v>0.8045977011494253</v>
      </c>
      <c r="G24" s="81">
        <f t="shared" si="14"/>
        <v>0.70325282638931652</v>
      </c>
      <c r="H24" s="626">
        <f t="shared" si="15"/>
        <v>0.7967080213395269</v>
      </c>
      <c r="I24" s="289">
        <v>0.16091754653504534</v>
      </c>
      <c r="J24" s="27">
        <v>4.7E-2</v>
      </c>
      <c r="K24" s="36">
        <f t="shared" si="29"/>
        <v>0.94061844876760237</v>
      </c>
      <c r="L24" s="47"/>
      <c r="M24" s="27"/>
      <c r="N24" s="27">
        <f t="shared" ref="N24:N30" si="84">K24^(1/3)</f>
        <v>0.97980089276101601</v>
      </c>
      <c r="O24" s="47"/>
      <c r="P24" s="27"/>
      <c r="Q24" s="273">
        <v>2016</v>
      </c>
      <c r="R24" s="14">
        <f t="shared" ref="R24:R30" si="85">1-K24</f>
        <v>5.9381551232397634E-2</v>
      </c>
      <c r="S24" s="50"/>
      <c r="T24" s="14"/>
      <c r="U24" s="13">
        <f t="shared" ref="U24:U30" si="86">1-N24</f>
        <v>2.0199107238983993E-2</v>
      </c>
      <c r="V24" s="50"/>
      <c r="W24" s="14"/>
      <c r="X24" s="283">
        <f t="shared" si="33"/>
        <v>261</v>
      </c>
      <c r="Y24" s="283">
        <f t="shared" si="34"/>
        <v>347</v>
      </c>
      <c r="Z24" s="283">
        <f t="shared" ref="Z24:Z28" si="87">X24/Y24</f>
        <v>0.75216138328530258</v>
      </c>
      <c r="AA24" s="283">
        <f t="shared" ref="AA24:AA28" si="88">_xlfn.F.INV(0.05/2, 2*X24, 2*(Y24-X24+1))</f>
        <v>0.78995734296018005</v>
      </c>
      <c r="AB24" s="283">
        <f t="shared" ref="AB24:AB28" si="89">_xlfn.F.INV(1-0.05/2, 2*(X24+1), 2*(Y24-X24))</f>
        <v>1.2864002230801321</v>
      </c>
      <c r="AC24" s="496">
        <f t="shared" ref="AC24:AC28" si="90">IF(X24=0, 0, 1/(1 +(Y24-X24+1)/(X24*AA24)))</f>
        <v>0.70325282638931652</v>
      </c>
      <c r="AD24" s="496">
        <f t="shared" ref="AD24:AD28" si="91">IF(X24=Y24, 1, 1/(1 + (Y24-X24)/(AB24*(X24+1))))</f>
        <v>0.7967080213395269</v>
      </c>
      <c r="AE24" s="283">
        <f t="shared" si="35"/>
        <v>210</v>
      </c>
      <c r="AF24" s="283">
        <f t="shared" si="36"/>
        <v>261</v>
      </c>
      <c r="AG24" s="283">
        <f t="shared" ref="AG24:AG28" si="92">AE24/AF24</f>
        <v>0.8045977011494253</v>
      </c>
      <c r="AH24" s="283">
        <f t="shared" ref="AH24:AH28" si="93">_xlfn.F.INV(0.05/2, 2*AE24, 2*(AF24-AE24+1))</f>
        <v>0.74771225673400976</v>
      </c>
      <c r="AI24" s="283">
        <f t="shared" ref="AI24:AI28" si="94">_xlfn.F.INV(1-0.05/2, 2*(AE24+1), 2*(AF24-AE24))</f>
        <v>1.3795227827548835</v>
      </c>
      <c r="AJ24" s="436">
        <f t="shared" ref="AJ24:AJ28" si="95">IF(AE24=0, 0, 1/(1 +(AF24-AE24+1)/(AE24*AH24)))</f>
        <v>0.75121947181195681</v>
      </c>
      <c r="AK24" s="436">
        <f t="shared" ref="AK24:AK28" si="96">IF(AE24=AF24, 1, 1/(1 + (AF24-AE24)/(AI24*(AE24+1))))</f>
        <v>0.85091176539376301</v>
      </c>
      <c r="AL24" s="283">
        <f t="shared" si="37"/>
        <v>261</v>
      </c>
      <c r="AM24" s="283">
        <f t="shared" si="38"/>
        <v>347</v>
      </c>
      <c r="AN24" s="283">
        <f t="shared" ref="AN24:AN28" si="97">AL24/AM24</f>
        <v>0.75216138328530258</v>
      </c>
      <c r="AO24" s="283">
        <f t="shared" ref="AO24:AO28" si="98">_xlfn.F.INV(0.05/2, 2*AL24, 2*(AM24-AL24+1))</f>
        <v>0.78995734296018005</v>
      </c>
      <c r="AP24" s="283">
        <f t="shared" ref="AP24:AP28" si="99">_xlfn.F.INV(1-0.05/2, 2*(AL24+1), 2*(AM24-AL24))</f>
        <v>1.2864002230801321</v>
      </c>
      <c r="AQ24" s="436">
        <f t="shared" ref="AQ24:AQ28" si="100">IF(AL24=0, 0, 1/(1 +(AM24-AL24+1)/(AL24*AO24)))</f>
        <v>0.70325282638931652</v>
      </c>
      <c r="AR24" s="436">
        <f t="shared" ref="AR24:AR28" si="101">IF(AL24=AM24, 1, 1/(1 + (AM24-AL24)/(AP24*(AL24+1))))</f>
        <v>0.7967080213395269</v>
      </c>
    </row>
    <row r="25" spans="1:44" ht="15" customHeight="1">
      <c r="A25" s="273">
        <v>2017</v>
      </c>
      <c r="B25" s="119">
        <v>349</v>
      </c>
      <c r="C25" s="119">
        <v>263</v>
      </c>
      <c r="D25" s="20">
        <v>225</v>
      </c>
      <c r="E25" s="36">
        <f t="shared" si="65"/>
        <v>0.75358166189111753</v>
      </c>
      <c r="F25" s="47">
        <f t="shared" si="48"/>
        <v>0.85551330798479086</v>
      </c>
      <c r="G25" s="81">
        <f t="shared" si="14"/>
        <v>0.70489745701548967</v>
      </c>
      <c r="H25" s="626">
        <f t="shared" si="15"/>
        <v>0.79790457232894729</v>
      </c>
      <c r="I25" s="289">
        <v>0.10504278782531981</v>
      </c>
      <c r="J25" s="27">
        <v>4.7E-2</v>
      </c>
      <c r="K25" s="36">
        <f t="shared" si="29"/>
        <v>0.88355817332370823</v>
      </c>
      <c r="L25" s="36">
        <f t="shared" ref="L25:L30" si="102">(D25/C25)</f>
        <v>0.85551330798479086</v>
      </c>
      <c r="M25" s="36">
        <f t="shared" ref="M25:M30" si="103">K25*L25</f>
        <v>0.75589577565716481</v>
      </c>
      <c r="N25" s="27">
        <f t="shared" si="84"/>
        <v>0.95957380290310479</v>
      </c>
      <c r="O25" s="47"/>
      <c r="P25" s="27"/>
      <c r="Q25" s="273">
        <v>2017</v>
      </c>
      <c r="R25" s="14">
        <f t="shared" si="85"/>
        <v>0.11644182667629177</v>
      </c>
      <c r="S25" s="50"/>
      <c r="T25" s="14"/>
      <c r="U25" s="13">
        <f t="shared" si="86"/>
        <v>4.0426197096895211E-2</v>
      </c>
      <c r="V25" s="50"/>
      <c r="W25" s="14"/>
      <c r="X25" s="283">
        <f t="shared" si="33"/>
        <v>263</v>
      </c>
      <c r="Y25" s="283">
        <f t="shared" si="34"/>
        <v>349</v>
      </c>
      <c r="Z25" s="283">
        <f t="shared" si="87"/>
        <v>0.75358166189111753</v>
      </c>
      <c r="AA25" s="283">
        <f t="shared" si="88"/>
        <v>0.79016264765151933</v>
      </c>
      <c r="AB25" s="283">
        <f t="shared" si="89"/>
        <v>1.2861422060019885</v>
      </c>
      <c r="AC25" s="496">
        <f t="shared" si="90"/>
        <v>0.70489745701548967</v>
      </c>
      <c r="AD25" s="496">
        <f t="shared" si="91"/>
        <v>0.79790457232894729</v>
      </c>
      <c r="AE25" s="283">
        <f t="shared" si="35"/>
        <v>225</v>
      </c>
      <c r="AF25" s="283">
        <f t="shared" si="36"/>
        <v>263</v>
      </c>
      <c r="AG25" s="283">
        <f t="shared" si="92"/>
        <v>0.85551330798479086</v>
      </c>
      <c r="AH25" s="283">
        <f t="shared" si="93"/>
        <v>0.72530535758037051</v>
      </c>
      <c r="AI25" s="283">
        <f t="shared" si="94"/>
        <v>1.4436547260490835</v>
      </c>
      <c r="AJ25" s="436">
        <f t="shared" si="95"/>
        <v>0.80711565717575084</v>
      </c>
      <c r="AK25" s="436">
        <f t="shared" si="96"/>
        <v>0.89568061985160663</v>
      </c>
      <c r="AL25" s="283">
        <f t="shared" si="37"/>
        <v>263</v>
      </c>
      <c r="AM25" s="283">
        <f t="shared" si="38"/>
        <v>349</v>
      </c>
      <c r="AN25" s="283">
        <f t="shared" si="97"/>
        <v>0.75358166189111753</v>
      </c>
      <c r="AO25" s="283">
        <f t="shared" si="98"/>
        <v>0.79016264765151933</v>
      </c>
      <c r="AP25" s="283">
        <f t="shared" si="99"/>
        <v>1.2861422060019885</v>
      </c>
      <c r="AQ25" s="436">
        <f t="shared" si="100"/>
        <v>0.70489745701548967</v>
      </c>
      <c r="AR25" s="436">
        <f t="shared" si="101"/>
        <v>0.79790457232894729</v>
      </c>
    </row>
    <row r="26" spans="1:44" ht="15" customHeight="1">
      <c r="A26" s="273">
        <v>2018</v>
      </c>
      <c r="B26" s="119">
        <v>255</v>
      </c>
      <c r="C26" s="119">
        <v>195</v>
      </c>
      <c r="D26" s="20">
        <v>98</v>
      </c>
      <c r="E26" s="36">
        <f t="shared" si="65"/>
        <v>0.76470588235294112</v>
      </c>
      <c r="F26" s="47">
        <f t="shared" si="48"/>
        <v>0.50256410256410255</v>
      </c>
      <c r="G26" s="81">
        <f t="shared" si="14"/>
        <v>0.7077661003775485</v>
      </c>
      <c r="H26" s="626">
        <f t="shared" si="15"/>
        <v>0.81537924209924473</v>
      </c>
      <c r="I26" s="289">
        <v>0.09</v>
      </c>
      <c r="J26" s="27">
        <v>4.7E-2</v>
      </c>
      <c r="K26" s="36">
        <f t="shared" si="29"/>
        <v>0.88177978431666471</v>
      </c>
      <c r="L26" s="36">
        <f t="shared" si="102"/>
        <v>0.50256410256410255</v>
      </c>
      <c r="M26" s="36">
        <f t="shared" si="103"/>
        <v>0.4431508659642725</v>
      </c>
      <c r="N26" s="27">
        <f t="shared" si="84"/>
        <v>0.95892957378609933</v>
      </c>
      <c r="O26" s="47"/>
      <c r="P26" s="27"/>
      <c r="Q26" s="273">
        <v>2018</v>
      </c>
      <c r="R26" s="14">
        <f t="shared" si="85"/>
        <v>0.11822021568333529</v>
      </c>
      <c r="S26" s="50"/>
      <c r="T26" s="14"/>
      <c r="U26" s="13">
        <f t="shared" si="86"/>
        <v>4.1070426213900668E-2</v>
      </c>
      <c r="V26" s="50"/>
      <c r="W26" s="14"/>
      <c r="X26" s="283">
        <f t="shared" si="33"/>
        <v>195</v>
      </c>
      <c r="Y26" s="283">
        <f t="shared" si="34"/>
        <v>255</v>
      </c>
      <c r="Z26" s="283">
        <f t="shared" si="87"/>
        <v>0.76470588235294112</v>
      </c>
      <c r="AA26" s="283">
        <f t="shared" si="88"/>
        <v>0.75762515835130506</v>
      </c>
      <c r="AB26" s="283">
        <f t="shared" si="89"/>
        <v>1.3519925563988977</v>
      </c>
      <c r="AC26" s="496">
        <f t="shared" si="90"/>
        <v>0.7077661003775485</v>
      </c>
      <c r="AD26" s="496">
        <f t="shared" si="91"/>
        <v>0.81537924209924473</v>
      </c>
      <c r="AE26" s="283">
        <f t="shared" si="35"/>
        <v>98</v>
      </c>
      <c r="AF26" s="283">
        <f t="shared" si="36"/>
        <v>195</v>
      </c>
      <c r="AG26" s="283">
        <f t="shared" si="92"/>
        <v>0.50256410256410255</v>
      </c>
      <c r="AH26" s="283">
        <f t="shared" si="93"/>
        <v>0.75517111447555185</v>
      </c>
      <c r="AI26" s="283">
        <f t="shared" si="94"/>
        <v>1.32449262601226</v>
      </c>
      <c r="AJ26" s="436">
        <f t="shared" si="95"/>
        <v>0.43025498098012976</v>
      </c>
      <c r="AK26" s="436">
        <f t="shared" si="96"/>
        <v>0.57479409180099439</v>
      </c>
      <c r="AL26" s="283">
        <f t="shared" si="37"/>
        <v>195</v>
      </c>
      <c r="AM26" s="283">
        <f t="shared" si="38"/>
        <v>255</v>
      </c>
      <c r="AN26" s="283">
        <f t="shared" si="97"/>
        <v>0.76470588235294112</v>
      </c>
      <c r="AO26" s="283">
        <f t="shared" si="98"/>
        <v>0.75762515835130506</v>
      </c>
      <c r="AP26" s="283">
        <f t="shared" si="99"/>
        <v>1.3519925563988977</v>
      </c>
      <c r="AQ26" s="436">
        <f t="shared" si="100"/>
        <v>0.7077661003775485</v>
      </c>
      <c r="AR26" s="436">
        <f t="shared" si="101"/>
        <v>0.81537924209924473</v>
      </c>
    </row>
    <row r="27" spans="1:44" ht="15" customHeight="1">
      <c r="A27" s="273">
        <v>2019</v>
      </c>
      <c r="B27" s="607">
        <v>192</v>
      </c>
      <c r="C27" s="119">
        <v>155</v>
      </c>
      <c r="D27" s="20">
        <v>138</v>
      </c>
      <c r="E27" s="36">
        <f t="shared" si="65"/>
        <v>0.80729166666666663</v>
      </c>
      <c r="F27" s="47">
        <f t="shared" si="48"/>
        <v>0.89032258064516134</v>
      </c>
      <c r="G27" s="81">
        <f t="shared" si="14"/>
        <v>0.7442995413485155</v>
      </c>
      <c r="H27" s="626">
        <f t="shared" si="15"/>
        <v>0.86053693532924447</v>
      </c>
      <c r="I27" s="289"/>
      <c r="J27" s="27">
        <v>4.7E-2</v>
      </c>
      <c r="K27" s="36">
        <f t="shared" si="29"/>
        <v>0.84710563133962924</v>
      </c>
      <c r="L27" s="36">
        <f t="shared" si="102"/>
        <v>0.89032258064516134</v>
      </c>
      <c r="M27" s="36">
        <f t="shared" si="103"/>
        <v>0.75419727177334739</v>
      </c>
      <c r="N27" s="27">
        <f t="shared" si="84"/>
        <v>0.94619182094840082</v>
      </c>
      <c r="O27" s="47"/>
      <c r="P27" s="27"/>
      <c r="Q27" s="273">
        <v>2019</v>
      </c>
      <c r="R27" s="14">
        <f t="shared" si="85"/>
        <v>0.15289436866037076</v>
      </c>
      <c r="S27" s="50"/>
      <c r="T27" s="14"/>
      <c r="U27" s="13">
        <f t="shared" si="86"/>
        <v>5.3808179051599181E-2</v>
      </c>
      <c r="V27" s="50"/>
      <c r="W27" s="14"/>
      <c r="X27" s="283">
        <f t="shared" si="33"/>
        <v>155</v>
      </c>
      <c r="Y27" s="283">
        <f t="shared" si="34"/>
        <v>192</v>
      </c>
      <c r="Z27" s="283">
        <f t="shared" si="87"/>
        <v>0.80729166666666663</v>
      </c>
      <c r="AA27" s="283">
        <f t="shared" si="88"/>
        <v>0.71362185623693097</v>
      </c>
      <c r="AB27" s="283">
        <f t="shared" si="89"/>
        <v>1.4634821735937116</v>
      </c>
      <c r="AC27" s="496">
        <f t="shared" si="90"/>
        <v>0.7442995413485155</v>
      </c>
      <c r="AD27" s="496">
        <f t="shared" si="91"/>
        <v>0.86053693532924447</v>
      </c>
      <c r="AE27" s="283">
        <f t="shared" si="35"/>
        <v>138</v>
      </c>
      <c r="AF27" s="283">
        <f t="shared" si="36"/>
        <v>155</v>
      </c>
      <c r="AG27" s="283">
        <f t="shared" si="92"/>
        <v>0.89032258064516134</v>
      </c>
      <c r="AH27" s="283">
        <f t="shared" si="93"/>
        <v>0.63777630704059729</v>
      </c>
      <c r="AI27" s="283">
        <f t="shared" si="94"/>
        <v>1.7534004512960222</v>
      </c>
      <c r="AJ27" s="436">
        <f t="shared" si="95"/>
        <v>0.83020971141116651</v>
      </c>
      <c r="AK27" s="436">
        <f t="shared" si="96"/>
        <v>0.93479661559917671</v>
      </c>
      <c r="AL27" s="283">
        <f t="shared" si="37"/>
        <v>155</v>
      </c>
      <c r="AM27" s="283">
        <f t="shared" si="38"/>
        <v>192</v>
      </c>
      <c r="AN27" s="283">
        <f t="shared" si="97"/>
        <v>0.80729166666666663</v>
      </c>
      <c r="AO27" s="283">
        <f t="shared" si="98"/>
        <v>0.71362185623693097</v>
      </c>
      <c r="AP27" s="283">
        <f t="shared" si="99"/>
        <v>1.4634821735937116</v>
      </c>
      <c r="AQ27" s="436">
        <f t="shared" si="100"/>
        <v>0.7442995413485155</v>
      </c>
      <c r="AR27" s="436">
        <f t="shared" si="101"/>
        <v>0.86053693532924447</v>
      </c>
    </row>
    <row r="28" spans="1:44" ht="15" customHeight="1">
      <c r="A28" s="273">
        <v>2020</v>
      </c>
      <c r="B28" s="607">
        <v>344</v>
      </c>
      <c r="C28" s="119">
        <v>271</v>
      </c>
      <c r="D28" s="20">
        <v>260</v>
      </c>
      <c r="E28" s="36">
        <f t="shared" si="65"/>
        <v>0.78779069767441856</v>
      </c>
      <c r="F28" s="47">
        <f t="shared" si="48"/>
        <v>0.95940959409594095</v>
      </c>
      <c r="G28" s="81">
        <f t="shared" si="14"/>
        <v>0.74073714018940895</v>
      </c>
      <c r="H28" s="626">
        <f t="shared" si="15"/>
        <v>0.82981103722515315</v>
      </c>
      <c r="I28" s="289">
        <v>5.8000000000000003E-2</v>
      </c>
      <c r="J28" s="27">
        <v>4.7E-2</v>
      </c>
      <c r="K28" s="36">
        <f t="shared" si="29"/>
        <v>0.87754024911211059</v>
      </c>
      <c r="L28" s="36">
        <f t="shared" si="102"/>
        <v>0.95940959409594095</v>
      </c>
      <c r="M28" s="36">
        <f t="shared" si="103"/>
        <v>0.84192053420350088</v>
      </c>
      <c r="N28" s="27">
        <f t="shared" si="84"/>
        <v>0.95739028221949884</v>
      </c>
      <c r="O28" s="47"/>
      <c r="P28" s="27"/>
      <c r="Q28" s="273">
        <v>2020</v>
      </c>
      <c r="R28" s="14">
        <f t="shared" si="85"/>
        <v>0.12245975088788941</v>
      </c>
      <c r="S28" s="50"/>
      <c r="T28" s="14"/>
      <c r="U28" s="13">
        <f t="shared" si="86"/>
        <v>4.2609717780501155E-2</v>
      </c>
      <c r="V28" s="50"/>
      <c r="W28" s="14"/>
      <c r="X28" s="283">
        <f t="shared" si="33"/>
        <v>271</v>
      </c>
      <c r="Y28" s="283">
        <f t="shared" si="34"/>
        <v>344</v>
      </c>
      <c r="Z28" s="283">
        <f t="shared" si="87"/>
        <v>0.78779069767441856</v>
      </c>
      <c r="AA28" s="283">
        <f t="shared" si="88"/>
        <v>0.7801646033101387</v>
      </c>
      <c r="AB28" s="283">
        <f t="shared" si="89"/>
        <v>1.3085844994641431</v>
      </c>
      <c r="AC28" s="496">
        <f t="shared" si="90"/>
        <v>0.74073714018940895</v>
      </c>
      <c r="AD28" s="496">
        <f t="shared" si="91"/>
        <v>0.82981103722515315</v>
      </c>
      <c r="AE28" s="283">
        <f t="shared" si="35"/>
        <v>260</v>
      </c>
      <c r="AF28" s="283">
        <f t="shared" si="36"/>
        <v>271</v>
      </c>
      <c r="AG28" s="283">
        <f t="shared" si="92"/>
        <v>0.95940959409594095</v>
      </c>
      <c r="AH28" s="283">
        <f t="shared" si="93"/>
        <v>0.59966620949748872</v>
      </c>
      <c r="AI28" s="283">
        <f t="shared" si="94"/>
        <v>2.0203848452019275</v>
      </c>
      <c r="AJ28" s="436">
        <f t="shared" si="95"/>
        <v>0.92853451089050154</v>
      </c>
      <c r="AK28" s="436">
        <f t="shared" si="96"/>
        <v>0.97956607423999942</v>
      </c>
      <c r="AL28" s="283">
        <f t="shared" si="37"/>
        <v>271</v>
      </c>
      <c r="AM28" s="283">
        <f t="shared" si="38"/>
        <v>344</v>
      </c>
      <c r="AN28" s="283">
        <f t="shared" si="97"/>
        <v>0.78779069767441856</v>
      </c>
      <c r="AO28" s="283">
        <f t="shared" si="98"/>
        <v>0.7801646033101387</v>
      </c>
      <c r="AP28" s="283">
        <f t="shared" si="99"/>
        <v>1.3085844994641431</v>
      </c>
      <c r="AQ28" s="436">
        <f t="shared" si="100"/>
        <v>0.74073714018940895</v>
      </c>
      <c r="AR28" s="436">
        <f t="shared" si="101"/>
        <v>0.82981103722515315</v>
      </c>
    </row>
    <row r="29" spans="1:44" ht="15" customHeight="1">
      <c r="A29" s="273">
        <v>2021</v>
      </c>
      <c r="B29" s="607">
        <v>210</v>
      </c>
      <c r="C29" s="119">
        <v>179</v>
      </c>
      <c r="D29" s="20">
        <v>178</v>
      </c>
      <c r="E29" s="36">
        <f t="shared" si="65"/>
        <v>0.85238095238095235</v>
      </c>
      <c r="F29" s="47">
        <f t="shared" si="48"/>
        <v>0.994413407821229</v>
      </c>
      <c r="G29" s="81">
        <f t="shared" si="14"/>
        <v>0.79705707903647172</v>
      </c>
      <c r="H29" s="626">
        <f t="shared" si="15"/>
        <v>0.89744413900392739</v>
      </c>
      <c r="I29" s="289">
        <v>5.6000000000000001E-2</v>
      </c>
      <c r="J29" s="27">
        <v>4.7E-2</v>
      </c>
      <c r="K29" s="36">
        <f t="shared" si="29"/>
        <v>0.94747736005494743</v>
      </c>
      <c r="L29" s="36">
        <f t="shared" si="102"/>
        <v>0.994413407821229</v>
      </c>
      <c r="M29" s="36">
        <f t="shared" si="103"/>
        <v>0.9421841904457019</v>
      </c>
      <c r="N29" s="27">
        <f t="shared" si="84"/>
        <v>0.98217666956281813</v>
      </c>
      <c r="O29" s="47"/>
      <c r="P29" s="27"/>
      <c r="Q29" s="273">
        <v>2021</v>
      </c>
      <c r="R29" s="14">
        <f t="shared" si="85"/>
        <v>5.2522639945052574E-2</v>
      </c>
      <c r="S29" s="50"/>
      <c r="T29" s="14"/>
      <c r="U29" s="13">
        <f t="shared" si="86"/>
        <v>1.7823330437181872E-2</v>
      </c>
      <c r="V29" s="50"/>
      <c r="W29" s="14"/>
      <c r="X29" s="283">
        <f t="shared" si="33"/>
        <v>179</v>
      </c>
      <c r="Y29" s="283">
        <f t="shared" si="34"/>
        <v>210</v>
      </c>
      <c r="Z29" s="283">
        <f t="shared" ref="Z29:Z31" si="104">X29/Y29</f>
        <v>0.85238095238095235</v>
      </c>
      <c r="AA29" s="283">
        <f t="shared" ref="AA29:AA31" si="105">_xlfn.F.INV(0.05/2, 2*X29, 2*(Y29-X29+1))</f>
        <v>0.70212181003613872</v>
      </c>
      <c r="AB29" s="283">
        <f t="shared" ref="AB29:AB31" si="106">_xlfn.F.INV(1-0.05/2, 2*(X29+1), 2*(Y29-X29))</f>
        <v>1.5070793852092401</v>
      </c>
      <c r="AC29" s="496">
        <f t="shared" ref="AC29:AC31" si="107">IF(X29=0, 0, 1/(1 +(Y29-X29+1)/(X29*AA29)))</f>
        <v>0.79705707903647172</v>
      </c>
      <c r="AD29" s="496">
        <f t="shared" ref="AD29:AD31" si="108">IF(X29=Y29, 1, 1/(1 + (Y29-X29)/(AB29*(X29+1))))</f>
        <v>0.89744413900392739</v>
      </c>
      <c r="AE29" s="283">
        <f t="shared" si="35"/>
        <v>178</v>
      </c>
      <c r="AF29" s="283">
        <f t="shared" si="36"/>
        <v>179</v>
      </c>
      <c r="AG29" s="283">
        <f t="shared" ref="AG29:AG31" si="109">AE29/AF29</f>
        <v>0.994413407821229</v>
      </c>
      <c r="AH29" s="283">
        <f t="shared" ref="AH29:AH31" si="110">_xlfn.F.INV(0.05/2, 2*AE29, 2*(AF29-AE29+1))</f>
        <v>0.35437604813071871</v>
      </c>
      <c r="AI29" s="283">
        <f t="shared" ref="AI29:AI31" si="111">_xlfn.F.INV(1-0.05/2, 2*(AE29+1), 2*(AF29-AE29))</f>
        <v>39.495096974965186</v>
      </c>
      <c r="AJ29" s="436">
        <f t="shared" ref="AJ29:AJ31" si="112">IF(AE29=0, 0, 1/(1 +(AF29-AE29+1)/(AE29*AH29)))</f>
        <v>0.96926809033007599</v>
      </c>
      <c r="AK29" s="436">
        <f t="shared" ref="AK29:AK31" si="113">IF(AE29=AF29, 1, 1/(1 + (AF29-AE29)/(AI29*(AE29+1))))</f>
        <v>0.99985856973413456</v>
      </c>
      <c r="AL29" s="283">
        <f t="shared" si="37"/>
        <v>179</v>
      </c>
      <c r="AM29" s="283">
        <f t="shared" si="38"/>
        <v>210</v>
      </c>
      <c r="AN29" s="283">
        <f t="shared" ref="AN29:AN31" si="114">AL29/AM29</f>
        <v>0.85238095238095235</v>
      </c>
      <c r="AO29" s="283">
        <f t="shared" ref="AO29:AO31" si="115">_xlfn.F.INV(0.05/2, 2*AL29, 2*(AM29-AL29+1))</f>
        <v>0.70212181003613872</v>
      </c>
      <c r="AP29" s="283">
        <f t="shared" ref="AP29:AP31" si="116">_xlfn.F.INV(1-0.05/2, 2*(AL29+1), 2*(AM29-AL29))</f>
        <v>1.5070793852092401</v>
      </c>
      <c r="AQ29" s="436">
        <f t="shared" ref="AQ29:AQ31" si="117">IF(AL29=0, 0, 1/(1 +(AM29-AL29+1)/(AL29*AO29)))</f>
        <v>0.79705707903647172</v>
      </c>
      <c r="AR29" s="436">
        <f t="shared" ref="AR29:AR31" si="118">IF(AL29=AM29, 1, 1/(1 + (AM29-AL29)/(AP29*(AL29+1))))</f>
        <v>0.89744413900392739</v>
      </c>
    </row>
    <row r="30" spans="1:44" ht="15" customHeight="1">
      <c r="A30" s="273">
        <v>2022</v>
      </c>
      <c r="B30" s="607">
        <v>339</v>
      </c>
      <c r="C30" s="119">
        <v>274</v>
      </c>
      <c r="D30" s="20">
        <v>271</v>
      </c>
      <c r="E30" s="36">
        <f t="shared" si="65"/>
        <v>0.80825958702064893</v>
      </c>
      <c r="F30" s="47">
        <f t="shared" si="48"/>
        <v>0.98905109489051091</v>
      </c>
      <c r="G30" s="81">
        <f t="shared" si="14"/>
        <v>0.762250912930863</v>
      </c>
      <c r="H30" s="626">
        <f t="shared" si="15"/>
        <v>0.84878757323158238</v>
      </c>
      <c r="I30" s="289">
        <v>0.13650000000000001</v>
      </c>
      <c r="J30" s="27">
        <v>4.7E-2</v>
      </c>
      <c r="K30" s="36">
        <f t="shared" si="29"/>
        <v>0.98219025771254642</v>
      </c>
      <c r="L30" s="36">
        <f t="shared" si="102"/>
        <v>0.98905109489051091</v>
      </c>
      <c r="M30" s="36">
        <f t="shared" si="103"/>
        <v>0.97143634978138715</v>
      </c>
      <c r="N30" s="27">
        <f t="shared" si="84"/>
        <v>0.99402782334653239</v>
      </c>
      <c r="O30" s="47"/>
      <c r="P30" s="27"/>
      <c r="Q30" s="273">
        <v>2022</v>
      </c>
      <c r="R30" s="14">
        <f t="shared" si="85"/>
        <v>1.7809742287453578E-2</v>
      </c>
      <c r="S30" s="50"/>
      <c r="T30" s="14"/>
      <c r="U30" s="13">
        <f t="shared" si="86"/>
        <v>5.9721766534676091E-3</v>
      </c>
      <c r="V30" s="50"/>
      <c r="W30" s="14"/>
      <c r="X30" s="283">
        <f t="shared" si="33"/>
        <v>274</v>
      </c>
      <c r="Y30" s="283">
        <f t="shared" si="34"/>
        <v>339</v>
      </c>
      <c r="Z30" s="283">
        <f t="shared" si="104"/>
        <v>0.80825958702064893</v>
      </c>
      <c r="AA30" s="283">
        <f t="shared" si="105"/>
        <v>0.77227587453674829</v>
      </c>
      <c r="AB30" s="283">
        <f t="shared" si="106"/>
        <v>1.3267594575182449</v>
      </c>
      <c r="AC30" s="496">
        <f t="shared" si="107"/>
        <v>0.762250912930863</v>
      </c>
      <c r="AD30" s="496">
        <f t="shared" si="108"/>
        <v>0.84878757323158238</v>
      </c>
      <c r="AE30" s="283">
        <f t="shared" si="35"/>
        <v>271</v>
      </c>
      <c r="AF30" s="283">
        <f t="shared" si="36"/>
        <v>274</v>
      </c>
      <c r="AG30" s="283">
        <f t="shared" si="109"/>
        <v>0.98905109489051091</v>
      </c>
      <c r="AH30" s="283">
        <f t="shared" si="110"/>
        <v>0.45141639922919979</v>
      </c>
      <c r="AI30" s="283">
        <f t="shared" si="111"/>
        <v>4.8613849637103552</v>
      </c>
      <c r="AJ30" s="436">
        <f t="shared" si="112"/>
        <v>0.96833785890383461</v>
      </c>
      <c r="AK30" s="436">
        <f t="shared" si="113"/>
        <v>0.99773635595933263</v>
      </c>
      <c r="AL30" s="283">
        <f t="shared" si="37"/>
        <v>274</v>
      </c>
      <c r="AM30" s="283">
        <f t="shared" si="38"/>
        <v>339</v>
      </c>
      <c r="AN30" s="283">
        <f t="shared" si="114"/>
        <v>0.80825958702064893</v>
      </c>
      <c r="AO30" s="283">
        <f t="shared" si="115"/>
        <v>0.77227587453674829</v>
      </c>
      <c r="AP30" s="283">
        <f t="shared" si="116"/>
        <v>1.3267594575182449</v>
      </c>
      <c r="AQ30" s="436">
        <f t="shared" si="117"/>
        <v>0.762250912930863</v>
      </c>
      <c r="AR30" s="436">
        <f t="shared" si="118"/>
        <v>0.84878757323158238</v>
      </c>
    </row>
    <row r="31" spans="1:44" ht="15" customHeight="1">
      <c r="A31" s="273">
        <v>2023</v>
      </c>
      <c r="B31" s="701">
        <v>400</v>
      </c>
      <c r="C31" s="119">
        <v>342</v>
      </c>
      <c r="D31" s="20">
        <v>337</v>
      </c>
      <c r="E31" s="36">
        <f t="shared" si="65"/>
        <v>0.85499999999999998</v>
      </c>
      <c r="F31" s="47">
        <f t="shared" si="48"/>
        <v>0.98538011695906436</v>
      </c>
      <c r="G31" s="47">
        <f t="shared" si="14"/>
        <v>0.81662181282817703</v>
      </c>
      <c r="H31" s="702">
        <f t="shared" si="15"/>
        <v>0.88801887917468358</v>
      </c>
      <c r="I31" s="289">
        <v>9.0999999999999998E-2</v>
      </c>
      <c r="J31" s="27">
        <v>4.7E-2</v>
      </c>
      <c r="K31" s="36">
        <f>(C31/B31)/((1-$I31)*(1-$J31))</f>
        <v>0.98698222393068269</v>
      </c>
      <c r="L31" s="36">
        <f>(D31/C31)</f>
        <v>0.98538011695906436</v>
      </c>
      <c r="M31" s="36">
        <f>K31*L31</f>
        <v>0.97255265925333356</v>
      </c>
      <c r="N31" s="27">
        <f t="shared" ref="N31" si="119">K31^(1/3)</f>
        <v>0.9956417747766918</v>
      </c>
      <c r="O31" s="47"/>
      <c r="P31" s="27"/>
      <c r="Q31" s="273"/>
      <c r="R31" s="14"/>
      <c r="S31" s="50"/>
      <c r="T31" s="14"/>
      <c r="U31" s="13"/>
      <c r="V31" s="50"/>
      <c r="W31" s="14"/>
      <c r="X31" s="283">
        <f t="shared" si="33"/>
        <v>342</v>
      </c>
      <c r="Y31" s="283">
        <f t="shared" si="34"/>
        <v>400</v>
      </c>
      <c r="Z31" s="283">
        <f t="shared" si="104"/>
        <v>0.85499999999999998</v>
      </c>
      <c r="AA31" s="283">
        <f t="shared" si="105"/>
        <v>0.76824405236513105</v>
      </c>
      <c r="AB31" s="283">
        <f t="shared" si="106"/>
        <v>1.3409459174235163</v>
      </c>
      <c r="AC31" s="496">
        <f t="shared" si="107"/>
        <v>0.81662181282817703</v>
      </c>
      <c r="AD31" s="496">
        <f t="shared" si="108"/>
        <v>0.88801887917468358</v>
      </c>
      <c r="AE31" s="283">
        <f t="shared" si="35"/>
        <v>337</v>
      </c>
      <c r="AF31" s="283">
        <f t="shared" si="36"/>
        <v>342</v>
      </c>
      <c r="AG31" s="283">
        <f t="shared" si="109"/>
        <v>0.98538011695906436</v>
      </c>
      <c r="AH31" s="283">
        <f t="shared" si="110"/>
        <v>0.50915837829722144</v>
      </c>
      <c r="AI31" s="283">
        <f t="shared" si="111"/>
        <v>3.0905907611195143</v>
      </c>
      <c r="AJ31" s="436">
        <f t="shared" si="112"/>
        <v>0.96621362392724641</v>
      </c>
      <c r="AK31" s="436">
        <f t="shared" si="113"/>
        <v>0.99523636979342844</v>
      </c>
      <c r="AL31" s="283">
        <f t="shared" si="37"/>
        <v>342</v>
      </c>
      <c r="AM31" s="283">
        <f t="shared" si="38"/>
        <v>400</v>
      </c>
      <c r="AN31" s="283">
        <f t="shared" si="114"/>
        <v>0.85499999999999998</v>
      </c>
      <c r="AO31" s="283">
        <f t="shared" si="115"/>
        <v>0.76824405236513105</v>
      </c>
      <c r="AP31" s="283">
        <f t="shared" si="116"/>
        <v>1.3409459174235163</v>
      </c>
      <c r="AQ31" s="436">
        <f t="shared" si="117"/>
        <v>0.81662181282817703</v>
      </c>
      <c r="AR31" s="436">
        <f t="shared" si="118"/>
        <v>0.88801887917468358</v>
      </c>
    </row>
    <row r="32" spans="1:44" ht="30.6" customHeight="1">
      <c r="A32" s="264" t="s">
        <v>112</v>
      </c>
      <c r="B32" s="431">
        <f>AVERAGE(B26:B30)</f>
        <v>268</v>
      </c>
      <c r="C32" s="431">
        <f t="shared" ref="C32:F32" si="120">AVERAGE(C26:C30)</f>
        <v>214.8</v>
      </c>
      <c r="D32" s="431">
        <f t="shared" si="120"/>
        <v>189</v>
      </c>
      <c r="E32" s="608">
        <f t="shared" si="120"/>
        <v>0.80408575721912556</v>
      </c>
      <c r="F32" s="608">
        <f t="shared" si="120"/>
        <v>0.86715215600338902</v>
      </c>
      <c r="G32" s="608"/>
      <c r="H32" s="608"/>
      <c r="I32" s="608">
        <f t="shared" ref="I32" si="121">AVERAGE(I26:I30)</f>
        <v>8.5125000000000006E-2</v>
      </c>
      <c r="J32" s="608">
        <f t="shared" ref="J32" si="122">AVERAGE(J26:J30)</f>
        <v>4.7E-2</v>
      </c>
      <c r="K32" s="608">
        <f t="shared" ref="K32" si="123">AVERAGE(K26:K30)</f>
        <v>0.90721865650717959</v>
      </c>
      <c r="L32" s="431"/>
      <c r="M32" s="703"/>
      <c r="N32" s="144">
        <f t="shared" ref="N32:R32" si="124">AVERAGE(N19:N23)</f>
        <v>0.97617916759093259</v>
      </c>
      <c r="O32" s="431"/>
      <c r="P32" s="431"/>
      <c r="Q32" s="263" t="s">
        <v>112</v>
      </c>
      <c r="R32" s="144">
        <f t="shared" si="124"/>
        <v>6.9362600981438094E-2</v>
      </c>
      <c r="S32" s="431"/>
      <c r="T32" s="431"/>
      <c r="U32" s="144">
        <f t="shared" ref="U32" si="125">AVERAGE(U19:U23)</f>
        <v>2.3820832409067516E-2</v>
      </c>
      <c r="V32" s="86"/>
      <c r="W32" s="44"/>
      <c r="X32" s="283"/>
      <c r="Y32" s="283"/>
      <c r="Z32" s="283"/>
      <c r="AA32" s="283"/>
      <c r="AB32" s="283"/>
      <c r="AC32" s="436"/>
      <c r="AD32" s="436"/>
      <c r="AE32" s="283"/>
      <c r="AF32" s="283"/>
      <c r="AG32" s="283"/>
      <c r="AH32" s="283"/>
      <c r="AI32" s="283"/>
      <c r="AJ32" s="436"/>
      <c r="AK32" s="436"/>
      <c r="AL32" s="283"/>
      <c r="AM32" s="283"/>
      <c r="AN32" s="283"/>
      <c r="AO32" s="283"/>
      <c r="AP32" s="283"/>
      <c r="AQ32" s="436"/>
      <c r="AR32" s="436"/>
    </row>
    <row r="33" spans="1:30" ht="15" customHeight="1">
      <c r="A33" s="261"/>
      <c r="B33" s="77"/>
      <c r="C33" s="77"/>
      <c r="D33" s="77"/>
      <c r="E33" s="12"/>
      <c r="F33" s="77"/>
      <c r="G33" s="77"/>
      <c r="H33" s="78"/>
      <c r="I33" s="77"/>
      <c r="J33" s="77"/>
      <c r="K33" s="145">
        <f>1-MIN(K16:K25)</f>
        <v>0.12393020990025305</v>
      </c>
      <c r="L33" s="112" t="s">
        <v>66</v>
      </c>
      <c r="M33" s="78"/>
      <c r="N33" s="77"/>
      <c r="O33" s="77"/>
      <c r="P33" s="116"/>
      <c r="Q33" s="110"/>
      <c r="R33" s="21"/>
      <c r="S33" s="21"/>
      <c r="T33" s="21"/>
      <c r="U33" s="37"/>
      <c r="V33" s="21"/>
      <c r="W33" s="25"/>
      <c r="X33" s="111"/>
      <c r="Y33" s="111"/>
      <c r="Z33" s="111"/>
      <c r="AA33" s="111"/>
      <c r="AB33" s="111"/>
      <c r="AC33" s="111"/>
      <c r="AD33" s="111"/>
    </row>
    <row r="34" spans="1:30" ht="15" customHeight="1">
      <c r="A34" s="272" t="s">
        <v>90</v>
      </c>
      <c r="J34" s="145">
        <f>1-MAX(K16:K25)</f>
        <v>3.2451109122300092E-2</v>
      </c>
    </row>
    <row r="35" spans="1:30" ht="15" customHeight="1">
      <c r="A35" s="56" t="s">
        <v>41</v>
      </c>
      <c r="B35" s="57"/>
      <c r="C35" s="57"/>
      <c r="D35" s="57"/>
      <c r="E35" s="57"/>
      <c r="F35" s="57"/>
      <c r="G35" s="57"/>
      <c r="H35" s="57"/>
      <c r="I35" s="57"/>
      <c r="J35" s="57"/>
      <c r="K35" s="57"/>
      <c r="L35" s="57"/>
      <c r="M35" s="57"/>
      <c r="N35" s="57"/>
      <c r="O35" s="57"/>
      <c r="P35" s="57"/>
      <c r="Q35" s="20"/>
      <c r="R35" s="20"/>
      <c r="S35" s="20"/>
      <c r="T35" s="20"/>
      <c r="U35" s="20"/>
      <c r="V35" s="20"/>
      <c r="W35" s="20"/>
      <c r="X35" s="20"/>
      <c r="Y35" s="20"/>
      <c r="Z35" s="20"/>
      <c r="AA35" s="20"/>
      <c r="AB35" s="20"/>
      <c r="AC35" s="20"/>
    </row>
    <row r="36" spans="1:30" ht="15" customHeight="1">
      <c r="B36" s="660"/>
      <c r="C36" s="661"/>
      <c r="D36" s="661"/>
      <c r="E36" s="660"/>
      <c r="F36" s="660"/>
      <c r="G36" s="660"/>
      <c r="H36" s="660"/>
      <c r="I36" s="661"/>
      <c r="J36" s="660"/>
      <c r="K36" s="660"/>
      <c r="L36" s="661"/>
      <c r="M36" s="660"/>
      <c r="N36" s="660"/>
      <c r="O36" s="662"/>
      <c r="P36" s="20"/>
      <c r="Q36" s="656"/>
      <c r="R36" s="656"/>
      <c r="S36" s="657"/>
      <c r="T36" s="656"/>
      <c r="U36" s="656"/>
      <c r="V36" s="656"/>
      <c r="W36" s="20"/>
      <c r="X36" s="20"/>
      <c r="Y36" s="20"/>
      <c r="Z36" s="20"/>
      <c r="AA36" s="20"/>
      <c r="AB36" s="20"/>
      <c r="AC36" s="20"/>
    </row>
    <row r="37" spans="1:30" ht="15" customHeight="1">
      <c r="A37" s="58" t="s">
        <v>65</v>
      </c>
      <c r="B37" s="52"/>
      <c r="C37" s="52"/>
      <c r="D37" s="52"/>
      <c r="E37" s="52"/>
      <c r="F37" s="59"/>
      <c r="G37" s="52"/>
      <c r="H37" s="52"/>
      <c r="I37" s="52"/>
      <c r="J37" s="52"/>
      <c r="K37" s="59"/>
      <c r="L37" s="290"/>
      <c r="M37" s="659" t="s">
        <v>100</v>
      </c>
      <c r="N37" s="659"/>
      <c r="O37" s="659"/>
      <c r="P37" s="659"/>
      <c r="Q37" s="659"/>
      <c r="R37" s="659"/>
      <c r="S37" s="659"/>
      <c r="T37" s="659"/>
      <c r="U37" s="59"/>
      <c r="V37" s="52"/>
      <c r="W37" s="20"/>
      <c r="X37" s="20"/>
      <c r="Y37" s="20"/>
      <c r="Z37" s="20"/>
      <c r="AA37" s="20"/>
      <c r="AB37" s="20"/>
      <c r="AC37" s="20"/>
    </row>
    <row r="38" spans="1:30" ht="15" customHeight="1">
      <c r="A38" s="271" t="s">
        <v>85</v>
      </c>
      <c r="B38" s="20"/>
      <c r="C38" s="20"/>
      <c r="D38" s="20"/>
      <c r="E38" s="27"/>
      <c r="F38" s="47"/>
      <c r="G38" s="27"/>
      <c r="H38" s="27"/>
      <c r="I38" s="20"/>
      <c r="J38" s="27"/>
      <c r="K38" s="47"/>
      <c r="L38" s="27"/>
      <c r="M38" s="27"/>
      <c r="N38" s="47"/>
      <c r="O38" s="27"/>
      <c r="P38" s="57"/>
      <c r="Q38" s="51"/>
      <c r="R38" s="55"/>
      <c r="S38" s="51"/>
      <c r="T38" s="51"/>
      <c r="U38" s="55"/>
      <c r="V38" s="51"/>
      <c r="W38" s="20"/>
      <c r="X38" s="20"/>
      <c r="Y38" s="20"/>
      <c r="Z38" s="20"/>
      <c r="AA38" s="20"/>
      <c r="AB38" s="20"/>
      <c r="AC38" s="20"/>
    </row>
    <row r="39" spans="1:30" ht="15" customHeight="1">
      <c r="A39" s="271" t="s">
        <v>86</v>
      </c>
      <c r="B39" s="20"/>
      <c r="C39" s="20"/>
      <c r="D39" s="20"/>
      <c r="E39" s="27"/>
      <c r="F39" s="47"/>
      <c r="G39" s="27"/>
      <c r="H39" s="27"/>
      <c r="I39" s="20"/>
      <c r="J39" s="27"/>
      <c r="K39" s="47"/>
      <c r="L39" s="279" t="s">
        <v>196</v>
      </c>
      <c r="M39" s="27"/>
      <c r="N39" s="47"/>
      <c r="O39" s="27"/>
      <c r="P39" s="57"/>
      <c r="Q39" s="27"/>
      <c r="R39" s="47"/>
      <c r="U39" t="s">
        <v>210</v>
      </c>
      <c r="W39" t="s">
        <v>211</v>
      </c>
      <c r="Y39" s="20"/>
      <c r="Z39" s="20"/>
      <c r="AA39" s="20"/>
      <c r="AB39" s="20"/>
      <c r="AC39" s="20"/>
    </row>
    <row r="40" spans="1:30" ht="15" customHeight="1">
      <c r="A40" s="57"/>
      <c r="B40" s="20"/>
      <c r="C40" s="20"/>
      <c r="D40" s="20"/>
      <c r="E40" s="27"/>
      <c r="F40" s="47"/>
      <c r="G40" s="27"/>
      <c r="H40" s="27"/>
      <c r="I40" s="20"/>
      <c r="J40" s="27"/>
      <c r="K40" s="47"/>
      <c r="L40" s="279">
        <f>AVERAGE(I16:I20)</f>
        <v>0.12776406489551831</v>
      </c>
      <c r="M40" s="27"/>
      <c r="N40" s="47"/>
      <c r="O40" s="27"/>
      <c r="P40" s="57"/>
      <c r="Q40" s="27"/>
      <c r="R40" s="47"/>
      <c r="U40" t="s">
        <v>208</v>
      </c>
      <c r="V40" t="s">
        <v>209</v>
      </c>
      <c r="W40" t="s">
        <v>206</v>
      </c>
      <c r="X40" t="s">
        <v>207</v>
      </c>
      <c r="Y40" s="20" t="s">
        <v>212</v>
      </c>
      <c r="Z40" s="20"/>
      <c r="AA40" s="20"/>
      <c r="AB40" s="20"/>
      <c r="AC40" s="20"/>
    </row>
    <row r="41" spans="1:30" ht="15" customHeight="1">
      <c r="A41" s="57"/>
      <c r="B41" s="20"/>
      <c r="C41" s="20"/>
      <c r="D41" s="20"/>
      <c r="E41" s="27"/>
      <c r="F41" s="47"/>
      <c r="G41" s="27"/>
      <c r="H41" s="27"/>
      <c r="I41" s="20"/>
      <c r="J41" s="27">
        <f>AVERAGE(K22:K26)</f>
        <v>0.92031490248354775</v>
      </c>
      <c r="K41" s="47"/>
      <c r="L41" s="27"/>
      <c r="M41" s="27"/>
      <c r="N41" s="47"/>
      <c r="O41" s="27"/>
      <c r="P41" s="57"/>
      <c r="Q41" s="27"/>
      <c r="R41" s="47"/>
      <c r="S41" t="s">
        <v>203</v>
      </c>
      <c r="T41" s="455">
        <f>SUM(W41:Y41)/SUM(U41:V41)</f>
        <v>9.165037624186595E-2</v>
      </c>
      <c r="U41">
        <v>127403</v>
      </c>
      <c r="V41">
        <v>320713</v>
      </c>
      <c r="W41">
        <v>15419</v>
      </c>
      <c r="X41">
        <v>25551</v>
      </c>
      <c r="Y41" s="20">
        <v>100</v>
      </c>
      <c r="Z41" s="20"/>
      <c r="AA41" s="20"/>
      <c r="AB41" s="20"/>
      <c r="AC41" s="20"/>
    </row>
    <row r="42" spans="1:30" ht="15" customHeight="1">
      <c r="A42" s="57" t="s">
        <v>241</v>
      </c>
      <c r="B42" s="20"/>
      <c r="C42" s="20"/>
      <c r="D42" s="20"/>
      <c r="E42" s="27"/>
      <c r="F42" s="47"/>
      <c r="G42" s="27"/>
      <c r="H42" s="27"/>
      <c r="I42" s="20"/>
      <c r="J42" s="27"/>
      <c r="K42" s="47"/>
      <c r="L42" s="27"/>
      <c r="M42" s="27"/>
      <c r="N42" s="47"/>
      <c r="O42" s="27"/>
      <c r="P42" s="57"/>
      <c r="Q42" s="27"/>
      <c r="R42" s="47"/>
      <c r="S42" s="27"/>
      <c r="T42" s="27"/>
      <c r="U42" s="47"/>
      <c r="V42" s="27"/>
      <c r="W42" s="20"/>
      <c r="X42" s="20"/>
      <c r="Y42" s="20"/>
      <c r="Z42" s="20"/>
      <c r="AA42" s="20"/>
      <c r="AB42" s="20"/>
      <c r="AC42" s="20"/>
    </row>
    <row r="43" spans="1:30" ht="15" customHeight="1">
      <c r="A43" s="57"/>
      <c r="B43" s="20"/>
      <c r="C43" s="20"/>
      <c r="D43" s="20"/>
      <c r="E43" s="27"/>
      <c r="F43" s="47"/>
      <c r="G43" s="27"/>
      <c r="H43" s="27"/>
      <c r="I43" s="20"/>
      <c r="J43" s="27"/>
      <c r="K43" s="47"/>
      <c r="L43" s="27"/>
      <c r="M43" s="27"/>
      <c r="N43" s="47"/>
      <c r="O43" s="27"/>
      <c r="P43" s="57"/>
      <c r="Q43" s="27"/>
      <c r="R43" s="47"/>
      <c r="S43" s="27"/>
      <c r="T43" s="27"/>
      <c r="U43" s="47"/>
      <c r="V43" s="27"/>
      <c r="W43" s="20"/>
      <c r="X43" s="20"/>
      <c r="Y43" s="20"/>
      <c r="Z43" s="20"/>
      <c r="AA43" s="20"/>
      <c r="AB43" s="20"/>
      <c r="AC43" s="20"/>
    </row>
    <row r="44" spans="1:30" ht="15" customHeight="1">
      <c r="A44" s="57"/>
      <c r="B44" s="20"/>
      <c r="C44" s="20"/>
      <c r="D44" s="20"/>
      <c r="E44" s="43"/>
      <c r="F44" s="48"/>
      <c r="G44" s="43"/>
      <c r="H44" s="45"/>
      <c r="I44" s="45"/>
      <c r="J44" s="43"/>
      <c r="K44" s="48"/>
      <c r="L44" s="43"/>
      <c r="M44" s="43"/>
      <c r="N44" s="48"/>
      <c r="O44" s="43"/>
      <c r="P44" s="57"/>
      <c r="Q44" s="43"/>
      <c r="R44" s="48"/>
      <c r="S44" s="43"/>
      <c r="T44" s="43"/>
      <c r="U44" s="48"/>
      <c r="V44" s="43"/>
      <c r="W44" s="20"/>
      <c r="X44" s="20"/>
      <c r="Y44" s="20"/>
      <c r="Z44" s="20"/>
      <c r="AA44" s="20"/>
      <c r="AB44" s="20"/>
      <c r="AC44" s="20"/>
    </row>
    <row r="45" spans="1:30" ht="1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row>
    <row r="46" spans="1:30" ht="15" customHeight="1">
      <c r="A46" t="s">
        <v>6</v>
      </c>
      <c r="B46" t="s">
        <v>58</v>
      </c>
    </row>
    <row r="47" spans="1:30" ht="15" customHeight="1">
      <c r="B47" t="s">
        <v>7</v>
      </c>
    </row>
    <row r="48" spans="1:30" ht="15" customHeight="1">
      <c r="B48" s="56" t="s">
        <v>47</v>
      </c>
    </row>
    <row r="49" spans="1:12" ht="15" customHeight="1">
      <c r="B49" s="56"/>
    </row>
    <row r="50" spans="1:12" ht="15" customHeight="1">
      <c r="A50" s="6" t="s">
        <v>28</v>
      </c>
    </row>
    <row r="51" spans="1:12" ht="15" customHeight="1">
      <c r="A51" s="6" t="s">
        <v>37</v>
      </c>
    </row>
    <row r="52" spans="1:12" ht="15" customHeight="1">
      <c r="B52" t="s">
        <v>38</v>
      </c>
      <c r="D52" s="66" t="s">
        <v>61</v>
      </c>
    </row>
    <row r="53" spans="1:12" ht="15" customHeight="1"/>
    <row r="54" spans="1:12" ht="15" customHeight="1" thickBot="1"/>
    <row r="55" spans="1:12" ht="15" customHeight="1" thickBot="1">
      <c r="A55" s="556"/>
      <c r="B55" s="584" t="s">
        <v>288</v>
      </c>
      <c r="C55" s="557"/>
      <c r="D55" s="558"/>
    </row>
    <row r="56" spans="1:12" ht="15" customHeight="1">
      <c r="A56" s="559" t="s">
        <v>291</v>
      </c>
      <c r="B56" s="560"/>
      <c r="C56" s="560"/>
      <c r="D56" s="561"/>
      <c r="H56" s="575"/>
      <c r="I56" s="576"/>
      <c r="J56" s="576"/>
      <c r="K56" s="576"/>
      <c r="L56" s="577"/>
    </row>
    <row r="57" spans="1:12" ht="15" customHeight="1">
      <c r="A57" s="559" t="s">
        <v>80</v>
      </c>
      <c r="B57" s="562">
        <f>AVERAGE(K18:K26)</f>
        <v>0.92238430806675908</v>
      </c>
      <c r="C57" s="562">
        <f>1-B57</f>
        <v>7.7615691933240916E-2</v>
      </c>
      <c r="D57" s="561"/>
      <c r="H57" s="571"/>
      <c r="I57" s="445"/>
      <c r="J57" s="572" t="s">
        <v>261</v>
      </c>
      <c r="K57" s="572" t="s">
        <v>262</v>
      </c>
      <c r="L57" s="573"/>
    </row>
    <row r="58" spans="1:12">
      <c r="A58" s="559" t="s">
        <v>260</v>
      </c>
      <c r="B58" s="562">
        <f>MIN(K18:K26)</f>
        <v>0.87606979009974695</v>
      </c>
      <c r="C58" s="562">
        <f t="shared" ref="C58:C59" si="126">1-B58</f>
        <v>0.12393020990025305</v>
      </c>
      <c r="D58" s="561"/>
      <c r="H58" s="578" t="s">
        <v>258</v>
      </c>
      <c r="I58" s="572" t="s">
        <v>80</v>
      </c>
      <c r="J58" s="574">
        <f>AVERAGE(K22:K26)</f>
        <v>0.92031490248354775</v>
      </c>
      <c r="K58" s="574">
        <f>1-J58</f>
        <v>7.9685097516452252E-2</v>
      </c>
      <c r="L58" s="573"/>
    </row>
    <row r="59" spans="1:12">
      <c r="A59" s="559" t="s">
        <v>292</v>
      </c>
      <c r="B59" s="562">
        <f>MAX(K18:K26)</f>
        <v>0.96754889087769991</v>
      </c>
      <c r="C59" s="562">
        <f t="shared" si="126"/>
        <v>3.2451109122300092E-2</v>
      </c>
      <c r="D59" s="561"/>
      <c r="H59" s="578" t="s">
        <v>257</v>
      </c>
      <c r="I59" s="572" t="s">
        <v>259</v>
      </c>
      <c r="J59" s="574">
        <f>MAX(K22:K26)</f>
        <v>0.96754889087769991</v>
      </c>
      <c r="K59" s="574">
        <f t="shared" ref="K59:K60" si="127">1-J59</f>
        <v>3.2451109122300092E-2</v>
      </c>
      <c r="L59" s="573"/>
    </row>
    <row r="60" spans="1:12">
      <c r="A60" s="559"/>
      <c r="B60" s="560"/>
      <c r="C60" s="560"/>
      <c r="D60" s="561"/>
      <c r="H60" s="571"/>
      <c r="I60" s="572" t="s">
        <v>260</v>
      </c>
      <c r="J60" s="574">
        <f>MIN(K22:K26)</f>
        <v>0.88177978431666471</v>
      </c>
      <c r="K60" s="574">
        <f t="shared" si="127"/>
        <v>0.11822021568333529</v>
      </c>
      <c r="L60" s="573"/>
    </row>
    <row r="61" spans="1:12">
      <c r="A61" s="559"/>
      <c r="B61" s="560"/>
      <c r="C61" s="560"/>
      <c r="D61" s="561"/>
      <c r="H61" s="571"/>
      <c r="I61" s="445"/>
      <c r="J61" s="445"/>
      <c r="K61" s="445"/>
      <c r="L61" s="573"/>
    </row>
    <row r="62" spans="1:12" ht="13.8" thickBot="1">
      <c r="A62" s="563"/>
      <c r="B62" s="564"/>
      <c r="C62" s="564"/>
      <c r="D62" s="565"/>
      <c r="H62" s="571"/>
      <c r="I62" s="445"/>
      <c r="J62" s="445"/>
      <c r="K62" s="445"/>
      <c r="L62" s="573"/>
    </row>
    <row r="63" spans="1:12" ht="13.8" thickBot="1">
      <c r="H63" s="579"/>
      <c r="I63" s="580"/>
      <c r="J63" s="580"/>
      <c r="K63" s="580"/>
      <c r="L63" s="581"/>
    </row>
    <row r="66" spans="1:17">
      <c r="A66" t="s">
        <v>355</v>
      </c>
    </row>
    <row r="68" spans="1:17">
      <c r="K68" s="272" t="s">
        <v>368</v>
      </c>
    </row>
    <row r="70" spans="1:17" ht="14.4">
      <c r="A70" s="605" t="s">
        <v>343</v>
      </c>
      <c r="B70" s="605" t="s">
        <v>308</v>
      </c>
      <c r="C70" s="605" t="s">
        <v>231</v>
      </c>
      <c r="D70" s="605" t="s">
        <v>232</v>
      </c>
      <c r="E70" s="605" t="s">
        <v>309</v>
      </c>
      <c r="F70" s="605" t="s">
        <v>233</v>
      </c>
      <c r="G70" s="605" t="s">
        <v>345</v>
      </c>
      <c r="H70" s="605" t="s">
        <v>314</v>
      </c>
      <c r="J70" s="603" t="s">
        <v>346</v>
      </c>
      <c r="K70" s="603" t="s">
        <v>347</v>
      </c>
      <c r="L70" s="603" t="s">
        <v>348</v>
      </c>
      <c r="M70" s="603" t="s">
        <v>115</v>
      </c>
      <c r="N70" s="603" t="s">
        <v>353</v>
      </c>
      <c r="O70" s="603" t="s">
        <v>352</v>
      </c>
      <c r="P70" s="603" t="s">
        <v>354</v>
      </c>
      <c r="Q70" s="603"/>
    </row>
    <row r="71" spans="1:17" ht="28.8">
      <c r="A71" s="607">
        <v>2007</v>
      </c>
      <c r="B71" s="606" t="s">
        <v>320</v>
      </c>
      <c r="C71" s="607">
        <v>110</v>
      </c>
      <c r="D71" s="607">
        <v>0</v>
      </c>
      <c r="E71" s="607">
        <v>0</v>
      </c>
      <c r="F71" s="607">
        <v>87</v>
      </c>
      <c r="G71" s="607">
        <v>90</v>
      </c>
      <c r="H71" s="607">
        <v>81</v>
      </c>
      <c r="J71" s="604"/>
      <c r="K71" s="604"/>
      <c r="L71" s="604"/>
      <c r="M71" s="455">
        <f>F71/C71</f>
        <v>0.79090909090909089</v>
      </c>
      <c r="N71" s="455">
        <f>G71/F71</f>
        <v>1.0344827586206897</v>
      </c>
      <c r="O71" s="455">
        <f>H71/G71</f>
        <v>0.9</v>
      </c>
      <c r="P71" s="455">
        <f>H71/C71</f>
        <v>0.73636363636363633</v>
      </c>
      <c r="Q71" s="455"/>
    </row>
    <row r="72" spans="1:17" ht="28.8">
      <c r="A72" s="607">
        <v>2008</v>
      </c>
      <c r="B72" s="606" t="s">
        <v>320</v>
      </c>
      <c r="C72" s="607">
        <v>529</v>
      </c>
      <c r="D72" s="607">
        <v>0</v>
      </c>
      <c r="E72" s="607">
        <v>0</v>
      </c>
      <c r="F72" s="607">
        <v>388</v>
      </c>
      <c r="G72" s="607">
        <v>375</v>
      </c>
      <c r="H72" s="607">
        <v>291</v>
      </c>
      <c r="J72" s="604"/>
      <c r="K72" s="604"/>
      <c r="L72" s="604"/>
      <c r="M72" s="455">
        <f t="shared" ref="M72:M85" si="128">F72/C72</f>
        <v>0.73345935727788281</v>
      </c>
      <c r="N72" s="455">
        <f t="shared" ref="N72:O85" si="129">G72/F72</f>
        <v>0.96649484536082475</v>
      </c>
      <c r="O72" s="455">
        <f t="shared" si="129"/>
        <v>0.77600000000000002</v>
      </c>
      <c r="P72" s="455">
        <f t="shared" ref="P72:P85" si="130">H72/C72</f>
        <v>0.55009451795841213</v>
      </c>
      <c r="Q72" s="455"/>
    </row>
    <row r="73" spans="1:17" ht="28.8">
      <c r="A73" s="607">
        <v>2009</v>
      </c>
      <c r="B73" s="606" t="s">
        <v>320</v>
      </c>
      <c r="C73" s="607">
        <v>1450</v>
      </c>
      <c r="D73" s="607">
        <v>0</v>
      </c>
      <c r="E73" s="607">
        <v>0</v>
      </c>
      <c r="F73" s="607">
        <v>1104</v>
      </c>
      <c r="G73" s="607">
        <v>1081</v>
      </c>
      <c r="H73" s="607">
        <v>1023</v>
      </c>
      <c r="J73" s="604"/>
      <c r="K73" s="604"/>
      <c r="L73" s="604"/>
      <c r="M73" s="455">
        <f t="shared" si="128"/>
        <v>0.76137931034482753</v>
      </c>
      <c r="N73" s="455">
        <f t="shared" si="129"/>
        <v>0.97916666666666663</v>
      </c>
      <c r="O73" s="455">
        <f t="shared" si="129"/>
        <v>0.94634597594819614</v>
      </c>
      <c r="P73" s="455">
        <f t="shared" si="130"/>
        <v>0.70551724137931038</v>
      </c>
      <c r="Q73" s="455"/>
    </row>
    <row r="74" spans="1:17" ht="28.8">
      <c r="A74" s="607">
        <v>2010</v>
      </c>
      <c r="B74" s="606" t="s">
        <v>320</v>
      </c>
      <c r="C74" s="607">
        <v>865</v>
      </c>
      <c r="D74" s="607">
        <v>0</v>
      </c>
      <c r="E74" s="607">
        <v>0</v>
      </c>
      <c r="F74" s="607">
        <v>681</v>
      </c>
      <c r="G74" s="607">
        <v>653</v>
      </c>
      <c r="H74" s="607">
        <v>615</v>
      </c>
      <c r="J74" s="604"/>
      <c r="K74" s="604"/>
      <c r="L74" s="604"/>
      <c r="M74" s="455">
        <f t="shared" si="128"/>
        <v>0.78728323699421965</v>
      </c>
      <c r="N74" s="455">
        <f t="shared" si="129"/>
        <v>0.95888399412628489</v>
      </c>
      <c r="O74" s="455">
        <f t="shared" si="129"/>
        <v>0.94180704441041352</v>
      </c>
      <c r="P74" s="455">
        <f t="shared" si="130"/>
        <v>0.71098265895953761</v>
      </c>
      <c r="Q74" s="455"/>
    </row>
    <row r="75" spans="1:17" ht="28.8">
      <c r="A75" s="607">
        <v>2011</v>
      </c>
      <c r="B75" s="606" t="s">
        <v>320</v>
      </c>
      <c r="C75" s="607">
        <v>1192</v>
      </c>
      <c r="D75" s="607">
        <v>2</v>
      </c>
      <c r="E75" s="607">
        <v>0</v>
      </c>
      <c r="F75" s="607">
        <v>952</v>
      </c>
      <c r="G75" s="607">
        <v>929</v>
      </c>
      <c r="H75" s="607">
        <v>852</v>
      </c>
      <c r="J75" s="604"/>
      <c r="K75" s="604"/>
      <c r="L75" s="604"/>
      <c r="M75" s="455">
        <f t="shared" si="128"/>
        <v>0.79865771812080533</v>
      </c>
      <c r="N75" s="455">
        <f t="shared" si="129"/>
        <v>0.97584033613445376</v>
      </c>
      <c r="O75" s="455">
        <f t="shared" si="129"/>
        <v>0.91711517761033368</v>
      </c>
      <c r="P75" s="455">
        <f t="shared" si="130"/>
        <v>0.71476510067114096</v>
      </c>
      <c r="Q75" s="455"/>
    </row>
    <row r="76" spans="1:17" ht="28.8">
      <c r="A76" s="607">
        <v>2012</v>
      </c>
      <c r="B76" s="606" t="s">
        <v>320</v>
      </c>
      <c r="C76" s="607">
        <v>999</v>
      </c>
      <c r="D76" s="607">
        <v>23</v>
      </c>
      <c r="E76" s="607">
        <v>0</v>
      </c>
      <c r="F76" s="607">
        <v>786</v>
      </c>
      <c r="G76" s="607">
        <v>766</v>
      </c>
      <c r="H76" s="607">
        <v>567</v>
      </c>
      <c r="J76" s="455">
        <f t="shared" ref="J76:L85" si="131">D76/C76</f>
        <v>2.3023023023023025E-2</v>
      </c>
      <c r="K76" s="604"/>
      <c r="L76" s="604"/>
      <c r="M76" s="455">
        <f t="shared" si="128"/>
        <v>0.78678678678678682</v>
      </c>
      <c r="N76" s="455">
        <f t="shared" si="129"/>
        <v>0.97455470737913485</v>
      </c>
      <c r="O76" s="455">
        <f t="shared" si="129"/>
        <v>0.74020887728459528</v>
      </c>
      <c r="P76" s="455">
        <f t="shared" si="130"/>
        <v>0.56756756756756754</v>
      </c>
      <c r="Q76" s="455"/>
    </row>
    <row r="77" spans="1:17" ht="28.8">
      <c r="A77" s="607">
        <v>2013</v>
      </c>
      <c r="B77" s="606" t="s">
        <v>320</v>
      </c>
      <c r="C77" s="607">
        <v>793</v>
      </c>
      <c r="D77" s="607">
        <v>654</v>
      </c>
      <c r="E77" s="607">
        <v>0</v>
      </c>
      <c r="F77" s="607">
        <v>570</v>
      </c>
      <c r="G77" s="607">
        <v>559</v>
      </c>
      <c r="H77" s="607">
        <v>482</v>
      </c>
      <c r="J77" s="455">
        <f t="shared" si="131"/>
        <v>0.82471626733921821</v>
      </c>
      <c r="K77" s="604"/>
      <c r="L77" s="604"/>
      <c r="M77" s="455">
        <f t="shared" si="128"/>
        <v>0.71878940731399743</v>
      </c>
      <c r="N77" s="455">
        <f t="shared" si="129"/>
        <v>0.98070175438596496</v>
      </c>
      <c r="O77" s="455">
        <f t="shared" si="129"/>
        <v>0.86225402504472271</v>
      </c>
      <c r="P77" s="455">
        <f t="shared" si="130"/>
        <v>0.60781841109709966</v>
      </c>
      <c r="Q77" s="455"/>
    </row>
    <row r="78" spans="1:17" ht="28.8">
      <c r="A78" s="607">
        <v>2014</v>
      </c>
      <c r="B78" s="606" t="s">
        <v>320</v>
      </c>
      <c r="C78" s="607">
        <v>847</v>
      </c>
      <c r="D78" s="607">
        <v>730</v>
      </c>
      <c r="E78" s="607">
        <v>0</v>
      </c>
      <c r="F78" s="607">
        <v>649</v>
      </c>
      <c r="G78" s="607">
        <v>630</v>
      </c>
      <c r="H78" s="607">
        <v>425</v>
      </c>
      <c r="J78" s="455">
        <f t="shared" si="131"/>
        <v>0.86186540731995276</v>
      </c>
      <c r="K78" s="604"/>
      <c r="L78" s="604"/>
      <c r="M78" s="455">
        <f t="shared" si="128"/>
        <v>0.76623376623376627</v>
      </c>
      <c r="N78" s="455">
        <f t="shared" si="129"/>
        <v>0.97072419106317409</v>
      </c>
      <c r="O78" s="455">
        <f t="shared" si="129"/>
        <v>0.67460317460317465</v>
      </c>
      <c r="P78" s="455">
        <f t="shared" si="130"/>
        <v>0.50177095631641089</v>
      </c>
      <c r="Q78" s="455"/>
    </row>
    <row r="79" spans="1:17" ht="28.8">
      <c r="A79" s="607">
        <v>2015</v>
      </c>
      <c r="B79" s="606" t="s">
        <v>320</v>
      </c>
      <c r="C79" s="607">
        <v>914</v>
      </c>
      <c r="D79" s="607">
        <v>782</v>
      </c>
      <c r="E79" s="607">
        <v>0</v>
      </c>
      <c r="F79" s="607">
        <v>725</v>
      </c>
      <c r="G79" s="607">
        <v>713</v>
      </c>
      <c r="H79" s="607">
        <v>683</v>
      </c>
      <c r="J79" s="455">
        <f t="shared" si="131"/>
        <v>0.85557986870897151</v>
      </c>
      <c r="K79" s="604"/>
      <c r="L79" s="604"/>
      <c r="M79" s="455">
        <f t="shared" si="128"/>
        <v>0.79321663019693656</v>
      </c>
      <c r="N79" s="455">
        <f t="shared" si="129"/>
        <v>0.98344827586206895</v>
      </c>
      <c r="O79" s="455">
        <f t="shared" si="129"/>
        <v>0.95792426367461425</v>
      </c>
      <c r="P79" s="455">
        <f t="shared" si="130"/>
        <v>0.74726477024070026</v>
      </c>
      <c r="Q79" s="455"/>
    </row>
    <row r="80" spans="1:17" ht="28.8">
      <c r="A80" s="607">
        <v>2016</v>
      </c>
      <c r="B80" s="606" t="s">
        <v>320</v>
      </c>
      <c r="C80" s="607">
        <v>324</v>
      </c>
      <c r="D80" s="607">
        <v>276</v>
      </c>
      <c r="E80" s="607">
        <v>0</v>
      </c>
      <c r="F80" s="607">
        <v>239</v>
      </c>
      <c r="G80" s="607">
        <v>225</v>
      </c>
      <c r="H80" s="607">
        <v>210</v>
      </c>
      <c r="J80" s="455">
        <f t="shared" si="131"/>
        <v>0.85185185185185186</v>
      </c>
      <c r="K80" s="604"/>
      <c r="L80" s="604"/>
      <c r="M80" s="455">
        <f t="shared" si="128"/>
        <v>0.73765432098765427</v>
      </c>
      <c r="N80" s="455">
        <f t="shared" si="129"/>
        <v>0.94142259414225937</v>
      </c>
      <c r="O80" s="455">
        <f t="shared" si="129"/>
        <v>0.93333333333333335</v>
      </c>
      <c r="P80" s="455">
        <f t="shared" si="130"/>
        <v>0.64814814814814814</v>
      </c>
      <c r="Q80" s="455"/>
    </row>
    <row r="81" spans="1:17" ht="28.8">
      <c r="A81" s="607">
        <v>2017</v>
      </c>
      <c r="B81" s="606" t="s">
        <v>320</v>
      </c>
      <c r="C81" s="607">
        <v>373</v>
      </c>
      <c r="D81" s="607">
        <v>314</v>
      </c>
      <c r="E81" s="607">
        <v>10</v>
      </c>
      <c r="F81" s="607">
        <v>281</v>
      </c>
      <c r="G81" s="607">
        <v>257</v>
      </c>
      <c r="H81" s="607">
        <v>225</v>
      </c>
      <c r="J81" s="455">
        <f t="shared" si="131"/>
        <v>0.8418230563002681</v>
      </c>
      <c r="K81" s="604"/>
      <c r="L81" s="604"/>
      <c r="M81" s="455">
        <f t="shared" si="128"/>
        <v>0.7533512064343163</v>
      </c>
      <c r="N81" s="455">
        <f t="shared" si="129"/>
        <v>0.91459074733096091</v>
      </c>
      <c r="O81" s="455">
        <f t="shared" si="129"/>
        <v>0.8754863813229572</v>
      </c>
      <c r="P81" s="455">
        <f t="shared" si="130"/>
        <v>0.60321715817694366</v>
      </c>
      <c r="Q81" s="455"/>
    </row>
    <row r="82" spans="1:17" ht="28.8">
      <c r="A82" s="607">
        <v>2018</v>
      </c>
      <c r="B82" s="606" t="s">
        <v>320</v>
      </c>
      <c r="C82" s="607">
        <v>258</v>
      </c>
      <c r="D82" s="607">
        <v>213</v>
      </c>
      <c r="E82" s="607">
        <v>205</v>
      </c>
      <c r="F82" s="607">
        <v>198</v>
      </c>
      <c r="G82" s="607">
        <v>168</v>
      </c>
      <c r="H82" s="607">
        <v>98</v>
      </c>
      <c r="J82" s="455">
        <f t="shared" si="131"/>
        <v>0.82558139534883723</v>
      </c>
      <c r="K82" s="455">
        <f t="shared" si="131"/>
        <v>0.96244131455399062</v>
      </c>
      <c r="L82" s="455">
        <f t="shared" si="131"/>
        <v>0.96585365853658534</v>
      </c>
      <c r="M82" s="455">
        <f t="shared" si="128"/>
        <v>0.76744186046511631</v>
      </c>
      <c r="N82" s="455">
        <f t="shared" si="129"/>
        <v>0.84848484848484851</v>
      </c>
      <c r="O82" s="455">
        <f t="shared" si="129"/>
        <v>0.58333333333333337</v>
      </c>
      <c r="P82" s="455">
        <f t="shared" si="130"/>
        <v>0.37984496124031009</v>
      </c>
      <c r="Q82" s="455"/>
    </row>
    <row r="83" spans="1:17" ht="28.8">
      <c r="A83" s="607">
        <v>2019</v>
      </c>
      <c r="B83" s="606" t="s">
        <v>320</v>
      </c>
      <c r="C83" s="607">
        <v>192</v>
      </c>
      <c r="D83" s="607">
        <v>166</v>
      </c>
      <c r="E83" s="607">
        <v>157</v>
      </c>
      <c r="F83" s="607">
        <v>155</v>
      </c>
      <c r="G83" s="607">
        <v>145</v>
      </c>
      <c r="H83" s="607">
        <v>138</v>
      </c>
      <c r="J83" s="455">
        <f t="shared" si="131"/>
        <v>0.86458333333333337</v>
      </c>
      <c r="K83" s="455">
        <f t="shared" si="131"/>
        <v>0.94578313253012047</v>
      </c>
      <c r="L83" s="455">
        <f t="shared" si="131"/>
        <v>0.98726114649681529</v>
      </c>
      <c r="M83" s="455">
        <f t="shared" si="128"/>
        <v>0.80729166666666663</v>
      </c>
      <c r="N83" s="455">
        <f t="shared" si="129"/>
        <v>0.93548387096774188</v>
      </c>
      <c r="O83" s="455">
        <f t="shared" si="129"/>
        <v>0.9517241379310345</v>
      </c>
      <c r="P83" s="455">
        <f t="shared" si="130"/>
        <v>0.71875</v>
      </c>
      <c r="Q83" s="455"/>
    </row>
    <row r="84" spans="1:17" ht="28.8">
      <c r="A84" s="607">
        <v>2020</v>
      </c>
      <c r="B84" s="606" t="s">
        <v>320</v>
      </c>
      <c r="C84" s="607">
        <v>344</v>
      </c>
      <c r="D84" s="607">
        <v>295</v>
      </c>
      <c r="E84" s="607">
        <v>278</v>
      </c>
      <c r="F84" s="607">
        <v>271</v>
      </c>
      <c r="G84" s="607">
        <v>263</v>
      </c>
      <c r="H84" s="607">
        <v>260</v>
      </c>
      <c r="J84" s="455">
        <f t="shared" si="131"/>
        <v>0.85755813953488369</v>
      </c>
      <c r="K84" s="455">
        <f t="shared" si="131"/>
        <v>0.94237288135593222</v>
      </c>
      <c r="L84" s="455">
        <f t="shared" si="131"/>
        <v>0.97482014388489213</v>
      </c>
      <c r="M84" s="455">
        <f t="shared" si="128"/>
        <v>0.78779069767441856</v>
      </c>
      <c r="N84" s="455">
        <f t="shared" si="129"/>
        <v>0.97047970479704793</v>
      </c>
      <c r="O84" s="455">
        <f t="shared" si="129"/>
        <v>0.98859315589353614</v>
      </c>
      <c r="P84" s="455">
        <f t="shared" si="130"/>
        <v>0.7558139534883721</v>
      </c>
      <c r="Q84" s="455"/>
    </row>
    <row r="85" spans="1:17" ht="28.8">
      <c r="A85" s="607">
        <v>2021</v>
      </c>
      <c r="B85" s="606" t="s">
        <v>320</v>
      </c>
      <c r="C85" s="607">
        <v>210</v>
      </c>
      <c r="D85" s="607">
        <v>195</v>
      </c>
      <c r="E85" s="607">
        <v>183</v>
      </c>
      <c r="F85" s="607">
        <v>179</v>
      </c>
      <c r="G85" s="607">
        <v>178</v>
      </c>
      <c r="H85" s="607">
        <v>178</v>
      </c>
      <c r="J85" s="455">
        <f t="shared" si="131"/>
        <v>0.9285714285714286</v>
      </c>
      <c r="K85" s="455">
        <f t="shared" si="131"/>
        <v>0.93846153846153846</v>
      </c>
      <c r="L85" s="455">
        <f t="shared" si="131"/>
        <v>0.97814207650273222</v>
      </c>
      <c r="M85" s="455">
        <f t="shared" si="128"/>
        <v>0.85238095238095235</v>
      </c>
      <c r="N85" s="455">
        <f t="shared" si="129"/>
        <v>0.994413407821229</v>
      </c>
      <c r="O85" s="455">
        <f t="shared" si="129"/>
        <v>1</v>
      </c>
      <c r="P85" s="455">
        <f t="shared" si="130"/>
        <v>0.84761904761904761</v>
      </c>
      <c r="Q85" s="455"/>
    </row>
    <row r="86" spans="1:17" ht="28.8">
      <c r="A86" s="607">
        <v>2022</v>
      </c>
      <c r="B86" s="606" t="s">
        <v>320</v>
      </c>
      <c r="C86" s="607">
        <v>339</v>
      </c>
      <c r="D86" s="607">
        <v>306</v>
      </c>
      <c r="E86" s="607">
        <v>281</v>
      </c>
      <c r="F86" s="607">
        <v>274</v>
      </c>
      <c r="G86" s="607">
        <v>276</v>
      </c>
      <c r="H86" s="607">
        <v>271</v>
      </c>
      <c r="J86" s="455">
        <f t="shared" ref="J86" si="132">D86/C86</f>
        <v>0.90265486725663713</v>
      </c>
      <c r="K86" s="455">
        <f t="shared" ref="K86" si="133">E86/D86</f>
        <v>0.9183006535947712</v>
      </c>
      <c r="L86" s="455">
        <f t="shared" ref="L86" si="134">F86/E86</f>
        <v>0.97508896797153022</v>
      </c>
      <c r="M86" s="455">
        <f t="shared" ref="M86" si="135">F86/C86</f>
        <v>0.80825958702064893</v>
      </c>
      <c r="N86" s="455">
        <f t="shared" ref="N86" si="136">G86/F86</f>
        <v>1.0072992700729928</v>
      </c>
      <c r="O86" s="455">
        <f t="shared" ref="O86" si="137">H86/G86</f>
        <v>0.98188405797101452</v>
      </c>
      <c r="P86" s="455">
        <f t="shared" ref="P86" si="138">H86/C86</f>
        <v>0.79941002949852502</v>
      </c>
    </row>
  </sheetData>
  <mergeCells count="20">
    <mergeCell ref="G8:H8"/>
    <mergeCell ref="L8:M8"/>
    <mergeCell ref="T7:V7"/>
    <mergeCell ref="H2:N2"/>
    <mergeCell ref="M37:T37"/>
    <mergeCell ref="T36:V36"/>
    <mergeCell ref="Q36:S36"/>
    <mergeCell ref="B6:O6"/>
    <mergeCell ref="P6:AC6"/>
    <mergeCell ref="B7:D7"/>
    <mergeCell ref="E7:G7"/>
    <mergeCell ref="H7:I7"/>
    <mergeCell ref="J7:L7"/>
    <mergeCell ref="M7:O7"/>
    <mergeCell ref="B36:D36"/>
    <mergeCell ref="E36:G36"/>
    <mergeCell ref="H36:I36"/>
    <mergeCell ref="J36:L36"/>
    <mergeCell ref="M36:O36"/>
    <mergeCell ref="Q7:S7"/>
  </mergeCells>
  <phoneticPr fontId="7" type="noConversion"/>
  <pageMargins left="0.7" right="0.7" top="0.75" bottom="0.75" header="0.3" footer="0.3"/>
  <pageSetup scale="5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52"/>
  <sheetViews>
    <sheetView view="pageBreakPreview" zoomScale="106" zoomScaleNormal="100" zoomScaleSheetLayoutView="106" workbookViewId="0">
      <selection activeCell="K150" sqref="K150"/>
    </sheetView>
  </sheetViews>
  <sheetFormatPr defaultRowHeight="13.2"/>
  <cols>
    <col min="1" max="1" width="7.6640625" customWidth="1"/>
    <col min="2" max="2" width="12.33203125" bestFit="1" customWidth="1"/>
    <col min="3" max="4" width="7.6640625" customWidth="1"/>
    <col min="5" max="10" width="13.6640625" customWidth="1"/>
    <col min="11" max="12" width="12.6640625" customWidth="1"/>
    <col min="13" max="13" width="12.6640625" style="66" customWidth="1"/>
    <col min="14" max="14" width="15.6640625" customWidth="1"/>
    <col min="15" max="15" width="2.6640625" customWidth="1"/>
    <col min="16" max="16" width="15.6640625" customWidth="1"/>
    <col min="17" max="17" width="2.6640625" customWidth="1"/>
  </cols>
  <sheetData>
    <row r="1" spans="1:17" ht="17.399999999999999">
      <c r="A1" s="312" t="s">
        <v>132</v>
      </c>
    </row>
    <row r="2" spans="1:17" ht="12.75" customHeight="1">
      <c r="A2" s="312"/>
      <c r="B2" s="655" t="s">
        <v>160</v>
      </c>
      <c r="C2" s="655"/>
      <c r="D2" s="655"/>
      <c r="E2" s="655"/>
      <c r="F2" s="655"/>
      <c r="G2" s="655"/>
      <c r="H2" s="655"/>
      <c r="I2" s="655"/>
      <c r="J2" s="655"/>
      <c r="K2" s="655"/>
      <c r="L2" s="655"/>
      <c r="M2" s="352"/>
    </row>
    <row r="3" spans="1:17" ht="12.75" customHeight="1">
      <c r="A3" s="312"/>
      <c r="B3" s="655"/>
      <c r="C3" s="655"/>
      <c r="D3" s="655"/>
      <c r="E3" s="655"/>
      <c r="F3" s="655"/>
      <c r="G3" s="655"/>
      <c r="H3" s="655"/>
      <c r="I3" s="655"/>
      <c r="J3" s="655"/>
      <c r="K3" s="655"/>
      <c r="L3" s="655"/>
      <c r="M3" s="352"/>
    </row>
    <row r="5" spans="1:17" ht="25.5" customHeight="1">
      <c r="A5" s="314" t="s">
        <v>133</v>
      </c>
      <c r="B5" s="313"/>
      <c r="C5" s="313"/>
      <c r="D5" s="313"/>
      <c r="E5" s="654" t="s">
        <v>147</v>
      </c>
      <c r="F5" s="654"/>
      <c r="G5" s="654"/>
      <c r="H5" s="654" t="s">
        <v>148</v>
      </c>
      <c r="I5" s="654"/>
      <c r="J5" s="654"/>
      <c r="K5" s="654" t="s">
        <v>149</v>
      </c>
      <c r="L5" s="654"/>
      <c r="M5" s="353" t="s">
        <v>154</v>
      </c>
    </row>
    <row r="6" spans="1:17" ht="45" customHeight="1">
      <c r="A6" s="315" t="s">
        <v>134</v>
      </c>
      <c r="B6" s="315" t="s">
        <v>136</v>
      </c>
      <c r="C6" s="315" t="s">
        <v>145</v>
      </c>
      <c r="D6" s="315" t="s">
        <v>146</v>
      </c>
      <c r="E6" s="316" t="s">
        <v>137</v>
      </c>
      <c r="F6" s="315" t="s">
        <v>138</v>
      </c>
      <c r="G6" s="315" t="s">
        <v>139</v>
      </c>
      <c r="H6" s="316" t="s">
        <v>142</v>
      </c>
      <c r="I6" s="315" t="s">
        <v>143</v>
      </c>
      <c r="J6" s="315" t="s">
        <v>144</v>
      </c>
      <c r="K6" s="316" t="s">
        <v>155</v>
      </c>
      <c r="L6" s="315" t="s">
        <v>141</v>
      </c>
      <c r="M6" s="354" t="s">
        <v>156</v>
      </c>
      <c r="N6" s="363" t="s">
        <v>157</v>
      </c>
      <c r="O6" s="363"/>
      <c r="P6" s="363" t="s">
        <v>158</v>
      </c>
    </row>
    <row r="7" spans="1:17">
      <c r="A7" s="317">
        <v>2002</v>
      </c>
      <c r="B7" s="318">
        <v>52</v>
      </c>
      <c r="C7" s="318">
        <v>32</v>
      </c>
      <c r="D7" s="318">
        <v>31</v>
      </c>
      <c r="E7" s="319">
        <v>0.61538461538461542</v>
      </c>
      <c r="F7" s="320">
        <v>0.96874999999999989</v>
      </c>
      <c r="G7" s="320">
        <v>0.59615384615384615</v>
      </c>
      <c r="H7" s="319">
        <v>0.81998999117966942</v>
      </c>
      <c r="I7" s="320">
        <v>0.97088800664921837</v>
      </c>
      <c r="J7" s="320">
        <f>'SR Fall Chin'!M9</f>
        <v>0.79611844800873943</v>
      </c>
      <c r="K7" s="319">
        <f>AVERAGE(J7:J12)</f>
        <v>0.80902354627079009</v>
      </c>
      <c r="L7" s="320"/>
      <c r="M7" s="373">
        <v>0.81</v>
      </c>
      <c r="N7" s="361">
        <f>L14/K7</f>
        <v>1.1192006259192935</v>
      </c>
      <c r="O7" s="366"/>
      <c r="P7" s="362">
        <f>L14/M7</f>
        <v>1.1178514313206356</v>
      </c>
      <c r="Q7" s="365"/>
    </row>
    <row r="8" spans="1:17">
      <c r="A8" s="317">
        <v>2003</v>
      </c>
      <c r="B8" s="318">
        <v>146</v>
      </c>
      <c r="C8" s="318">
        <v>126</v>
      </c>
      <c r="D8" s="318">
        <v>119</v>
      </c>
      <c r="E8" s="319">
        <v>0.86301369863013699</v>
      </c>
      <c r="F8" s="320">
        <v>0.94444444444444453</v>
      </c>
      <c r="G8" s="320">
        <v>0.81506849315068497</v>
      </c>
      <c r="H8" s="319">
        <v>1.0427503338007693</v>
      </c>
      <c r="I8" s="320">
        <v>0.94574769180549223</v>
      </c>
      <c r="J8" s="320">
        <f>'SR Fall Chin'!M10</f>
        <v>0.9861787213214841</v>
      </c>
      <c r="K8" s="319">
        <v>0.80902354627079009</v>
      </c>
      <c r="L8" s="320"/>
      <c r="M8" s="337"/>
    </row>
    <row r="9" spans="1:17">
      <c r="A9" s="317">
        <v>2004</v>
      </c>
      <c r="B9" s="318">
        <v>308</v>
      </c>
      <c r="C9" s="318">
        <v>254</v>
      </c>
      <c r="D9" s="318">
        <v>239</v>
      </c>
      <c r="E9" s="319">
        <v>0.82467532467532467</v>
      </c>
      <c r="F9" s="320">
        <v>0.94094488188976377</v>
      </c>
      <c r="G9" s="320">
        <v>0.77597402597402598</v>
      </c>
      <c r="H9" s="319">
        <v>0.99483869702393868</v>
      </c>
      <c r="I9" s="320">
        <v>0.94173767025806487</v>
      </c>
      <c r="J9" s="320">
        <f>'SR Fall Chin'!M11</f>
        <v>0.9368770768178929</v>
      </c>
      <c r="K9" s="319">
        <v>0.80902354627079009</v>
      </c>
      <c r="L9" s="320"/>
      <c r="M9" s="337"/>
    </row>
    <row r="10" spans="1:17">
      <c r="A10" s="317">
        <v>2005</v>
      </c>
      <c r="B10" s="318">
        <v>251</v>
      </c>
      <c r="C10" s="318">
        <v>173</v>
      </c>
      <c r="D10" s="318">
        <v>142</v>
      </c>
      <c r="E10" s="319">
        <v>0.68924302788844627</v>
      </c>
      <c r="F10" s="320">
        <v>0.82080924855491333</v>
      </c>
      <c r="G10" s="320">
        <v>0.56573705179282874</v>
      </c>
      <c r="H10" s="319">
        <v>0.86688233593624897</v>
      </c>
      <c r="I10" s="320">
        <v>0.82080924855491333</v>
      </c>
      <c r="J10" s="320">
        <f>'SR Fall Chin'!M12</f>
        <v>0.71154503874536046</v>
      </c>
      <c r="K10" s="319">
        <v>0.80902354627079009</v>
      </c>
      <c r="L10" s="320"/>
      <c r="M10" s="337"/>
    </row>
    <row r="11" spans="1:17">
      <c r="A11" s="317">
        <v>2006</v>
      </c>
      <c r="B11" s="318">
        <v>193</v>
      </c>
      <c r="C11" s="318">
        <v>98</v>
      </c>
      <c r="D11" s="318">
        <v>87</v>
      </c>
      <c r="E11" s="319">
        <v>0.50777202072538863</v>
      </c>
      <c r="F11" s="320">
        <v>0.88775510204081631</v>
      </c>
      <c r="G11" s="320">
        <v>0.45077720207253885</v>
      </c>
      <c r="H11" s="319">
        <v>0.66230650601743424</v>
      </c>
      <c r="I11" s="320">
        <v>0.8877551020408162</v>
      </c>
      <c r="J11" s="320">
        <f>'SR Fall Chin'!M13</f>
        <v>0.58796597983180376</v>
      </c>
      <c r="K11" s="319">
        <v>0.80902354627079009</v>
      </c>
      <c r="L11" s="320"/>
      <c r="M11" s="337"/>
    </row>
    <row r="12" spans="1:17">
      <c r="A12" s="325">
        <v>2007</v>
      </c>
      <c r="B12" s="326">
        <v>247</v>
      </c>
      <c r="C12" s="326">
        <v>176</v>
      </c>
      <c r="D12" s="326">
        <v>165</v>
      </c>
      <c r="E12" s="327">
        <v>0.71255060728744934</v>
      </c>
      <c r="F12" s="328">
        <v>0.9375</v>
      </c>
      <c r="G12" s="328">
        <v>0.66801619433198378</v>
      </c>
      <c r="H12" s="327">
        <v>0.89115308042609043</v>
      </c>
      <c r="I12" s="328">
        <v>0.9375</v>
      </c>
      <c r="J12" s="320">
        <f>'SR Fall Chin'!M14</f>
        <v>0.83545601289945981</v>
      </c>
      <c r="K12" s="327">
        <v>0.80902354627079009</v>
      </c>
      <c r="L12" s="328"/>
      <c r="M12" s="347"/>
    </row>
    <row r="13" spans="1:17">
      <c r="A13" s="416"/>
      <c r="B13" s="417"/>
      <c r="C13" s="417"/>
      <c r="D13" s="417"/>
      <c r="E13" s="319"/>
      <c r="F13" s="418"/>
      <c r="G13" s="418"/>
      <c r="H13" s="319"/>
      <c r="I13" s="418"/>
      <c r="J13" s="320"/>
      <c r="K13" s="319"/>
      <c r="L13" s="418"/>
      <c r="M13" s="347"/>
    </row>
    <row r="14" spans="1:17">
      <c r="A14" s="321">
        <v>2008</v>
      </c>
      <c r="B14" s="322">
        <v>1027</v>
      </c>
      <c r="C14" s="322">
        <v>715</v>
      </c>
      <c r="D14" s="322">
        <v>687</v>
      </c>
      <c r="E14" s="323">
        <v>0.69620253164556967</v>
      </c>
      <c r="F14" s="324">
        <v>0.96083916083916088</v>
      </c>
      <c r="G14" s="324">
        <v>0.66893865628042848</v>
      </c>
      <c r="H14" s="323">
        <v>0.95659683946543828</v>
      </c>
      <c r="I14" s="324">
        <v>0.96083916083916077</v>
      </c>
      <c r="J14" s="320">
        <f>'SR Fall Chin'!M16</f>
        <v>0.91913570449336512</v>
      </c>
      <c r="K14" s="323"/>
      <c r="L14" s="324">
        <f>AVERAGE(J14:J18)</f>
        <v>0.90545965936971484</v>
      </c>
      <c r="M14" s="339"/>
    </row>
    <row r="15" spans="1:17">
      <c r="A15" s="321">
        <v>2009</v>
      </c>
      <c r="B15" s="322">
        <v>527</v>
      </c>
      <c r="C15" s="322">
        <v>316</v>
      </c>
      <c r="D15" s="322">
        <v>313</v>
      </c>
      <c r="E15" s="323">
        <v>0.59962049335863377</v>
      </c>
      <c r="F15" s="324">
        <v>0.990506329113924</v>
      </c>
      <c r="G15" s="324">
        <v>0.59392789373814037</v>
      </c>
      <c r="H15" s="323">
        <v>0.89607404665916546</v>
      </c>
      <c r="I15" s="324">
        <v>0.990506329113924</v>
      </c>
      <c r="J15" s="320">
        <f>'SR Fall Chin'!M17</f>
        <v>0.88756701457062903</v>
      </c>
      <c r="K15" s="323"/>
      <c r="L15" s="324">
        <f t="shared" ref="L15:L17" si="0">AVERAGE(J15:J19)</f>
        <v>0.88665557797670369</v>
      </c>
      <c r="M15" s="339"/>
    </row>
    <row r="16" spans="1:17">
      <c r="A16" s="321">
        <v>2010</v>
      </c>
      <c r="B16" s="322">
        <v>1391</v>
      </c>
      <c r="C16" s="322">
        <v>991</v>
      </c>
      <c r="D16" s="322">
        <v>974</v>
      </c>
      <c r="E16" s="323">
        <v>0.71243709561466573</v>
      </c>
      <c r="F16" s="324">
        <v>0.98284561049444996</v>
      </c>
      <c r="G16" s="324">
        <v>0.70021567217828895</v>
      </c>
      <c r="H16" s="323">
        <v>0.92208991282363795</v>
      </c>
      <c r="I16" s="324">
        <v>0.98284561049444985</v>
      </c>
      <c r="J16" s="320">
        <f>'SR Fall Chin'!M18</f>
        <v>0.90627202329992251</v>
      </c>
      <c r="K16" s="323"/>
      <c r="L16" s="324">
        <f t="shared" si="0"/>
        <v>0.89234270726362452</v>
      </c>
      <c r="M16" s="339"/>
    </row>
    <row r="17" spans="1:17">
      <c r="A17" s="321">
        <v>2011</v>
      </c>
      <c r="B17" s="322">
        <f>'SR Fall Chin'!B19</f>
        <v>2353</v>
      </c>
      <c r="C17" s="322">
        <f>'SR Fall Chin'!C19</f>
        <v>1551</v>
      </c>
      <c r="D17" s="322">
        <f>'SR Fall Chin'!D19</f>
        <v>1470</v>
      </c>
      <c r="E17" s="324">
        <f>'SR Fall Chin'!E19</f>
        <v>0.65915852103697403</v>
      </c>
      <c r="F17" s="324">
        <f>'SR Fall Chin'!F19</f>
        <v>0.94777562862669262</v>
      </c>
      <c r="G17" s="324">
        <f>'SR Fall Chin'!G19</f>
        <v>0.62473438164045902</v>
      </c>
      <c r="H17" s="323">
        <f>'SR Fall Chin'!K19</f>
        <v>0.84994148681679205</v>
      </c>
      <c r="I17" s="323">
        <f>'SR Fall Chin'!L19</f>
        <v>0.94777562862669262</v>
      </c>
      <c r="J17" s="323">
        <f>'SR Fall Chin'!M19</f>
        <v>0.80555382696369082</v>
      </c>
      <c r="K17" s="323"/>
      <c r="L17" s="324">
        <f t="shared" si="0"/>
        <v>0.91066083213259097</v>
      </c>
      <c r="M17" s="339"/>
    </row>
    <row r="18" spans="1:17">
      <c r="A18" s="342">
        <v>2012</v>
      </c>
      <c r="B18" s="322">
        <f>'SR Fall Chin'!B20</f>
        <v>2430</v>
      </c>
      <c r="C18" s="322">
        <f>'SR Fall Chin'!C20</f>
        <v>1949</v>
      </c>
      <c r="D18" s="322">
        <f>'SR Fall Chin'!D20</f>
        <v>1875</v>
      </c>
      <c r="E18" s="324">
        <f>'SR Fall Chin'!E20</f>
        <v>0.80205761316872426</v>
      </c>
      <c r="F18" s="324">
        <f>'SR Fall Chin'!F20</f>
        <v>0.96203181118522318</v>
      </c>
      <c r="G18" s="324">
        <f>'SR Fall Chin'!G20</f>
        <v>0.77160493827160492</v>
      </c>
      <c r="H18" s="323">
        <f>'SR Fall Chin'!K20</f>
        <v>1.0485825061004608</v>
      </c>
      <c r="I18" s="323">
        <f>'SR Fall Chin'!L20</f>
        <v>0.96203181118522318</v>
      </c>
      <c r="J18" s="323">
        <f>'SR Fall Chin'!M20</f>
        <v>1.0087697275209666</v>
      </c>
      <c r="K18" s="323"/>
      <c r="L18" s="324">
        <f>AVERAGE(J18:J26)</f>
        <v>0.92225606983663666</v>
      </c>
      <c r="M18" s="355"/>
    </row>
    <row r="19" spans="1:17">
      <c r="A19" s="321">
        <v>2013</v>
      </c>
      <c r="B19" s="322">
        <f>'SR Fall Chin'!B21</f>
        <v>4192</v>
      </c>
      <c r="C19" s="322">
        <f>'SR Fall Chin'!C21</f>
        <v>2895</v>
      </c>
      <c r="D19" s="322">
        <f>'SR Fall Chin'!D21</f>
        <v>2639</v>
      </c>
      <c r="E19" s="324">
        <f>'SR Fall Chin'!E21</f>
        <v>0.69060114503816794</v>
      </c>
      <c r="F19" s="324">
        <f>'SR Fall Chin'!F21</f>
        <v>0.91157167530224525</v>
      </c>
      <c r="G19" s="324">
        <f>'SR Fall Chin'!G21</f>
        <v>0.62953244274809161</v>
      </c>
      <c r="H19" s="323">
        <f>'SR Fall Chin'!K21</f>
        <v>0.90515679664435611</v>
      </c>
      <c r="I19" s="323">
        <f>'SR Fall Chin'!L21</f>
        <v>0.91157167530224537</v>
      </c>
      <c r="J19" s="323">
        <f>'SR Fall Chin'!M21</f>
        <v>0.82511529752830948</v>
      </c>
      <c r="K19" s="323"/>
      <c r="L19" s="324">
        <f>AVERAGE(J19:J27)</f>
        <v>0.90989697588173246</v>
      </c>
      <c r="M19" s="356"/>
    </row>
    <row r="20" spans="1:17">
      <c r="A20" s="321">
        <v>2014</v>
      </c>
      <c r="B20" s="322">
        <f>'SR Fall Chin'!B22</f>
        <v>3206</v>
      </c>
      <c r="C20" s="322">
        <f>'SR Fall Chin'!C22</f>
        <v>2290</v>
      </c>
      <c r="D20" s="322">
        <f>'SR Fall Chin'!D22</f>
        <v>2198</v>
      </c>
      <c r="E20" s="324">
        <f>'SR Fall Chin'!E22</f>
        <v>0.7142857142857143</v>
      </c>
      <c r="F20" s="324">
        <f>'SR Fall Chin'!F22</f>
        <v>0.95982532751091709</v>
      </c>
      <c r="G20" s="324">
        <f>'SR Fall Chin'!G22</f>
        <v>0.68558951965065507</v>
      </c>
      <c r="H20" s="323">
        <f>'SR Fall Chin'!K22</f>
        <v>0.95434308175704496</v>
      </c>
      <c r="I20" s="323">
        <f>'SR Fall Chin'!L22</f>
        <v>0.95982532751091698</v>
      </c>
      <c r="J20" s="323">
        <f>'SR Fall Chin'!M22</f>
        <v>0.91600266100523353</v>
      </c>
      <c r="K20" s="323"/>
      <c r="L20" s="324">
        <f>AVERAGE(J20:J28)</f>
        <v>0.93295503529577639</v>
      </c>
      <c r="M20" s="356"/>
    </row>
    <row r="21" spans="1:17">
      <c r="A21" s="321">
        <v>2015</v>
      </c>
      <c r="B21" s="322">
        <f>'SR Fall Chin'!B23</f>
        <v>1348</v>
      </c>
      <c r="C21" s="322">
        <f>'SR Fall Chin'!C23</f>
        <v>929</v>
      </c>
      <c r="D21" s="322">
        <f>'SR Fall Chin'!D23</f>
        <v>891</v>
      </c>
      <c r="E21" s="324">
        <f>'SR Fall Chin'!E23</f>
        <v>0.68916913946587532</v>
      </c>
      <c r="F21" s="324">
        <f>'SR Fall Chin'!F23</f>
        <v>0.95909580193756738</v>
      </c>
      <c r="G21" s="324">
        <f>'SR Fall Chin'!G23</f>
        <v>0.66097922848664692</v>
      </c>
      <c r="H21" s="323">
        <f>'SR Fall Chin'!K23</f>
        <v>1.0404202016408264</v>
      </c>
      <c r="I21" s="323">
        <f>'SR Fall Chin'!L23</f>
        <v>0.95909580193756749</v>
      </c>
      <c r="J21" s="323">
        <f>'SR Fall Chin'!M23</f>
        <v>0.99786264764475407</v>
      </c>
      <c r="K21" s="323"/>
      <c r="L21" s="324">
        <f t="shared" ref="L21:L22" si="1">AVERAGE(J21:J29)</f>
        <v>0.93378223544383576</v>
      </c>
    </row>
    <row r="22" spans="1:17">
      <c r="A22" s="321">
        <v>2016</v>
      </c>
      <c r="B22" s="322">
        <f>'SR Fall Chin'!B24</f>
        <v>351</v>
      </c>
      <c r="C22" s="322">
        <f>'SR Fall Chin'!C24</f>
        <v>220</v>
      </c>
      <c r="D22" s="322">
        <f>'SR Fall Chin'!D24</f>
        <v>209</v>
      </c>
      <c r="E22" s="324">
        <f>'SR Fall Chin'!E24</f>
        <v>0.62678062678062674</v>
      </c>
      <c r="F22" s="324">
        <f>'SR Fall Chin'!F24</f>
        <v>0.95000000000000007</v>
      </c>
      <c r="G22" s="324">
        <f>'SR Fall Chin'!G24</f>
        <v>0.59544159544159547</v>
      </c>
      <c r="H22" s="323">
        <f>'SR Fall Chin'!K24</f>
        <v>0.84397167299614728</v>
      </c>
      <c r="I22" s="323">
        <f>'SR Fall Chin'!L24</f>
        <v>0.95000000000000018</v>
      </c>
      <c r="J22" s="323">
        <f>'SR Fall Chin'!M24</f>
        <v>0.80177308934634006</v>
      </c>
      <c r="K22" s="323"/>
      <c r="L22" s="324">
        <f t="shared" si="1"/>
        <v>0.92797914485899213</v>
      </c>
    </row>
    <row r="23" spans="1:17">
      <c r="A23" s="321">
        <v>2017</v>
      </c>
      <c r="B23" s="322">
        <f>'SR Fall Chin'!B25</f>
        <v>120</v>
      </c>
      <c r="C23" s="322">
        <f>'SR Fall Chin'!C25</f>
        <v>81</v>
      </c>
      <c r="D23" s="322">
        <f>'SR Fall Chin'!D25</f>
        <v>77</v>
      </c>
      <c r="E23" s="324">
        <f>'SR Fall Chin'!E25</f>
        <v>0.67500000000000004</v>
      </c>
      <c r="F23" s="324">
        <f>'SR Fall Chin'!F25</f>
        <v>0.95061728395061729</v>
      </c>
      <c r="G23" s="324">
        <f>'SR Fall Chin'!G25</f>
        <v>0.64166666666666672</v>
      </c>
      <c r="H23" s="323">
        <f>'SR Fall Chin'!K25</f>
        <v>0.94713047529111993</v>
      </c>
      <c r="I23" s="323">
        <f>'SR Fall Chin'!L25</f>
        <v>0.9506172839506174</v>
      </c>
      <c r="J23" s="323">
        <f>'SR Fall Chin'!M25</f>
        <v>0.90035859996810175</v>
      </c>
      <c r="K23" s="323"/>
      <c r="L23" s="324">
        <f t="shared" ref="L23:L25" si="2">AVERAGE(J23:J31)</f>
        <v>0.94476293067967188</v>
      </c>
    </row>
    <row r="24" spans="1:17">
      <c r="A24" s="321">
        <v>2018</v>
      </c>
      <c r="B24" s="322">
        <f>'SR Fall Chin'!B26</f>
        <v>42</v>
      </c>
      <c r="C24" s="322">
        <f>'SR Fall Chin'!C26</f>
        <v>28</v>
      </c>
      <c r="D24" s="322">
        <f>'SR Fall Chin'!D26</f>
        <v>27</v>
      </c>
      <c r="E24" s="324">
        <f>'SR Fall Chin'!E26</f>
        <v>0.66666666666666663</v>
      </c>
      <c r="F24" s="324">
        <f>'SR Fall Chin'!F26</f>
        <v>0.96428571428571441</v>
      </c>
      <c r="G24" s="324">
        <f>'SR Fall Chin'!G26</f>
        <v>0.6428571428571429</v>
      </c>
      <c r="H24" s="323">
        <f>'SR Fall Chin'!K26</f>
        <v>0.9788690078961938</v>
      </c>
      <c r="I24" s="323">
        <f>'SR Fall Chin'!L26</f>
        <v>0.96428571428571441</v>
      </c>
      <c r="J24" s="323">
        <f>'SR Fall Chin'!M26</f>
        <v>0.94390940047132987</v>
      </c>
      <c r="K24" s="323"/>
      <c r="L24" s="324">
        <f t="shared" si="2"/>
        <v>0.93352189797036367</v>
      </c>
    </row>
    <row r="25" spans="1:17">
      <c r="A25" s="321">
        <v>2019</v>
      </c>
      <c r="B25" s="322">
        <f>'SR Fall Chin'!B27</f>
        <v>72</v>
      </c>
      <c r="C25" s="322">
        <f>'SR Fall Chin'!C27</f>
        <v>55</v>
      </c>
      <c r="D25" s="322">
        <f>'SR Fall Chin'!D27</f>
        <v>54</v>
      </c>
      <c r="E25" s="324">
        <f>'SR Fall Chin'!E27</f>
        <v>0.76388888888888884</v>
      </c>
      <c r="F25" s="324">
        <f>'SR Fall Chin'!F27</f>
        <v>0.98181818181818192</v>
      </c>
      <c r="G25" s="324">
        <f>'SR Fall Chin'!G27</f>
        <v>0.75</v>
      </c>
      <c r="H25" s="323">
        <f>'SR Fall Chin'!K27</f>
        <v>1.0024841191933931</v>
      </c>
      <c r="I25" s="323">
        <f>'SR Fall Chin'!L27</f>
        <v>0.98181818181818192</v>
      </c>
      <c r="J25" s="323">
        <f>'SR Fall Chin'!M27</f>
        <v>0.9842571352080588</v>
      </c>
      <c r="K25" s="323"/>
      <c r="L25" s="324">
        <f t="shared" si="2"/>
        <v>0.92592054542802527</v>
      </c>
    </row>
    <row r="26" spans="1:17" ht="25.5" customHeight="1">
      <c r="A26" s="314" t="s">
        <v>150</v>
      </c>
      <c r="B26" s="313"/>
      <c r="C26" s="313"/>
      <c r="D26" s="313"/>
      <c r="E26" s="654" t="s">
        <v>147</v>
      </c>
      <c r="F26" s="654"/>
      <c r="G26" s="654"/>
      <c r="H26" s="654" t="s">
        <v>148</v>
      </c>
      <c r="I26" s="654"/>
      <c r="J26" s="654"/>
      <c r="K26" s="654" t="s">
        <v>149</v>
      </c>
      <c r="L26" s="654"/>
      <c r="M26" s="353"/>
    </row>
    <row r="27" spans="1:17" ht="45" customHeight="1">
      <c r="A27" s="315" t="s">
        <v>134</v>
      </c>
      <c r="B27" s="315" t="s">
        <v>136</v>
      </c>
      <c r="C27" s="315" t="s">
        <v>145</v>
      </c>
      <c r="D27" s="315" t="s">
        <v>146</v>
      </c>
      <c r="E27" s="316" t="s">
        <v>137</v>
      </c>
      <c r="F27" s="315" t="s">
        <v>138</v>
      </c>
      <c r="G27" s="315" t="s">
        <v>139</v>
      </c>
      <c r="H27" s="316" t="s">
        <v>142</v>
      </c>
      <c r="I27" s="315" t="s">
        <v>143</v>
      </c>
      <c r="J27" s="315" t="s">
        <v>144</v>
      </c>
      <c r="K27" s="316" t="s">
        <v>140</v>
      </c>
      <c r="L27" s="315" t="s">
        <v>141</v>
      </c>
      <c r="M27" s="354" t="s">
        <v>156</v>
      </c>
      <c r="N27" s="363" t="s">
        <v>157</v>
      </c>
      <c r="O27" s="363"/>
      <c r="P27" s="363" t="s">
        <v>158</v>
      </c>
    </row>
    <row r="28" spans="1:17">
      <c r="A28" s="317">
        <v>2002</v>
      </c>
      <c r="B28" s="318">
        <v>1136</v>
      </c>
      <c r="C28" s="318">
        <v>989</v>
      </c>
      <c r="D28" s="318">
        <v>963</v>
      </c>
      <c r="E28" s="319">
        <v>0.87059859154929575</v>
      </c>
      <c r="F28" s="320">
        <v>0.97371081900910006</v>
      </c>
      <c r="G28" s="320">
        <v>0.84771126760563376</v>
      </c>
      <c r="H28" s="319">
        <v>1.0024434036567398</v>
      </c>
      <c r="I28" s="320">
        <v>0.98411711806168467</v>
      </c>
      <c r="J28" s="341">
        <v>0.98652171342661676</v>
      </c>
      <c r="K28" s="358">
        <v>0.91619778046468647</v>
      </c>
      <c r="L28" s="320"/>
      <c r="M28" s="373">
        <v>0.91</v>
      </c>
      <c r="N28" s="361">
        <f>L35/K28</f>
        <v>0.91205816224387892</v>
      </c>
      <c r="O28" s="367"/>
      <c r="P28" s="362">
        <f>L35/M28</f>
        <v>0.91826996033246455</v>
      </c>
      <c r="Q28" s="364"/>
    </row>
    <row r="29" spans="1:17">
      <c r="A29" s="317">
        <v>2003</v>
      </c>
      <c r="B29" s="318">
        <v>913</v>
      </c>
      <c r="C29" s="318">
        <v>774</v>
      </c>
      <c r="D29" s="318">
        <v>749</v>
      </c>
      <c r="E29" s="319">
        <v>0.84775465498357061</v>
      </c>
      <c r="F29" s="320">
        <v>0.96770025839793283</v>
      </c>
      <c r="G29" s="320">
        <v>0.8203723986856517</v>
      </c>
      <c r="H29" s="319">
        <v>0.94582099263157748</v>
      </c>
      <c r="I29" s="320">
        <v>0.97459568906048966</v>
      </c>
      <c r="J29" s="341">
        <v>0.92179306204164857</v>
      </c>
      <c r="K29" s="358">
        <v>0.91619778046468647</v>
      </c>
      <c r="L29" s="320"/>
      <c r="M29" s="337"/>
    </row>
    <row r="30" spans="1:17">
      <c r="A30" s="317">
        <v>2004</v>
      </c>
      <c r="B30" s="318">
        <v>1774</v>
      </c>
      <c r="C30" s="318">
        <v>1527</v>
      </c>
      <c r="D30" s="318">
        <v>1481</v>
      </c>
      <c r="E30" s="319">
        <v>0.86076662908680945</v>
      </c>
      <c r="F30" s="320">
        <v>0.96987557301899152</v>
      </c>
      <c r="G30" s="320">
        <v>0.83483652762119509</v>
      </c>
      <c r="H30" s="319">
        <v>0.97087007573321882</v>
      </c>
      <c r="I30" s="320">
        <v>0.98596201229904368</v>
      </c>
      <c r="J30" s="341">
        <v>0.95724101355084934</v>
      </c>
      <c r="K30" s="358">
        <v>0.91619778046468647</v>
      </c>
      <c r="L30" s="320"/>
      <c r="M30" s="337"/>
    </row>
    <row r="31" spans="1:17">
      <c r="A31" s="317">
        <v>2005</v>
      </c>
      <c r="B31" s="318">
        <v>608</v>
      </c>
      <c r="C31" s="318">
        <v>533</v>
      </c>
      <c r="D31" s="318">
        <v>509</v>
      </c>
      <c r="E31" s="319">
        <v>0.87664473684210531</v>
      </c>
      <c r="F31" s="320">
        <v>0.95497185741088175</v>
      </c>
      <c r="G31" s="320">
        <v>0.83717105263157898</v>
      </c>
      <c r="H31" s="319">
        <v>0.95968572793323681</v>
      </c>
      <c r="I31" s="320">
        <v>0.95787564963667848</v>
      </c>
      <c r="J31" s="341">
        <v>0.91925959009109792</v>
      </c>
      <c r="K31" s="358">
        <v>0.91619778046468647</v>
      </c>
      <c r="L31" s="320"/>
      <c r="M31" s="337"/>
    </row>
    <row r="32" spans="1:17">
      <c r="A32" s="317">
        <v>2006</v>
      </c>
      <c r="B32" s="318">
        <v>267</v>
      </c>
      <c r="C32" s="318">
        <v>213</v>
      </c>
      <c r="D32" s="318">
        <v>198</v>
      </c>
      <c r="E32" s="319">
        <v>0.797752808988764</v>
      </c>
      <c r="F32" s="320">
        <v>0.92957746478873249</v>
      </c>
      <c r="G32" s="320">
        <v>0.7415730337078652</v>
      </c>
      <c r="H32" s="319">
        <v>0.87693375904642545</v>
      </c>
      <c r="I32" s="320">
        <v>0.93698225496122634</v>
      </c>
      <c r="J32" s="341">
        <v>0.82167137100294441</v>
      </c>
      <c r="K32" s="358">
        <v>0.91619778046468647</v>
      </c>
      <c r="L32" s="320"/>
      <c r="M32" s="337"/>
    </row>
    <row r="33" spans="1:16">
      <c r="A33" s="325">
        <v>2007</v>
      </c>
      <c r="B33" s="326">
        <v>168</v>
      </c>
      <c r="C33" s="326">
        <v>142</v>
      </c>
      <c r="D33" s="326">
        <v>133</v>
      </c>
      <c r="E33" s="327">
        <v>0.84523809523809523</v>
      </c>
      <c r="F33" s="328">
        <v>0.93661971830985913</v>
      </c>
      <c r="G33" s="328">
        <v>0.79166666666666663</v>
      </c>
      <c r="H33" s="327">
        <v>0.94114035440566046</v>
      </c>
      <c r="I33" s="328">
        <v>0.94640499528622124</v>
      </c>
      <c r="J33" s="346">
        <v>0.89069993267496173</v>
      </c>
      <c r="K33" s="359">
        <v>0.91619778046468647</v>
      </c>
      <c r="L33" s="328"/>
      <c r="M33" s="347"/>
    </row>
    <row r="34" spans="1:16">
      <c r="A34" s="416"/>
      <c r="B34" s="417"/>
      <c r="C34" s="417"/>
      <c r="D34" s="417"/>
      <c r="E34" s="319"/>
      <c r="F34" s="418"/>
      <c r="G34" s="418"/>
      <c r="H34" s="319"/>
      <c r="I34" s="418"/>
      <c r="J34" s="350"/>
      <c r="K34" s="358"/>
      <c r="L34" s="418"/>
      <c r="M34" s="347"/>
    </row>
    <row r="35" spans="1:16">
      <c r="A35" s="321">
        <v>2008</v>
      </c>
      <c r="B35" s="322">
        <v>1115</v>
      </c>
      <c r="C35" s="322">
        <v>829</v>
      </c>
      <c r="D35" s="322">
        <v>794</v>
      </c>
      <c r="E35" s="323">
        <v>0.74349775784753358</v>
      </c>
      <c r="F35" s="324">
        <v>0.95778045838359471</v>
      </c>
      <c r="G35" s="324">
        <v>0.71210762331838562</v>
      </c>
      <c r="H35" s="323">
        <v>0.88941521861321815</v>
      </c>
      <c r="I35" s="324">
        <v>0.96746567419541907</v>
      </c>
      <c r="J35" s="324">
        <f>'SR Spr-Sum Chin'!M16</f>
        <v>0.86047869411530309</v>
      </c>
      <c r="K35" s="323"/>
      <c r="L35" s="324">
        <f>AVERAGE(J35:J39)</f>
        <v>0.83562566390254278</v>
      </c>
      <c r="M35" s="339"/>
    </row>
    <row r="36" spans="1:16">
      <c r="A36" s="321">
        <v>2009</v>
      </c>
      <c r="B36" s="322">
        <v>916</v>
      </c>
      <c r="C36" s="322">
        <v>711</v>
      </c>
      <c r="D36" s="322">
        <v>659</v>
      </c>
      <c r="E36" s="323">
        <v>0.77620087336244536</v>
      </c>
      <c r="F36" s="324">
        <v>0.92686357243319284</v>
      </c>
      <c r="G36" s="324">
        <v>0.71943231441048039</v>
      </c>
      <c r="H36" s="323">
        <v>0.85811669286316283</v>
      </c>
      <c r="I36" s="324">
        <v>0.93433827866249286</v>
      </c>
      <c r="J36" s="324">
        <f>'SR Spr-Sum Chin'!M17</f>
        <v>0.80177127370131862</v>
      </c>
      <c r="K36" s="323"/>
      <c r="L36" s="324">
        <f t="shared" ref="L36:L38" si="3">AVERAGE(J36:J40)</f>
        <v>0.83434406157551311</v>
      </c>
      <c r="M36" s="339"/>
    </row>
    <row r="37" spans="1:16">
      <c r="A37" s="321">
        <v>2010</v>
      </c>
      <c r="B37" s="322">
        <v>840</v>
      </c>
      <c r="C37" s="322">
        <v>634</v>
      </c>
      <c r="D37" s="322">
        <v>587</v>
      </c>
      <c r="E37" s="323">
        <v>0.75476190476190474</v>
      </c>
      <c r="F37" s="324">
        <v>0.92586750788643535</v>
      </c>
      <c r="G37" s="324">
        <v>0.69880952380952377</v>
      </c>
      <c r="H37" s="323">
        <v>0.90501199640507546</v>
      </c>
      <c r="I37" s="324">
        <v>0.93145624535858684</v>
      </c>
      <c r="J37" s="324">
        <f>'SR Spr-Sum Chin'!M18</f>
        <v>0.85154593670619383</v>
      </c>
      <c r="K37" s="323"/>
      <c r="L37" s="324">
        <f t="shared" si="3"/>
        <v>0.84121833957546988</v>
      </c>
      <c r="M37" s="339"/>
    </row>
    <row r="38" spans="1:16">
      <c r="A38" s="321">
        <v>2011</v>
      </c>
      <c r="B38" s="322">
        <f>'SR Spr-Sum Chin'!B19</f>
        <v>1874</v>
      </c>
      <c r="C38" s="322">
        <f>'SR Spr-Sum Chin'!C19</f>
        <v>1363</v>
      </c>
      <c r="D38" s="322">
        <f>'SR Spr-Sum Chin'!D19</f>
        <v>1259</v>
      </c>
      <c r="E38" s="324">
        <f>'SR Spr-Sum Chin'!E19</f>
        <v>0.7273212379935966</v>
      </c>
      <c r="F38" s="324">
        <f>'SR Spr-Sum Chin'!F19</f>
        <v>0.9236977256052824</v>
      </c>
      <c r="G38" s="324">
        <f>'SR Spr-Sum Chin'!G19</f>
        <v>0.67182497331910351</v>
      </c>
      <c r="H38" s="323">
        <f>'SR Spr-Sum Chin'!K19</f>
        <v>0.81288557345552526</v>
      </c>
      <c r="I38" s="323">
        <f>'SR Spr-Sum Chin'!L19</f>
        <v>0.95030630206304778</v>
      </c>
      <c r="J38" s="323">
        <f>'SR Spr-Sum Chin'!M19</f>
        <v>0.77249028331092018</v>
      </c>
      <c r="K38" s="323"/>
      <c r="L38" s="324">
        <f t="shared" si="3"/>
        <v>0.85794492000991374</v>
      </c>
      <c r="M38" s="339"/>
    </row>
    <row r="39" spans="1:16">
      <c r="A39" s="342">
        <v>2012</v>
      </c>
      <c r="B39" s="322">
        <f>'SR Spr-Sum Chin'!B20</f>
        <v>1691</v>
      </c>
      <c r="C39" s="322">
        <f>'SR Spr-Sum Chin'!C20</f>
        <v>1352</v>
      </c>
      <c r="D39" s="322">
        <f>'SR Spr-Sum Chin'!D20</f>
        <v>1279</v>
      </c>
      <c r="E39" s="324">
        <f>'SR Spr-Sum Chin'!E20</f>
        <v>0.79952690715552932</v>
      </c>
      <c r="F39" s="324">
        <f>'SR Spr-Sum Chin'!F20</f>
        <v>0.94600591715976334</v>
      </c>
      <c r="G39" s="324">
        <f>'SR Spr-Sum Chin'!G20</f>
        <v>0.75635718509757544</v>
      </c>
      <c r="H39" s="323">
        <f>'SR Spr-Sum Chin'!K20</f>
        <v>0.91257693826819308</v>
      </c>
      <c r="I39" s="323">
        <f>'SR Spr-Sum Chin'!L20</f>
        <v>0.97727884004107779</v>
      </c>
      <c r="J39" s="323">
        <f>'SR Spr-Sum Chin'!M20</f>
        <v>0.89184213167897797</v>
      </c>
      <c r="K39" s="329"/>
      <c r="L39" s="324">
        <f>AVERAGE(J39:J47)</f>
        <v>0.83695775746098289</v>
      </c>
      <c r="M39" s="357"/>
    </row>
    <row r="40" spans="1:16">
      <c r="A40" s="321">
        <v>2013</v>
      </c>
      <c r="B40" s="322">
        <f>'SR Spr-Sum Chin'!B21</f>
        <v>719</v>
      </c>
      <c r="C40" s="322">
        <f>'SR Spr-Sum Chin'!C21</f>
        <v>612</v>
      </c>
      <c r="D40" s="322">
        <f>'SR Spr-Sum Chin'!D21</f>
        <v>560</v>
      </c>
      <c r="E40" s="324">
        <f>'SR Spr-Sum Chin'!E21</f>
        <v>0.85118219749652291</v>
      </c>
      <c r="F40" s="324">
        <f>'SR Spr-Sum Chin'!F21</f>
        <v>0.91503267973856206</v>
      </c>
      <c r="G40" s="324">
        <f>'SR Spr-Sum Chin'!G21</f>
        <v>0.77885952712100137</v>
      </c>
      <c r="H40" s="323">
        <f>'SR Spr-Sum Chin'!K21</f>
        <v>0.92497685064063251</v>
      </c>
      <c r="I40" s="323">
        <f>'SR Spr-Sum Chin'!L21</f>
        <v>0.92334276462014353</v>
      </c>
      <c r="J40" s="323">
        <f>'SR Spr-Sum Chin'!M21</f>
        <v>0.85407068248015516</v>
      </c>
      <c r="K40" s="329"/>
      <c r="L40" s="324">
        <f>AVERAGE(J40:J48)</f>
        <v>0.82911713257269781</v>
      </c>
      <c r="M40" s="339"/>
    </row>
    <row r="41" spans="1:16">
      <c r="A41" s="321">
        <v>2014</v>
      </c>
      <c r="B41" s="322">
        <f>'SR Spr-Sum Chin'!B22</f>
        <v>1649</v>
      </c>
      <c r="C41" s="322">
        <f>'SR Spr-Sum Chin'!C22</f>
        <v>1221</v>
      </c>
      <c r="D41" s="322">
        <f>'SR Spr-Sum Chin'!D22</f>
        <v>1169</v>
      </c>
      <c r="E41" s="324">
        <f>'SR Spr-Sum Chin'!E22</f>
        <v>0.74044875682231659</v>
      </c>
      <c r="F41" s="324">
        <f>'SR Spr-Sum Chin'!F22</f>
        <v>0.95741195741195739</v>
      </c>
      <c r="G41" s="324">
        <f>'SR Spr-Sum Chin'!G22</f>
        <v>0.70891449363250458</v>
      </c>
      <c r="H41" s="323">
        <f>'SR Spr-Sum Chin'!K22</f>
        <v>0.85761629505237158</v>
      </c>
      <c r="I41" s="323">
        <f>'SR Spr-Sum Chin'!L22</f>
        <v>0.97496126009364303</v>
      </c>
      <c r="J41" s="323">
        <f>'SR Spr-Sum Chin'!M22</f>
        <v>0.8361426637011018</v>
      </c>
      <c r="K41" s="329"/>
      <c r="L41" s="324">
        <f>AVERAGE(J41:J49)</f>
        <v>0.82495820758812177</v>
      </c>
    </row>
    <row r="42" spans="1:16">
      <c r="A42" s="321">
        <v>2015</v>
      </c>
      <c r="B42" s="322">
        <f>'SR Spr-Sum Chin'!B23</f>
        <v>2210</v>
      </c>
      <c r="C42" s="322">
        <f>'SR Spr-Sum Chin'!C23</f>
        <v>2042</v>
      </c>
      <c r="D42" s="322">
        <f>'SR Spr-Sum Chin'!D23</f>
        <v>1737</v>
      </c>
      <c r="E42" s="324">
        <f>'SR Spr-Sum Chin'!E23</f>
        <v>0.92398190045248874</v>
      </c>
      <c r="F42" s="324">
        <f>'SR Spr-Sum Chin'!F23</f>
        <v>0.85063663075416251</v>
      </c>
      <c r="G42" s="324">
        <f>'SR Spr-Sum Chin'!G23</f>
        <v>0.78597285067873301</v>
      </c>
      <c r="H42" s="323">
        <f>'SR Spr-Sum Chin'!K23</f>
        <v>1.0762998560857431</v>
      </c>
      <c r="I42" s="323">
        <f>'SR Spr-Sum Chin'!L23</f>
        <v>0.86888317748126909</v>
      </c>
      <c r="J42" s="323">
        <f>'SR Spr-Sum Chin'!M23</f>
        <v>0.93517883887841313</v>
      </c>
      <c r="K42" s="329"/>
      <c r="L42" s="324">
        <f>AVERAGE(J42:J50)</f>
        <v>0.8227213163655257</v>
      </c>
    </row>
    <row r="43" spans="1:16">
      <c r="A43" s="321">
        <v>2016</v>
      </c>
      <c r="B43" s="322">
        <f>'SR Spr-Sum Chin'!B24</f>
        <v>1143</v>
      </c>
      <c r="C43" s="322">
        <f>'SR Spr-Sum Chin'!C24</f>
        <v>894</v>
      </c>
      <c r="D43" s="322">
        <f>'SR Spr-Sum Chin'!D24</f>
        <v>836</v>
      </c>
      <c r="E43" s="324">
        <f>'SR Spr-Sum Chin'!E24</f>
        <v>0.78215223097112863</v>
      </c>
      <c r="F43" s="324">
        <f>'SR Spr-Sum Chin'!F24</f>
        <v>0.93512304250559286</v>
      </c>
      <c r="G43" s="324">
        <f>'SR Spr-Sum Chin'!G24</f>
        <v>0.73140857392825898</v>
      </c>
      <c r="H43" s="323">
        <f>'SR Spr-Sum Chin'!K24</f>
        <v>0.88580967968824731</v>
      </c>
      <c r="I43" s="323">
        <f>'SR Spr-Sum Chin'!L24</f>
        <v>0.95518186159917551</v>
      </c>
      <c r="J43" s="323">
        <f>'SR Spr-Sum Chin'!M24</f>
        <v>0.84610933886718942</v>
      </c>
      <c r="K43" s="329"/>
      <c r="L43" s="324">
        <f>AVERAGE(J43:J51)</f>
        <v>0.79460693573730379</v>
      </c>
    </row>
    <row r="44" spans="1:16">
      <c r="A44" s="321">
        <v>2017</v>
      </c>
      <c r="B44" s="322">
        <f>'SR Spr-Sum Chin'!B25</f>
        <v>747</v>
      </c>
      <c r="C44" s="322">
        <f>'SR Spr-Sum Chin'!C25</f>
        <v>561</v>
      </c>
      <c r="D44" s="322">
        <f>'SR Spr-Sum Chin'!D25</f>
        <v>528</v>
      </c>
      <c r="E44" s="324">
        <f>'SR Spr-Sum Chin'!E25</f>
        <v>0.75100401606425704</v>
      </c>
      <c r="F44" s="324">
        <f>'SR Spr-Sum Chin'!F25</f>
        <v>0.94117647058823528</v>
      </c>
      <c r="G44" s="324">
        <f>'SR Spr-Sum Chin'!G25</f>
        <v>0.70682730923694781</v>
      </c>
      <c r="H44" s="323">
        <f>'SR Spr-Sum Chin'!K25</f>
        <v>0.82846554447242915</v>
      </c>
      <c r="I44" s="323">
        <f>'SR Spr-Sum Chin'!L25</f>
        <v>0.94117647058823539</v>
      </c>
      <c r="J44" s="323">
        <f>'SR Spr-Sum Chin'!M25</f>
        <v>0.77973227715052162</v>
      </c>
      <c r="K44" s="329"/>
      <c r="L44" s="324">
        <f t="shared" ref="L44:L46" si="4">AVERAGE(J44:J52)</f>
        <v>0.77743946802734198</v>
      </c>
    </row>
    <row r="45" spans="1:16">
      <c r="A45" s="321">
        <v>2018</v>
      </c>
      <c r="B45" s="322">
        <f>'SR Spr-Sum Chin'!B26</f>
        <v>525</v>
      </c>
      <c r="C45" s="322">
        <f>'SR Spr-Sum Chin'!C26</f>
        <v>387</v>
      </c>
      <c r="D45" s="322">
        <f>'SR Spr-Sum Chin'!D26</f>
        <v>350</v>
      </c>
      <c r="E45" s="324">
        <f>'SR Spr-Sum Chin'!E26</f>
        <v>0.7371428571428571</v>
      </c>
      <c r="F45" s="324">
        <f>'SR Spr-Sum Chin'!F26</f>
        <v>0.90439276485788112</v>
      </c>
      <c r="G45" s="324">
        <f>'SR Spr-Sum Chin'!G26</f>
        <v>0.66666666666666663</v>
      </c>
      <c r="H45" s="323">
        <f>'SR Spr-Sum Chin'!K26</f>
        <v>0.83762426383216337</v>
      </c>
      <c r="I45" s="323">
        <f>'SR Spr-Sum Chin'!L26</f>
        <v>0.91445173393112356</v>
      </c>
      <c r="J45" s="323">
        <f>'SR Spr-Sum Chin'!M26</f>
        <v>0.76596696044410273</v>
      </c>
      <c r="K45" s="329"/>
      <c r="L45" s="324">
        <f t="shared" si="4"/>
        <v>0.7948426176169715</v>
      </c>
    </row>
    <row r="46" spans="1:16">
      <c r="A46" s="321">
        <v>2019</v>
      </c>
      <c r="B46" s="322" t="e">
        <f>'SR Spr-Sum Chin'!#REF!</f>
        <v>#REF!</v>
      </c>
      <c r="C46" s="322" t="e">
        <f>'SR Spr-Sum Chin'!#REF!</f>
        <v>#REF!</v>
      </c>
      <c r="D46" s="322" t="e">
        <f>'SR Spr-Sum Chin'!#REF!</f>
        <v>#REF!</v>
      </c>
      <c r="E46" s="324">
        <f>'SR Spr-Sum Chin'!E27</f>
        <v>0.77546296296296291</v>
      </c>
      <c r="F46" s="324">
        <f>'SR Spr-Sum Chin'!F27</f>
        <v>0.91641791044776122</v>
      </c>
      <c r="G46" s="324">
        <f>'SR Spr-Sum Chin'!G27</f>
        <v>0.71064814814814814</v>
      </c>
      <c r="H46" s="323">
        <f>'SR Spr-Sum Chin'!K27</f>
        <v>0.84720421597142315</v>
      </c>
      <c r="I46" s="323">
        <f>'SR Spr-Sum Chin'!L27</f>
        <v>0.92848825779915012</v>
      </c>
      <c r="J46" s="323">
        <f>'SR Spr-Sum Chin'!M27</f>
        <v>0.7866191664874016</v>
      </c>
      <c r="K46" s="329"/>
      <c r="L46" s="324">
        <f t="shared" si="4"/>
        <v>0.80306638340863168</v>
      </c>
    </row>
    <row r="47" spans="1:16" ht="15.6">
      <c r="A47" s="314" t="s">
        <v>151</v>
      </c>
      <c r="B47" s="313"/>
      <c r="C47" s="313"/>
      <c r="D47" s="313"/>
      <c r="E47" s="654" t="s">
        <v>147</v>
      </c>
      <c r="F47" s="654"/>
      <c r="G47" s="654"/>
      <c r="H47" s="654" t="s">
        <v>148</v>
      </c>
      <c r="I47" s="654"/>
      <c r="J47" s="654"/>
      <c r="K47" s="654" t="s">
        <v>149</v>
      </c>
      <c r="L47" s="654"/>
      <c r="M47" s="353"/>
    </row>
    <row r="48" spans="1:16" ht="45" customHeight="1">
      <c r="A48" s="315" t="s">
        <v>134</v>
      </c>
      <c r="B48" s="315" t="s">
        <v>136</v>
      </c>
      <c r="C48" s="315" t="s">
        <v>145</v>
      </c>
      <c r="D48" s="315" t="s">
        <v>146</v>
      </c>
      <c r="E48" s="316" t="s">
        <v>137</v>
      </c>
      <c r="F48" s="315" t="s">
        <v>138</v>
      </c>
      <c r="G48" s="315" t="s">
        <v>139</v>
      </c>
      <c r="H48" s="316" t="s">
        <v>142</v>
      </c>
      <c r="I48" s="315" t="s">
        <v>143</v>
      </c>
      <c r="J48" s="315" t="s">
        <v>144</v>
      </c>
      <c r="K48" s="316" t="s">
        <v>140</v>
      </c>
      <c r="L48" s="315" t="s">
        <v>141</v>
      </c>
      <c r="M48" s="354" t="s">
        <v>156</v>
      </c>
      <c r="N48" s="363" t="s">
        <v>157</v>
      </c>
      <c r="O48" s="363"/>
      <c r="P48" s="363" t="s">
        <v>158</v>
      </c>
    </row>
    <row r="49" spans="1:17">
      <c r="A49" s="317">
        <v>2002</v>
      </c>
      <c r="B49" s="318"/>
      <c r="C49" s="318"/>
      <c r="D49" s="318"/>
      <c r="E49" s="319"/>
      <c r="F49" s="320"/>
      <c r="G49" s="320"/>
      <c r="H49" s="319"/>
      <c r="I49" s="320"/>
      <c r="J49" s="320"/>
      <c r="K49" s="319"/>
      <c r="L49" s="320"/>
      <c r="M49" s="373">
        <v>0.81100000000000005</v>
      </c>
      <c r="N49" s="362">
        <f>L56/K53</f>
        <v>0.88997822668260784</v>
      </c>
      <c r="O49" s="368"/>
      <c r="P49" s="362">
        <f>L56/M49</f>
        <v>0.89029645904949373</v>
      </c>
      <c r="Q49" s="364"/>
    </row>
    <row r="50" spans="1:17">
      <c r="A50" s="317">
        <v>2003</v>
      </c>
      <c r="B50" s="318"/>
      <c r="C50" s="318"/>
      <c r="D50" s="318"/>
      <c r="E50" s="319"/>
      <c r="F50" s="320"/>
      <c r="G50" s="320"/>
      <c r="H50" s="319"/>
      <c r="I50" s="320"/>
      <c r="J50" s="320"/>
      <c r="K50" s="319"/>
      <c r="L50" s="320"/>
      <c r="M50" s="337"/>
    </row>
    <row r="51" spans="1:17">
      <c r="A51" s="317">
        <v>2004</v>
      </c>
      <c r="B51" s="318"/>
      <c r="C51" s="318"/>
      <c r="D51" s="318"/>
      <c r="E51" s="319"/>
      <c r="F51" s="320"/>
      <c r="G51" s="320"/>
      <c r="H51" s="319"/>
      <c r="I51" s="320"/>
      <c r="J51" s="320"/>
      <c r="K51" s="319"/>
      <c r="L51" s="320"/>
      <c r="M51" s="337"/>
    </row>
    <row r="52" spans="1:17">
      <c r="A52" s="317">
        <v>2005</v>
      </c>
      <c r="B52" s="318"/>
      <c r="C52" s="318"/>
      <c r="D52" s="318"/>
      <c r="E52" s="319"/>
      <c r="F52" s="320"/>
      <c r="G52" s="320"/>
      <c r="H52" s="319"/>
      <c r="I52" s="320"/>
      <c r="J52" s="320"/>
      <c r="K52" s="319"/>
      <c r="L52" s="320"/>
      <c r="M52" s="337"/>
    </row>
    <row r="53" spans="1:17">
      <c r="A53" s="317">
        <v>2006</v>
      </c>
      <c r="B53" s="318">
        <v>493</v>
      </c>
      <c r="C53" s="318">
        <v>436</v>
      </c>
      <c r="D53" s="318"/>
      <c r="E53" s="319">
        <v>0.88438133874239355</v>
      </c>
      <c r="F53" s="320"/>
      <c r="G53" s="320"/>
      <c r="H53" s="319">
        <v>0.92417475900269408</v>
      </c>
      <c r="I53" s="320"/>
      <c r="J53" s="320">
        <v>0.8319417259194104</v>
      </c>
      <c r="K53" s="319">
        <f>AVERAGE(J53:J54)</f>
        <v>0.81128999186924666</v>
      </c>
      <c r="L53" s="320"/>
      <c r="M53" s="337"/>
    </row>
    <row r="54" spans="1:17">
      <c r="A54" s="325">
        <v>2007</v>
      </c>
      <c r="B54" s="326">
        <v>456</v>
      </c>
      <c r="C54" s="326">
        <v>390</v>
      </c>
      <c r="D54" s="326"/>
      <c r="E54" s="327">
        <v>0.85526315789473684</v>
      </c>
      <c r="F54" s="328"/>
      <c r="G54" s="328"/>
      <c r="H54" s="327">
        <v>0.90422437673130196</v>
      </c>
      <c r="I54" s="328"/>
      <c r="J54" s="328">
        <v>0.79063825781908292</v>
      </c>
      <c r="K54" s="327">
        <v>0.81128999186924666</v>
      </c>
      <c r="L54" s="328"/>
      <c r="M54" s="347"/>
    </row>
    <row r="55" spans="1:17">
      <c r="A55" s="416"/>
      <c r="B55" s="417"/>
      <c r="C55" s="417"/>
      <c r="D55" s="417"/>
      <c r="E55" s="319"/>
      <c r="F55" s="418"/>
      <c r="G55" s="418"/>
      <c r="H55" s="319"/>
      <c r="I55" s="418"/>
      <c r="J55" s="418"/>
      <c r="K55" s="319"/>
      <c r="L55" s="418"/>
      <c r="M55" s="347"/>
    </row>
    <row r="56" spans="1:17">
      <c r="A56" s="321">
        <v>2008</v>
      </c>
      <c r="B56" s="322">
        <v>1183</v>
      </c>
      <c r="C56" s="322">
        <v>1001</v>
      </c>
      <c r="D56" s="322"/>
      <c r="E56" s="323">
        <v>0.84615384615384615</v>
      </c>
      <c r="F56" s="324"/>
      <c r="G56" s="324"/>
      <c r="H56" s="323">
        <v>0.88344681859027618</v>
      </c>
      <c r="I56" s="324"/>
      <c r="J56" s="324">
        <f>'SR Sockeye'!M16</f>
        <v>0.74889504875305013</v>
      </c>
      <c r="K56" s="323"/>
      <c r="L56" s="324">
        <f>AVERAGE(J56:J60)</f>
        <v>0.72203042828913944</v>
      </c>
      <c r="M56" s="339"/>
    </row>
    <row r="57" spans="1:17">
      <c r="A57" s="321">
        <v>2009</v>
      </c>
      <c r="B57" s="322">
        <v>1152</v>
      </c>
      <c r="C57" s="322">
        <v>959</v>
      </c>
      <c r="D57" s="322"/>
      <c r="E57" s="323">
        <v>0.83246527777777779</v>
      </c>
      <c r="F57" s="324"/>
      <c r="G57" s="324"/>
      <c r="H57" s="323">
        <v>0.88372110167492335</v>
      </c>
      <c r="I57" s="324"/>
      <c r="J57" s="324">
        <f>'SR Sockeye'!M17</f>
        <v>0.7494376818038383</v>
      </c>
      <c r="K57" s="323"/>
      <c r="L57" s="324">
        <f t="shared" ref="L57:L59" si="5">AVERAGE(J57:J61)</f>
        <v>0.66502099827194416</v>
      </c>
      <c r="M57" s="339"/>
    </row>
    <row r="58" spans="1:17">
      <c r="A58" s="321">
        <v>2010</v>
      </c>
      <c r="B58" s="322">
        <v>40</v>
      </c>
      <c r="C58" s="322">
        <v>34</v>
      </c>
      <c r="D58" s="322">
        <v>31</v>
      </c>
      <c r="E58" s="323">
        <v>0.85</v>
      </c>
      <c r="F58" s="324">
        <v>0.91176470588235292</v>
      </c>
      <c r="G58" s="324">
        <v>0.77500000000000002</v>
      </c>
      <c r="H58" s="323">
        <v>0.90811965811965811</v>
      </c>
      <c r="I58" s="324">
        <v>0.91176470588235292</v>
      </c>
      <c r="J58" s="324">
        <f>'SR Sockeye'!M18</f>
        <v>0.82799145299145305</v>
      </c>
      <c r="K58" s="323"/>
      <c r="L58" s="324">
        <f t="shared" si="5"/>
        <v>0.65397346347557106</v>
      </c>
      <c r="M58" s="339"/>
    </row>
    <row r="59" spans="1:17">
      <c r="A59" s="321">
        <v>2011</v>
      </c>
      <c r="B59" s="322">
        <v>516</v>
      </c>
      <c r="C59" s="322">
        <v>355.59633027522938</v>
      </c>
      <c r="D59" s="322">
        <v>342.59633027522938</v>
      </c>
      <c r="E59" s="323">
        <v>0.68914017495199487</v>
      </c>
      <c r="F59" s="324">
        <v>0.96344169246646028</v>
      </c>
      <c r="G59" s="324">
        <v>0.66394637650238253</v>
      </c>
      <c r="H59" s="323">
        <v>0.74101094080859664</v>
      </c>
      <c r="I59" s="324">
        <v>0.96344169246646028</v>
      </c>
      <c r="J59" s="324">
        <f>'SR Sockeye'!M19</f>
        <v>0.71392083494879843</v>
      </c>
      <c r="K59" s="323"/>
      <c r="L59" s="324">
        <f t="shared" si="5"/>
        <v>0.49682668389789431</v>
      </c>
      <c r="M59" s="339"/>
    </row>
    <row r="60" spans="1:17">
      <c r="A60" s="342">
        <v>2012</v>
      </c>
      <c r="B60" s="343">
        <f>'SR Sockeye'!B20</f>
        <v>123</v>
      </c>
      <c r="C60" s="343">
        <f>'SR Sockeye'!C20</f>
        <v>70</v>
      </c>
      <c r="D60" s="343">
        <f>'SR Sockeye'!D20</f>
        <v>64</v>
      </c>
      <c r="E60" s="345">
        <f>'SR Sockeye'!E20</f>
        <v>0.56910569105691056</v>
      </c>
      <c r="F60" s="345">
        <f>'SR Sockeye'!F20</f>
        <v>0.91428571428571426</v>
      </c>
      <c r="G60" s="345">
        <f>'SR Sockeye'!G20</f>
        <v>0.52032520325203258</v>
      </c>
      <c r="H60" s="344">
        <v>0.62333591572498415</v>
      </c>
      <c r="I60" s="345">
        <v>0.91428571428571426</v>
      </c>
      <c r="J60" s="324">
        <f>'SR Sockeye'!M20</f>
        <v>0.56990712294855705</v>
      </c>
      <c r="K60" s="329"/>
      <c r="L60" s="324">
        <f>AVERAGE(J60:J69)</f>
        <v>0.38174614992754835</v>
      </c>
      <c r="M60" s="357"/>
    </row>
    <row r="61" spans="1:17">
      <c r="A61" s="321">
        <v>2013</v>
      </c>
      <c r="B61" s="343">
        <f>'SR Sockeye'!B21</f>
        <v>205</v>
      </c>
      <c r="C61" s="343">
        <f>'SR Sockeye'!C21</f>
        <v>137</v>
      </c>
      <c r="D61" s="343">
        <f>'SR Sockeye'!D21</f>
        <v>91</v>
      </c>
      <c r="E61" s="345">
        <f>'SR Sockeye'!E21</f>
        <v>0.66829268292682931</v>
      </c>
      <c r="F61" s="345">
        <f>'SR Sockeye'!F21</f>
        <v>0.66423357664233573</v>
      </c>
      <c r="G61" s="345">
        <f>'SR Sockeye'!G21</f>
        <v>0.44390243902439025</v>
      </c>
      <c r="H61" s="344">
        <v>0.62333591572498415</v>
      </c>
      <c r="I61" s="345">
        <v>0.91428571428571426</v>
      </c>
      <c r="J61" s="324">
        <f>'SR Sockeye'!M21</f>
        <v>0.46384789866707449</v>
      </c>
      <c r="K61" s="329"/>
      <c r="L61" s="324">
        <f>AVERAGE(J61:J70)</f>
        <v>0.35486601092454706</v>
      </c>
    </row>
    <row r="62" spans="1:17">
      <c r="A62" s="321">
        <v>2014</v>
      </c>
      <c r="B62" s="343">
        <f>'SR Sockeye'!B22</f>
        <v>216</v>
      </c>
      <c r="C62" s="343">
        <f>'SR Sockeye'!C22</f>
        <v>154</v>
      </c>
      <c r="D62" s="343">
        <f>'SR Sockeye'!D22</f>
        <v>142</v>
      </c>
      <c r="E62" s="345">
        <f>'SR Sockeye'!E22</f>
        <v>0.71296296296296291</v>
      </c>
      <c r="F62" s="345">
        <f>'SR Sockeye'!F22</f>
        <v>0.92207792207792205</v>
      </c>
      <c r="G62" s="345">
        <f>'SR Sockeye'!G22</f>
        <v>0.65740740740740744</v>
      </c>
      <c r="H62" s="344">
        <f>'SR Sockeye'!K22</f>
        <v>0.75286479721537802</v>
      </c>
      <c r="I62" s="344">
        <f>'SR Sockeye'!L22</f>
        <v>0.92207792207792205</v>
      </c>
      <c r="J62" s="344">
        <f>'SR Sockeye'!M22</f>
        <v>0.694200007821972</v>
      </c>
      <c r="K62" s="329"/>
      <c r="L62" s="324">
        <f>AVERAGE(J62:J71)</f>
        <v>0.41783805281821718</v>
      </c>
    </row>
    <row r="63" spans="1:17">
      <c r="A63" s="321">
        <v>2015</v>
      </c>
      <c r="B63" s="343">
        <f>'SR Sockeye'!B23</f>
        <v>679</v>
      </c>
      <c r="C63" s="343">
        <f>'SR Sockeye'!C23</f>
        <v>98</v>
      </c>
      <c r="D63" s="343">
        <f>'SR Sockeye'!D23</f>
        <v>27</v>
      </c>
      <c r="E63" s="345">
        <f>'SR Sockeye'!E23</f>
        <v>0.14432989690721648</v>
      </c>
      <c r="F63" s="345">
        <f>'SR Sockeye'!F23</f>
        <v>0.27551020408163263</v>
      </c>
      <c r="G63" s="345">
        <f>'SR Sockeye'!G23</f>
        <v>3.9764359351988215E-2</v>
      </c>
      <c r="H63" s="344">
        <f>'SR Sockeye'!K23</f>
        <v>0.1533792740778071</v>
      </c>
      <c r="I63" s="344">
        <f>'SR Sockeye'!L23</f>
        <v>0.27551020408163263</v>
      </c>
      <c r="J63" s="344">
        <f>'SR Sockeye'!M23</f>
        <v>4.2257555103069298E-2</v>
      </c>
      <c r="K63" s="329"/>
      <c r="L63" s="324">
        <f t="shared" ref="L63:L64" si="6">AVERAGE(J63:J72)</f>
        <v>0.45758618822384217</v>
      </c>
    </row>
    <row r="64" spans="1:17">
      <c r="A64" s="321">
        <v>2016</v>
      </c>
      <c r="B64" s="343">
        <f>'SR Sockeye'!B24</f>
        <v>183</v>
      </c>
      <c r="C64" s="343">
        <f>'SR Sockeye'!C24</f>
        <v>132</v>
      </c>
      <c r="D64" s="343">
        <f>'SR Sockeye'!D24</f>
        <v>123</v>
      </c>
      <c r="E64" s="345">
        <f>'SR Sockeye'!E24</f>
        <v>0.72131147540983609</v>
      </c>
      <c r="F64" s="345">
        <f>'SR Sockeye'!F24</f>
        <v>0.93181818181818177</v>
      </c>
      <c r="G64" s="345">
        <f>'SR Sockeye'!G24</f>
        <v>0.67213114754098358</v>
      </c>
      <c r="H64" s="344">
        <f>'SR Sockeye'!K24</f>
        <v>0.76898877975462276</v>
      </c>
      <c r="I64" s="344">
        <f>'SR Sockeye'!L24</f>
        <v>0.93181818181818177</v>
      </c>
      <c r="J64" s="344">
        <f>'SR Sockeye'!M24</f>
        <v>0.71655772658953476</v>
      </c>
      <c r="K64" s="329"/>
      <c r="L64" s="324">
        <f t="shared" si="6"/>
        <v>0.58826314455309192</v>
      </c>
    </row>
    <row r="65" spans="1:17">
      <c r="A65" s="321">
        <v>2017</v>
      </c>
      <c r="B65" s="343">
        <f>'SR Sockeye'!B25</f>
        <v>74</v>
      </c>
      <c r="C65" s="343">
        <f>'SR Sockeye'!C25</f>
        <v>44</v>
      </c>
      <c r="D65" s="343">
        <f>'SR Sockeye'!D25</f>
        <v>40</v>
      </c>
      <c r="E65" s="345">
        <f>'SR Sockeye'!E25</f>
        <v>0.59459459459459463</v>
      </c>
      <c r="F65" s="345">
        <f>'SR Sockeye'!F25</f>
        <v>0.90909090909090906</v>
      </c>
      <c r="G65" s="345">
        <f>'SR Sockeye'!G25</f>
        <v>0.54054054054054057</v>
      </c>
      <c r="H65" s="344">
        <f>'SR Sockeye'!K25</f>
        <v>0.62391877711919685</v>
      </c>
      <c r="I65" s="344">
        <f>'SR Sockeye'!L25</f>
        <v>0.90909090909090906</v>
      </c>
      <c r="J65" s="344">
        <f>'SR Sockeye'!M25</f>
        <v>0.56719888829017906</v>
      </c>
      <c r="K65" s="329"/>
      <c r="L65" s="324">
        <f t="shared" ref="L65:L67" si="7">AVERAGE(J65:J74)</f>
        <v>0.61201972237176927</v>
      </c>
    </row>
    <row r="66" spans="1:17">
      <c r="A66" s="321">
        <v>2018</v>
      </c>
      <c r="B66" s="343">
        <f>'SR Sockeye'!B26</f>
        <v>102</v>
      </c>
      <c r="C66" s="343">
        <f>'SR Sockeye'!C26</f>
        <v>87</v>
      </c>
      <c r="D66" s="343">
        <f>'SR Sockeye'!D26</f>
        <v>0</v>
      </c>
      <c r="E66" s="345">
        <f>'SR Sockeye'!E26</f>
        <v>0.8529411764705882</v>
      </c>
      <c r="F66" s="345">
        <f>'SR Sockeye'!F26</f>
        <v>0</v>
      </c>
      <c r="G66" s="345">
        <f>'SR Sockeye'!G26</f>
        <v>0</v>
      </c>
      <c r="H66" s="344">
        <f>'SR Sockeye'!K26</f>
        <v>0.8857125404679006</v>
      </c>
      <c r="I66" s="344">
        <f>'SR Sockeye'!L26</f>
        <v>0</v>
      </c>
      <c r="J66" s="344">
        <f>'SR Sockeye'!M26</f>
        <v>0</v>
      </c>
      <c r="K66" s="329"/>
      <c r="L66" s="324">
        <f t="shared" si="7"/>
        <v>0.66718684087040159</v>
      </c>
    </row>
    <row r="67" spans="1:17">
      <c r="A67" s="321">
        <v>2019</v>
      </c>
      <c r="B67" s="343">
        <f>'SR Sockeye'!B27</f>
        <v>42</v>
      </c>
      <c r="C67" s="343">
        <f>'SR Sockeye'!C27</f>
        <v>38</v>
      </c>
      <c r="D67" s="343">
        <f>'SR Sockeye'!D27</f>
        <v>0</v>
      </c>
      <c r="E67" s="345">
        <f>'SR Sockeye'!E27</f>
        <v>0.90476190476190477</v>
      </c>
      <c r="F67" s="345">
        <f>'SR Sockeye'!F27</f>
        <v>0</v>
      </c>
      <c r="G67" s="345">
        <f>'SR Sockeye'!G27</f>
        <v>0</v>
      </c>
      <c r="H67" s="344">
        <f>'SR Sockeye'!K27</f>
        <v>0.92040885530203942</v>
      </c>
      <c r="I67" s="344">
        <f>'SR Sockeye'!L27</f>
        <v>0</v>
      </c>
      <c r="J67" s="344">
        <f>'SR Sockeye'!M27</f>
        <v>0</v>
      </c>
      <c r="K67" s="329"/>
      <c r="L67" s="324">
        <f t="shared" si="7"/>
        <v>0.79083172957619363</v>
      </c>
    </row>
    <row r="68" spans="1:17">
      <c r="A68" s="321">
        <v>2020</v>
      </c>
      <c r="B68" s="343"/>
      <c r="C68" s="343"/>
      <c r="D68" s="343"/>
      <c r="E68" s="345"/>
      <c r="F68" s="345"/>
      <c r="G68" s="345"/>
      <c r="H68" s="344"/>
      <c r="I68" s="344"/>
      <c r="J68" s="344"/>
      <c r="K68" s="329"/>
      <c r="L68" s="324"/>
    </row>
    <row r="69" spans="1:17" ht="15.6">
      <c r="A69" s="314" t="s">
        <v>135</v>
      </c>
      <c r="B69" s="313"/>
      <c r="C69" s="313"/>
      <c r="D69" s="313"/>
      <c r="E69" s="654" t="s">
        <v>147</v>
      </c>
      <c r="F69" s="654"/>
      <c r="G69" s="654"/>
      <c r="H69" s="654" t="s">
        <v>148</v>
      </c>
      <c r="I69" s="654"/>
      <c r="J69" s="654"/>
      <c r="K69" s="654" t="s">
        <v>149</v>
      </c>
      <c r="L69" s="654"/>
      <c r="M69" s="353"/>
    </row>
    <row r="70" spans="1:17" ht="45" customHeight="1">
      <c r="A70" s="315" t="s">
        <v>134</v>
      </c>
      <c r="B70" s="315" t="s">
        <v>136</v>
      </c>
      <c r="C70" s="315" t="s">
        <v>145</v>
      </c>
      <c r="D70" s="315" t="s">
        <v>146</v>
      </c>
      <c r="E70" s="316" t="s">
        <v>137</v>
      </c>
      <c r="F70" s="315" t="s">
        <v>138</v>
      </c>
      <c r="G70" s="315" t="s">
        <v>139</v>
      </c>
      <c r="H70" s="316" t="s">
        <v>142</v>
      </c>
      <c r="I70" s="315" t="s">
        <v>143</v>
      </c>
      <c r="J70" s="315" t="s">
        <v>144</v>
      </c>
      <c r="K70" s="316" t="s">
        <v>153</v>
      </c>
      <c r="L70" s="315" t="s">
        <v>141</v>
      </c>
      <c r="M70" s="354" t="s">
        <v>156</v>
      </c>
      <c r="N70" s="363" t="s">
        <v>159</v>
      </c>
      <c r="O70" s="363"/>
      <c r="P70" s="363" t="s">
        <v>158</v>
      </c>
    </row>
    <row r="71" spans="1:17">
      <c r="A71" s="317">
        <v>2002</v>
      </c>
      <c r="B71" s="318">
        <v>766</v>
      </c>
      <c r="C71" s="318">
        <v>611</v>
      </c>
      <c r="D71" s="318">
        <v>580</v>
      </c>
      <c r="E71" s="319">
        <v>0.79765013054830292</v>
      </c>
      <c r="F71" s="320">
        <v>0.9492635024549918</v>
      </c>
      <c r="G71" s="320">
        <v>0.75718015665796345</v>
      </c>
      <c r="H71" s="319">
        <v>0.90232242165203691</v>
      </c>
      <c r="I71" s="320">
        <v>1.0025819709394597</v>
      </c>
      <c r="J71" s="330">
        <v>0.90465219192276536</v>
      </c>
      <c r="K71" s="371">
        <f>AVERAGE(J71:J75)</f>
        <v>0.9340615772185622</v>
      </c>
      <c r="L71" s="320"/>
      <c r="M71" s="373">
        <v>0.90100000000000002</v>
      </c>
      <c r="N71" s="361">
        <f>L76/K71</f>
        <v>0.89077150124840065</v>
      </c>
      <c r="O71" s="367"/>
      <c r="P71" s="362">
        <f>L76/M71</f>
        <v>0.92345775071856551</v>
      </c>
      <c r="Q71" s="364"/>
    </row>
    <row r="72" spans="1:17">
      <c r="A72" s="317">
        <v>2003</v>
      </c>
      <c r="B72" s="318">
        <v>99</v>
      </c>
      <c r="C72" s="318">
        <v>82</v>
      </c>
      <c r="D72" s="318">
        <v>78</v>
      </c>
      <c r="E72" s="319">
        <v>0.82828282828282829</v>
      </c>
      <c r="F72" s="320">
        <v>0.95121951219512191</v>
      </c>
      <c r="G72" s="320">
        <v>0.78787878787878785</v>
      </c>
      <c r="H72" s="319">
        <v>0.98005714331576688</v>
      </c>
      <c r="I72" s="320">
        <v>0.99222475168270352</v>
      </c>
      <c r="J72" s="330">
        <v>0.97243695566134658</v>
      </c>
      <c r="K72" s="371">
        <v>0.9340615772185622</v>
      </c>
      <c r="L72" s="320"/>
      <c r="M72" s="337"/>
    </row>
    <row r="73" spans="1:17">
      <c r="A73" s="317">
        <v>2004</v>
      </c>
      <c r="B73" s="318">
        <v>307</v>
      </c>
      <c r="C73" s="318">
        <v>250</v>
      </c>
      <c r="D73" s="318">
        <v>246</v>
      </c>
      <c r="E73" s="319">
        <v>0.81433224755700329</v>
      </c>
      <c r="F73" s="320">
        <v>0.98399999999999999</v>
      </c>
      <c r="G73" s="320">
        <v>0.80130293159609123</v>
      </c>
      <c r="H73" s="319">
        <v>0.94274350956701547</v>
      </c>
      <c r="I73" s="320">
        <v>1.0151183643230266</v>
      </c>
      <c r="J73" s="330">
        <v>0.95699624940781824</v>
      </c>
      <c r="K73" s="371">
        <v>0.9340615772185622</v>
      </c>
      <c r="L73" s="320"/>
      <c r="M73" s="337"/>
    </row>
    <row r="74" spans="1:17">
      <c r="A74" s="317">
        <v>2005</v>
      </c>
      <c r="B74" s="318">
        <v>214</v>
      </c>
      <c r="C74" s="318">
        <v>172</v>
      </c>
      <c r="D74" s="318">
        <v>158</v>
      </c>
      <c r="E74" s="319">
        <v>0.80373831775700932</v>
      </c>
      <c r="F74" s="320">
        <v>0.91860465116279066</v>
      </c>
      <c r="G74" s="320">
        <v>0.73831775700934577</v>
      </c>
      <c r="H74" s="319">
        <v>0.92304496869693509</v>
      </c>
      <c r="I74" s="320">
        <v>0.95645802887220388</v>
      </c>
      <c r="J74" s="330">
        <v>0.88285377132027565</v>
      </c>
      <c r="K74" s="371">
        <v>0.9340615772185622</v>
      </c>
      <c r="L74" s="320"/>
      <c r="M74" s="337"/>
    </row>
    <row r="75" spans="1:17">
      <c r="A75" s="325">
        <v>2006</v>
      </c>
      <c r="B75" s="326">
        <v>94</v>
      </c>
      <c r="C75" s="326">
        <v>81</v>
      </c>
      <c r="D75" s="326">
        <v>72</v>
      </c>
      <c r="E75" s="327">
        <v>0.86170212765957444</v>
      </c>
      <c r="F75" s="328">
        <v>0.88888888888888895</v>
      </c>
      <c r="G75" s="328">
        <v>0.76595744680851063</v>
      </c>
      <c r="H75" s="327">
        <v>1.0166922819888207</v>
      </c>
      <c r="I75" s="328">
        <v>0.93771609627610841</v>
      </c>
      <c r="J75" s="340">
        <v>0.95336871778060528</v>
      </c>
      <c r="K75" s="372">
        <v>0.9340615772185622</v>
      </c>
      <c r="L75" s="328"/>
      <c r="M75" s="347"/>
    </row>
    <row r="76" spans="1:17" s="425" customFormat="1">
      <c r="A76" s="419">
        <v>2007</v>
      </c>
      <c r="B76" s="420">
        <v>98</v>
      </c>
      <c r="C76" s="420">
        <v>81</v>
      </c>
      <c r="D76" s="420">
        <v>70</v>
      </c>
      <c r="E76" s="421">
        <v>0.82653061224489799</v>
      </c>
      <c r="F76" s="422">
        <v>0.86419753086419748</v>
      </c>
      <c r="G76" s="422">
        <v>0.7142857142857143</v>
      </c>
      <c r="H76" s="421">
        <v>0.95677851717759532</v>
      </c>
      <c r="I76" s="422">
        <v>0.9046129332980094</v>
      </c>
      <c r="J76" s="422">
        <v>0.86551422094054442</v>
      </c>
      <c r="K76" s="423"/>
      <c r="L76" s="422">
        <f>AVERAGE(J76:J81)</f>
        <v>0.83203543339742758</v>
      </c>
      <c r="M76" s="424"/>
    </row>
    <row r="77" spans="1:17" s="425" customFormat="1">
      <c r="A77" s="419"/>
      <c r="B77" s="420"/>
      <c r="C77" s="420"/>
      <c r="D77" s="420"/>
      <c r="E77" s="426"/>
      <c r="F77" s="422"/>
      <c r="G77" s="422"/>
      <c r="H77" s="426"/>
      <c r="I77" s="422"/>
      <c r="J77" s="422"/>
      <c r="K77" s="427"/>
      <c r="L77" s="422"/>
      <c r="M77" s="424"/>
    </row>
    <row r="78" spans="1:17">
      <c r="A78" s="321">
        <v>2008</v>
      </c>
      <c r="B78" s="322">
        <v>585</v>
      </c>
      <c r="C78" s="322">
        <v>484</v>
      </c>
      <c r="D78" s="322">
        <v>376</v>
      </c>
      <c r="E78" s="323">
        <v>0.8273504273504273</v>
      </c>
      <c r="F78" s="324">
        <v>0.77685950413223148</v>
      </c>
      <c r="G78" s="324">
        <v>0.64273504273504278</v>
      </c>
      <c r="H78" s="323">
        <v>0.99444862410790225</v>
      </c>
      <c r="I78" s="324">
        <v>0.81261454407137201</v>
      </c>
      <c r="J78" s="324">
        <f>'SR Sthd'!M16</f>
        <v>0.81271626142283449</v>
      </c>
      <c r="K78" s="323"/>
      <c r="L78" s="324">
        <f>AVERAGE(J78:J82)</f>
        <v>0.8354681874211668</v>
      </c>
      <c r="M78" s="339"/>
    </row>
    <row r="79" spans="1:17">
      <c r="A79" s="321">
        <v>2009</v>
      </c>
      <c r="B79" s="322">
        <v>6732</v>
      </c>
      <c r="C79" s="322">
        <v>5039</v>
      </c>
      <c r="D79" s="322">
        <v>4513</v>
      </c>
      <c r="E79" s="323">
        <v>0.74851455733808669</v>
      </c>
      <c r="F79" s="324">
        <v>0.89561420916848589</v>
      </c>
      <c r="G79" s="324">
        <v>0.67038027332144978</v>
      </c>
      <c r="H79" s="323">
        <v>0.84003182445313329</v>
      </c>
      <c r="I79" s="324">
        <v>0.89561420916848578</v>
      </c>
      <c r="J79" s="324">
        <f>'SR Sthd'!M17</f>
        <v>0.81162937983738703</v>
      </c>
      <c r="K79" s="323"/>
      <c r="L79" s="324">
        <f t="shared" ref="L79:L80" si="8">AVERAGE(J79:J83)</f>
        <v>0.84398228136986686</v>
      </c>
      <c r="M79" s="339"/>
    </row>
    <row r="80" spans="1:17">
      <c r="A80" s="321">
        <v>2010</v>
      </c>
      <c r="B80" s="322">
        <v>4421</v>
      </c>
      <c r="C80" s="322">
        <v>3395</v>
      </c>
      <c r="D80" s="322">
        <v>3062</v>
      </c>
      <c r="E80" s="323">
        <v>0.76792580864057902</v>
      </c>
      <c r="F80" s="324">
        <v>0.90191458026509574</v>
      </c>
      <c r="G80" s="324">
        <v>0.69260348337480204</v>
      </c>
      <c r="H80" s="323">
        <v>0.88452066976729449</v>
      </c>
      <c r="I80" s="324">
        <v>0.93076840068637334</v>
      </c>
      <c r="J80" s="324">
        <f>'SR Sthd'!M18</f>
        <v>0.85838514624122009</v>
      </c>
      <c r="K80" s="323"/>
      <c r="L80" s="324">
        <f t="shared" si="8"/>
        <v>0.86992487858253609</v>
      </c>
      <c r="M80" s="339"/>
    </row>
    <row r="81" spans="1:17">
      <c r="A81" s="321">
        <v>2011</v>
      </c>
      <c r="B81" s="322">
        <f>'SR Sthd'!B19</f>
        <v>4806</v>
      </c>
      <c r="C81" s="322">
        <f>'SR Sthd'!C19</f>
        <v>3705</v>
      </c>
      <c r="D81" s="322">
        <f>'SR Sthd'!D19</f>
        <v>3304</v>
      </c>
      <c r="E81" s="324">
        <f>'SR Sthd'!E19</f>
        <v>0.77091136079900124</v>
      </c>
      <c r="F81" s="324">
        <f>'SR Sthd'!F19</f>
        <v>0.89176788124156547</v>
      </c>
      <c r="G81" s="324">
        <f>'SR Sthd'!G19</f>
        <v>0.68747399084477734</v>
      </c>
      <c r="H81" s="323">
        <f>'SR Sthd'!K19</f>
        <v>0.90137002449627457</v>
      </c>
      <c r="I81" s="323">
        <f>'SR Sthd'!L19</f>
        <v>0.90077563761774282</v>
      </c>
      <c r="J81" s="324">
        <f>'SR Sthd'!M19</f>
        <v>0.81193215854515222</v>
      </c>
      <c r="K81" s="323"/>
      <c r="L81" s="324" t="e">
        <f t="shared" ref="L81:L86" si="9">AVERAGE(J81:J89)</f>
        <v>#DIV/0!</v>
      </c>
      <c r="M81" s="339"/>
    </row>
    <row r="82" spans="1:17">
      <c r="A82" s="342">
        <v>2012</v>
      </c>
      <c r="B82" s="322">
        <f>'SR Sthd'!B20</f>
        <v>2755</v>
      </c>
      <c r="C82" s="322">
        <f>'SR Sthd'!C20</f>
        <v>2218</v>
      </c>
      <c r="D82" s="322">
        <f>'SR Sthd'!D20</f>
        <v>1982</v>
      </c>
      <c r="E82" s="324">
        <f>'SR Sthd'!E20</f>
        <v>0.8050816696914701</v>
      </c>
      <c r="F82" s="324">
        <f>'SR Sthd'!F20</f>
        <v>0.89359783588818753</v>
      </c>
      <c r="G82" s="324">
        <f>'SR Sthd'!G20</f>
        <v>0.7194192377495463</v>
      </c>
      <c r="H82" s="323">
        <f>'SR Sthd'!K20</f>
        <v>0.98777991128627329</v>
      </c>
      <c r="I82" s="323">
        <f>'SR Sthd'!L20</f>
        <v>0.89359783588818753</v>
      </c>
      <c r="J82" s="324">
        <f>'SR Sthd'!M20</f>
        <v>0.88267799105923972</v>
      </c>
      <c r="K82" s="323"/>
      <c r="L82" s="324" t="e">
        <f t="shared" si="9"/>
        <v>#DIV/0!</v>
      </c>
      <c r="M82" s="339"/>
    </row>
    <row r="83" spans="1:17">
      <c r="A83" s="321">
        <v>2013</v>
      </c>
      <c r="B83" s="322">
        <f>'SR Sthd'!B21</f>
        <v>2827</v>
      </c>
      <c r="C83" s="322">
        <f>'SR Sthd'!C21</f>
        <v>2104</v>
      </c>
      <c r="D83" s="322">
        <f>'SR Sthd'!D21</f>
        <v>1977</v>
      </c>
      <c r="E83" s="324">
        <f>'SR Sthd'!E21</f>
        <v>0.744251857092324</v>
      </c>
      <c r="F83" s="324">
        <f>'SR Sthd'!F21</f>
        <v>0.93963878326996197</v>
      </c>
      <c r="G83" s="324">
        <f>'SR Sthd'!G21</f>
        <v>0.69932790944464096</v>
      </c>
      <c r="H83" s="323">
        <f>'SR Sthd'!K21</f>
        <v>0.91022927788263508</v>
      </c>
      <c r="I83" s="323">
        <f>'SR Sthd'!L21</f>
        <v>0.93963878326996197</v>
      </c>
      <c r="J83" s="324">
        <f>'SR Sthd'!M21</f>
        <v>0.85528673116633536</v>
      </c>
      <c r="K83" s="323"/>
      <c r="L83" s="324" t="e">
        <f t="shared" si="9"/>
        <v>#DIV/0!</v>
      </c>
    </row>
    <row r="84" spans="1:17">
      <c r="A84" s="342">
        <v>2014</v>
      </c>
      <c r="B84" s="322">
        <f>'SR Sthd'!B22</f>
        <v>3852</v>
      </c>
      <c r="C84" s="322">
        <f>'SR Sthd'!C22</f>
        <v>2977</v>
      </c>
      <c r="D84" s="322">
        <f>'SR Sthd'!D22</f>
        <v>2964</v>
      </c>
      <c r="E84" s="324">
        <f>'SR Sthd'!E22</f>
        <v>0.77284527518172375</v>
      </c>
      <c r="F84" s="324">
        <f>'SR Sthd'!F22</f>
        <v>0.99563318777292575</v>
      </c>
      <c r="G84" s="324">
        <f>'SR Sthd'!G22</f>
        <v>0.76947040498442365</v>
      </c>
      <c r="H84" s="323">
        <f>'SR Sthd'!K22</f>
        <v>0.94547106048801655</v>
      </c>
      <c r="I84" s="323">
        <f>'SR Sthd'!L22</f>
        <v>0.99563318777292575</v>
      </c>
      <c r="J84" s="324">
        <f>'SR Sthd'!M22</f>
        <v>0.94134236590073261</v>
      </c>
      <c r="K84" s="323"/>
      <c r="L84" s="324" t="e">
        <f t="shared" si="9"/>
        <v>#DIV/0!</v>
      </c>
    </row>
    <row r="85" spans="1:17">
      <c r="A85" s="342">
        <v>2015</v>
      </c>
      <c r="B85" s="322">
        <f>'SR Sthd'!B23</f>
        <v>2508</v>
      </c>
      <c r="C85" s="322">
        <f>'SR Sthd'!C23</f>
        <v>2000</v>
      </c>
      <c r="D85" s="322">
        <f>'SR Sthd'!D23</f>
        <v>1899</v>
      </c>
      <c r="E85" s="324">
        <f>'SR Sthd'!E23</f>
        <v>0.79744816586921852</v>
      </c>
      <c r="F85" s="324">
        <f>'SR Sthd'!F23</f>
        <v>0.94950000000000001</v>
      </c>
      <c r="G85" s="324">
        <f>'SR Sthd'!G23</f>
        <v>0.75717703349282295</v>
      </c>
      <c r="H85" s="323">
        <f>'SR Sthd'!K23</f>
        <v>0.98516858747312641</v>
      </c>
      <c r="I85" s="323">
        <f>'SR Sthd'!L23</f>
        <v>0.9494999999999999</v>
      </c>
      <c r="J85" s="324">
        <f>'SR Sthd'!M23</f>
        <v>0.93541757380573343</v>
      </c>
      <c r="K85" s="323"/>
      <c r="L85" s="324" t="e">
        <f t="shared" si="9"/>
        <v>#DIV/0!</v>
      </c>
    </row>
    <row r="86" spans="1:17">
      <c r="A86" s="342">
        <v>2016</v>
      </c>
      <c r="B86" s="322">
        <f>'SR Sthd'!B24</f>
        <v>1647</v>
      </c>
      <c r="C86" s="322">
        <f>'SR Sthd'!C24</f>
        <v>1278</v>
      </c>
      <c r="D86" s="322">
        <f>'SR Sthd'!D24</f>
        <v>1161</v>
      </c>
      <c r="E86" s="324">
        <f>'SR Sthd'!E24</f>
        <v>0.77595628415300544</v>
      </c>
      <c r="F86" s="324">
        <f>'SR Sthd'!F24</f>
        <v>0.90845070422535212</v>
      </c>
      <c r="G86" s="324">
        <f>'SR Sthd'!G24</f>
        <v>0.70491803278688525</v>
      </c>
      <c r="H86" s="323">
        <f>'SR Sthd'!K24</f>
        <v>0.97037525793134516</v>
      </c>
      <c r="I86" s="323">
        <f>'SR Sthd'!L24</f>
        <v>0.90845070422535223</v>
      </c>
      <c r="J86" s="324">
        <f>'SR Sthd'!M24</f>
        <v>0.88153808643058829</v>
      </c>
      <c r="K86" s="323"/>
      <c r="L86" s="324" t="e">
        <f t="shared" si="9"/>
        <v>#DIV/0!</v>
      </c>
    </row>
    <row r="87" spans="1:17">
      <c r="A87" s="342">
        <v>2017</v>
      </c>
      <c r="B87" s="322">
        <f>'SR Sthd'!B25</f>
        <v>1299</v>
      </c>
      <c r="C87" s="322">
        <f>'SR Sthd'!C25</f>
        <v>1002</v>
      </c>
      <c r="D87" s="322">
        <f>'SR Sthd'!D25</f>
        <v>962</v>
      </c>
      <c r="E87" s="324">
        <f>'SR Sthd'!E25</f>
        <v>0.77136258660508084</v>
      </c>
      <c r="F87" s="324">
        <f>'SR Sthd'!F25</f>
        <v>0.96007984031936133</v>
      </c>
      <c r="G87" s="324">
        <f>'SR Sthd'!G25</f>
        <v>0.74056966897613552</v>
      </c>
      <c r="H87" s="323">
        <f>'SR Sthd'!K25</f>
        <v>0.90440592235312356</v>
      </c>
      <c r="I87" s="323">
        <f>'SR Sthd'!L25</f>
        <v>0.96007984031936133</v>
      </c>
      <c r="J87" s="324">
        <f>'SR Sthd'!M25</f>
        <v>0.86830189351667153</v>
      </c>
      <c r="K87" s="323"/>
      <c r="L87" s="324" t="e">
        <f t="shared" ref="L87:L89" si="10">AVERAGE(J87:J95)</f>
        <v>#DIV/0!</v>
      </c>
    </row>
    <row r="88" spans="1:17">
      <c r="A88" s="342">
        <v>2018</v>
      </c>
      <c r="B88" s="322">
        <f>'SR Sthd'!B26</f>
        <v>850</v>
      </c>
      <c r="C88" s="322">
        <f>'SR Sthd'!C26</f>
        <v>676</v>
      </c>
      <c r="D88" s="322">
        <f>'SR Sthd'!D26</f>
        <v>627</v>
      </c>
      <c r="E88" s="324">
        <f>'SR Sthd'!E26</f>
        <v>0.79529411764705882</v>
      </c>
      <c r="F88" s="324">
        <f>'SR Sthd'!F26</f>
        <v>0.9275147928994083</v>
      </c>
      <c r="G88" s="324">
        <f>'SR Sthd'!G26</f>
        <v>0.73764705882352943</v>
      </c>
      <c r="H88" s="323">
        <f>'SR Sthd'!K26</f>
        <v>0.91705097568933136</v>
      </c>
      <c r="I88" s="323">
        <f>'SR Sthd'!L26</f>
        <v>0.9275147928994083</v>
      </c>
      <c r="J88" s="324">
        <f>'SR Sthd'!M26</f>
        <v>0.85057834579469049</v>
      </c>
      <c r="K88" s="323"/>
      <c r="L88" s="324" t="e">
        <f t="shared" si="10"/>
        <v>#DIV/0!</v>
      </c>
    </row>
    <row r="89" spans="1:17">
      <c r="A89" s="342">
        <v>2019</v>
      </c>
      <c r="B89" s="322">
        <f>'SR Sthd'!B32</f>
        <v>0</v>
      </c>
      <c r="C89" s="322">
        <f>'SR Sthd'!C32</f>
        <v>0</v>
      </c>
      <c r="D89" s="322">
        <f>'SR Sthd'!D32</f>
        <v>0</v>
      </c>
      <c r="E89" s="324">
        <f>'SR Sthd'!E32</f>
        <v>0</v>
      </c>
      <c r="F89" s="324">
        <f>'SR Sthd'!F32</f>
        <v>0</v>
      </c>
      <c r="G89" s="324">
        <f>'SR Sthd'!G32</f>
        <v>0</v>
      </c>
      <c r="H89" s="323" t="e">
        <f>'SR Sthd'!K32</f>
        <v>#DIV/0!</v>
      </c>
      <c r="I89" s="323" t="e">
        <f>'SR Sthd'!L32</f>
        <v>#DIV/0!</v>
      </c>
      <c r="J89" s="324" t="e">
        <f>'SR Sthd'!M32</f>
        <v>#DIV/0!</v>
      </c>
      <c r="K89" s="323"/>
      <c r="L89" s="324" t="e">
        <f t="shared" si="10"/>
        <v>#DIV/0!</v>
      </c>
    </row>
    <row r="90" spans="1:17" ht="15.6">
      <c r="A90" s="314" t="s">
        <v>213</v>
      </c>
      <c r="B90" s="313"/>
      <c r="C90" s="313"/>
      <c r="D90" s="313"/>
      <c r="E90" s="654" t="s">
        <v>147</v>
      </c>
      <c r="F90" s="654"/>
      <c r="G90" s="654"/>
      <c r="H90" s="654" t="s">
        <v>148</v>
      </c>
      <c r="I90" s="654"/>
      <c r="J90" s="654"/>
      <c r="K90" s="654" t="s">
        <v>149</v>
      </c>
      <c r="L90" s="654"/>
      <c r="M90" s="353"/>
    </row>
    <row r="91" spans="1:17" ht="48">
      <c r="A91" s="315" t="s">
        <v>134</v>
      </c>
      <c r="B91" s="315" t="s">
        <v>136</v>
      </c>
      <c r="C91" s="315" t="s">
        <v>145</v>
      </c>
      <c r="D91" s="315" t="s">
        <v>146</v>
      </c>
      <c r="E91" s="316" t="s">
        <v>137</v>
      </c>
      <c r="F91" s="315" t="s">
        <v>138</v>
      </c>
      <c r="G91" s="315" t="s">
        <v>139</v>
      </c>
      <c r="H91" s="316" t="s">
        <v>142</v>
      </c>
      <c r="I91" s="315" t="s">
        <v>143</v>
      </c>
      <c r="J91" s="315" t="s">
        <v>144</v>
      </c>
      <c r="K91" s="316" t="s">
        <v>140</v>
      </c>
      <c r="L91" s="315" t="s">
        <v>141</v>
      </c>
      <c r="M91" s="354" t="s">
        <v>156</v>
      </c>
      <c r="N91" s="363" t="s">
        <v>157</v>
      </c>
      <c r="O91" s="363"/>
      <c r="P91" s="363" t="s">
        <v>158</v>
      </c>
    </row>
    <row r="92" spans="1:17">
      <c r="A92" s="317">
        <v>2002</v>
      </c>
      <c r="B92" s="318">
        <v>83</v>
      </c>
      <c r="C92" s="318">
        <v>65</v>
      </c>
      <c r="D92" s="331"/>
      <c r="E92" s="319">
        <v>0.7831325301204819</v>
      </c>
      <c r="F92" s="334"/>
      <c r="G92" s="334"/>
      <c r="H92" s="319">
        <v>0.90486534136726071</v>
      </c>
      <c r="I92" s="334"/>
      <c r="J92" s="334"/>
      <c r="K92" s="319">
        <f>AVERAGE(H92:H97)</f>
        <v>0.90072547351240917</v>
      </c>
      <c r="L92" s="337"/>
      <c r="M92" s="373">
        <v>0.90100000000000002</v>
      </c>
      <c r="N92" s="361">
        <f>L99/K92</f>
        <v>0.96754756616555837</v>
      </c>
      <c r="O92" s="378"/>
      <c r="P92" s="362">
        <f>L99/M92</f>
        <v>0.96725276324112275</v>
      </c>
      <c r="Q92" s="379"/>
    </row>
    <row r="93" spans="1:17">
      <c r="A93" s="317">
        <v>2003</v>
      </c>
      <c r="B93" s="318">
        <v>63</v>
      </c>
      <c r="C93" s="318">
        <v>51</v>
      </c>
      <c r="D93" s="331"/>
      <c r="E93" s="319">
        <v>0.80952380952380953</v>
      </c>
      <c r="F93" s="334"/>
      <c r="G93" s="334"/>
      <c r="H93" s="319">
        <v>0.90890099362209531</v>
      </c>
      <c r="I93" s="334"/>
      <c r="J93" s="334"/>
      <c r="K93" s="319">
        <v>0.90072547351240917</v>
      </c>
      <c r="L93" s="337"/>
      <c r="M93" s="337"/>
    </row>
    <row r="94" spans="1:17">
      <c r="A94" s="317">
        <v>2004</v>
      </c>
      <c r="B94" s="318">
        <v>813</v>
      </c>
      <c r="C94" s="318">
        <v>690</v>
      </c>
      <c r="D94" s="331"/>
      <c r="E94" s="319">
        <v>0.8487084870848709</v>
      </c>
      <c r="F94" s="334"/>
      <c r="G94" s="334"/>
      <c r="H94" s="319">
        <v>0.96078842926893182</v>
      </c>
      <c r="I94" s="334"/>
      <c r="J94" s="334"/>
      <c r="K94" s="319">
        <v>0.90072547351240917</v>
      </c>
      <c r="L94" s="337"/>
      <c r="M94" s="337"/>
    </row>
    <row r="95" spans="1:17">
      <c r="A95" s="317">
        <v>2005</v>
      </c>
      <c r="B95" s="318">
        <v>806</v>
      </c>
      <c r="C95" s="318">
        <v>656</v>
      </c>
      <c r="D95" s="331"/>
      <c r="E95" s="319">
        <v>0.81389578163771714</v>
      </c>
      <c r="F95" s="334"/>
      <c r="G95" s="334"/>
      <c r="H95" s="319">
        <v>0.8935865545238012</v>
      </c>
      <c r="I95" s="334"/>
      <c r="J95" s="334"/>
      <c r="K95" s="319">
        <v>0.90072547351240917</v>
      </c>
      <c r="L95" s="337"/>
      <c r="M95" s="337"/>
    </row>
    <row r="96" spans="1:17">
      <c r="A96" s="317">
        <v>2006</v>
      </c>
      <c r="B96" s="318">
        <v>647</v>
      </c>
      <c r="C96" s="318">
        <v>505</v>
      </c>
      <c r="D96" s="331"/>
      <c r="E96" s="319">
        <v>0.78052550231839257</v>
      </c>
      <c r="F96" s="334"/>
      <c r="G96" s="334"/>
      <c r="H96" s="319">
        <v>0.86097890554919709</v>
      </c>
      <c r="I96" s="334"/>
      <c r="J96" s="334"/>
      <c r="K96" s="319">
        <v>0.90072547351240917</v>
      </c>
      <c r="L96" s="337"/>
      <c r="M96" s="337"/>
    </row>
    <row r="97" spans="1:16">
      <c r="A97" s="325">
        <v>2007</v>
      </c>
      <c r="B97" s="326">
        <v>154</v>
      </c>
      <c r="C97" s="326">
        <v>121</v>
      </c>
      <c r="D97" s="332"/>
      <c r="E97" s="327">
        <v>0.7857142857142857</v>
      </c>
      <c r="F97" s="335"/>
      <c r="G97" s="335"/>
      <c r="H97" s="327">
        <v>0.87523261674316899</v>
      </c>
      <c r="I97" s="335"/>
      <c r="J97" s="335"/>
      <c r="K97" s="327">
        <v>0.90072547351240917</v>
      </c>
      <c r="L97" s="338"/>
      <c r="M97" s="347"/>
    </row>
    <row r="98" spans="1:16">
      <c r="A98" s="416"/>
      <c r="B98" s="417"/>
      <c r="C98" s="417"/>
      <c r="D98" s="428"/>
      <c r="E98" s="319"/>
      <c r="F98" s="429"/>
      <c r="G98" s="429"/>
      <c r="H98" s="319"/>
      <c r="I98" s="429"/>
      <c r="J98" s="429"/>
      <c r="K98" s="319"/>
      <c r="L98" s="347"/>
      <c r="M98" s="347"/>
    </row>
    <row r="99" spans="1:16">
      <c r="A99" s="321">
        <v>2008</v>
      </c>
      <c r="B99" s="322">
        <v>181</v>
      </c>
      <c r="C99" s="322">
        <v>132</v>
      </c>
      <c r="D99" s="333"/>
      <c r="E99" s="344">
        <f t="shared" ref="E99:E104" si="11">C99/B99</f>
        <v>0.72928176795580113</v>
      </c>
      <c r="F99" s="336"/>
      <c r="G99" s="336"/>
      <c r="H99" s="323">
        <f>'UCR Spr Chin'!J16</f>
        <v>0.85618088190483899</v>
      </c>
      <c r="I99" s="336"/>
      <c r="J99" s="336"/>
      <c r="K99" s="323"/>
      <c r="L99" s="339">
        <f t="shared" ref="L99:L104" si="12">AVERAGE(H95:H99)</f>
        <v>0.8714947396802516</v>
      </c>
      <c r="M99" s="339"/>
    </row>
    <row r="100" spans="1:16">
      <c r="A100" s="321">
        <v>2009</v>
      </c>
      <c r="B100" s="322">
        <v>148</v>
      </c>
      <c r="C100" s="322">
        <v>119</v>
      </c>
      <c r="D100" s="333"/>
      <c r="E100" s="344">
        <f t="shared" si="11"/>
        <v>0.80405405405405406</v>
      </c>
      <c r="F100" s="336"/>
      <c r="G100" s="336"/>
      <c r="H100" s="323">
        <f>'UCR Spr Chin'!J17</f>
        <v>0.94542693785415077</v>
      </c>
      <c r="I100" s="336"/>
      <c r="J100" s="336"/>
      <c r="K100" s="323"/>
      <c r="L100" s="339">
        <f t="shared" si="12"/>
        <v>0.88445483551283899</v>
      </c>
      <c r="M100" s="339"/>
    </row>
    <row r="101" spans="1:16">
      <c r="A101" s="321">
        <v>2010</v>
      </c>
      <c r="B101" s="322">
        <v>461</v>
      </c>
      <c r="C101" s="322">
        <v>381</v>
      </c>
      <c r="D101" s="333"/>
      <c r="E101" s="344">
        <f t="shared" si="11"/>
        <v>0.82646420824295008</v>
      </c>
      <c r="F101" s="336"/>
      <c r="G101" s="336"/>
      <c r="H101" s="323">
        <f>'UCR Spr Chin'!J18</f>
        <v>0.96977790740449255</v>
      </c>
      <c r="I101" s="336"/>
      <c r="J101" s="336"/>
      <c r="K101" s="323"/>
      <c r="L101" s="339">
        <f t="shared" si="12"/>
        <v>0.91165458597666282</v>
      </c>
      <c r="M101" s="339"/>
    </row>
    <row r="102" spans="1:16">
      <c r="A102" s="321">
        <v>2011</v>
      </c>
      <c r="B102" s="322">
        <v>464</v>
      </c>
      <c r="C102" s="322">
        <v>351</v>
      </c>
      <c r="D102" s="333"/>
      <c r="E102" s="344">
        <f t="shared" si="11"/>
        <v>0.75646551724137934</v>
      </c>
      <c r="F102" s="336"/>
      <c r="G102" s="336"/>
      <c r="H102" s="323">
        <f>'UCR Spr Chin'!J19</f>
        <v>0.86410230569938595</v>
      </c>
      <c r="I102" s="336"/>
      <c r="J102" s="336"/>
      <c r="K102" s="323"/>
      <c r="L102" s="339">
        <f t="shared" si="12"/>
        <v>0.90887200821571712</v>
      </c>
      <c r="M102" s="339"/>
    </row>
    <row r="103" spans="1:16">
      <c r="A103" s="321">
        <v>2012</v>
      </c>
      <c r="B103" s="343">
        <f>'UCR Spr Chin'!B20</f>
        <v>470</v>
      </c>
      <c r="C103" s="343">
        <f>'UCR Spr Chin'!C20</f>
        <v>390</v>
      </c>
      <c r="D103" s="374"/>
      <c r="E103" s="344">
        <f t="shared" si="11"/>
        <v>0.82978723404255317</v>
      </c>
      <c r="F103" s="375"/>
      <c r="G103" s="375"/>
      <c r="H103" s="323">
        <f>'UCR Spr Chin'!J20</f>
        <v>0.99618818230557327</v>
      </c>
      <c r="I103" s="375"/>
      <c r="J103" s="375"/>
      <c r="K103" s="323"/>
      <c r="L103" s="339">
        <f t="shared" si="12"/>
        <v>0.92633524303368842</v>
      </c>
      <c r="M103" s="339"/>
    </row>
    <row r="104" spans="1:16">
      <c r="A104" s="321">
        <v>2013</v>
      </c>
      <c r="B104" s="343">
        <f>'UCR Spr Chin'!B21</f>
        <v>269</v>
      </c>
      <c r="C104" s="343">
        <f>'UCR Spr Chin'!C21</f>
        <v>229</v>
      </c>
      <c r="D104" s="374"/>
      <c r="E104" s="344">
        <f t="shared" si="11"/>
        <v>0.85130111524163565</v>
      </c>
      <c r="H104" s="323">
        <f>'UCR Spr Chin'!J21</f>
        <v>1.0119389888247916</v>
      </c>
      <c r="I104" s="375"/>
      <c r="J104" s="375"/>
      <c r="K104" s="323"/>
      <c r="L104" s="339">
        <f t="shared" si="12"/>
        <v>0.95748686441767883</v>
      </c>
    </row>
    <row r="105" spans="1:16">
      <c r="A105" s="321">
        <v>2014</v>
      </c>
      <c r="B105" s="343">
        <f>'UCR Spr Chin'!B22</f>
        <v>401</v>
      </c>
      <c r="C105" s="343">
        <f>'UCR Spr Chin'!C22</f>
        <v>340</v>
      </c>
      <c r="D105" s="374"/>
      <c r="E105" s="344">
        <f>C105/B105</f>
        <v>0.84788029925187036</v>
      </c>
      <c r="H105" s="323">
        <f>'UCR Spr Chin'!J22</f>
        <v>1.0071442085444269</v>
      </c>
      <c r="I105" s="375"/>
      <c r="J105" s="375"/>
      <c r="K105" s="323"/>
      <c r="L105" s="339">
        <f>AVERAGE(H101:H105)</f>
        <v>0.96983031855573398</v>
      </c>
    </row>
    <row r="106" spans="1:16">
      <c r="A106" s="321">
        <v>2015</v>
      </c>
      <c r="B106" s="343">
        <f>'UCR Spr Chin'!B23</f>
        <v>560</v>
      </c>
      <c r="C106" s="343">
        <f>'UCR Spr Chin'!C23</f>
        <v>505</v>
      </c>
      <c r="D106" s="374"/>
      <c r="E106" s="344">
        <f t="shared" ref="E106:E107" si="13">C106/B106</f>
        <v>0.9017857142857143</v>
      </c>
      <c r="H106" s="323">
        <f>'UCR Spr Chin'!J23</f>
        <v>1.0889630867518441</v>
      </c>
      <c r="I106" s="375"/>
      <c r="J106" s="375"/>
      <c r="K106" s="323"/>
      <c r="L106" s="339">
        <f t="shared" ref="L106:L107" si="14">AVERAGE(H102:H106)</f>
        <v>0.99366735442520437</v>
      </c>
    </row>
    <row r="107" spans="1:16">
      <c r="A107" s="321">
        <v>2016</v>
      </c>
      <c r="B107" s="343">
        <f>'UCR Spr Chin'!B24</f>
        <v>303</v>
      </c>
      <c r="C107" s="343">
        <f>'UCR Spr Chin'!C24</f>
        <v>225</v>
      </c>
      <c r="D107" s="374"/>
      <c r="E107" s="344">
        <f t="shared" si="13"/>
        <v>0.74257425742574257</v>
      </c>
      <c r="H107" s="323">
        <f>'UCR Spr Chin'!J24</f>
        <v>0.89880736592176125</v>
      </c>
      <c r="I107" s="375"/>
      <c r="J107" s="375"/>
      <c r="K107" s="323"/>
      <c r="L107" s="339">
        <f t="shared" si="14"/>
        <v>1.0006083664696794</v>
      </c>
    </row>
    <row r="108" spans="1:16">
      <c r="A108" s="321">
        <v>2017</v>
      </c>
      <c r="B108" s="343">
        <f>'UCR Spr Chin'!B25</f>
        <v>270</v>
      </c>
      <c r="C108" s="343">
        <f>'UCR Spr Chin'!C25</f>
        <v>205</v>
      </c>
      <c r="D108" s="374"/>
      <c r="E108" s="344">
        <f t="shared" ref="E108:E111" si="15">C108/B108</f>
        <v>0.7592592592592593</v>
      </c>
      <c r="H108" s="323">
        <f>'UCR Spr Chin'!J25</f>
        <v>0.84648325355278542</v>
      </c>
      <c r="I108" s="375"/>
      <c r="J108" s="375"/>
      <c r="K108" s="323"/>
      <c r="L108" s="339">
        <f t="shared" ref="L108:L111" si="16">AVERAGE(H104:H108)</f>
        <v>0.97066738071912173</v>
      </c>
    </row>
    <row r="109" spans="1:16">
      <c r="A109" s="321">
        <v>2018</v>
      </c>
      <c r="B109" s="343">
        <f>'UCR Spr Chin'!B26</f>
        <v>255</v>
      </c>
      <c r="C109" s="343">
        <f>'UCR Spr Chin'!C26</f>
        <v>195</v>
      </c>
      <c r="D109" s="374"/>
      <c r="E109" s="344">
        <f t="shared" si="15"/>
        <v>0.76470588235294112</v>
      </c>
      <c r="H109" s="323">
        <f>'UCR Spr Chin'!J26</f>
        <v>0.86701347205548884</v>
      </c>
      <c r="I109" s="375"/>
      <c r="J109" s="375"/>
      <c r="K109" s="323"/>
      <c r="L109" s="339">
        <f t="shared" si="16"/>
        <v>0.94168227736526122</v>
      </c>
    </row>
    <row r="110" spans="1:16">
      <c r="A110" s="321">
        <v>2019</v>
      </c>
      <c r="B110" s="343">
        <f>'UCR Spr Chin'!B27</f>
        <v>237</v>
      </c>
      <c r="C110" s="343">
        <f>'UCR Spr Chin'!C27</f>
        <v>181</v>
      </c>
      <c r="D110" s="374"/>
      <c r="E110" s="344">
        <f t="shared" si="15"/>
        <v>0.76371308016877637</v>
      </c>
      <c r="H110" s="323">
        <f>'UCR Spr Chin'!J27</f>
        <v>0.83436730342260246</v>
      </c>
      <c r="I110" s="375"/>
      <c r="J110" s="375"/>
      <c r="K110" s="323"/>
      <c r="L110" s="339">
        <f t="shared" si="16"/>
        <v>0.90712689634089649</v>
      </c>
    </row>
    <row r="111" spans="1:16">
      <c r="A111" s="321">
        <v>2020</v>
      </c>
      <c r="B111" s="343">
        <f>'UCR Spr Chin'!B34</f>
        <v>0</v>
      </c>
      <c r="C111" s="343">
        <f>'UCR Spr Chin'!C34</f>
        <v>0</v>
      </c>
      <c r="D111" s="374"/>
      <c r="E111" s="344" t="e">
        <f t="shared" si="15"/>
        <v>#DIV/0!</v>
      </c>
      <c r="H111" s="323" t="e">
        <f>'UCR Spr Chin'!J34</f>
        <v>#DIV/0!</v>
      </c>
      <c r="I111" s="375"/>
      <c r="J111" s="375"/>
      <c r="K111" s="323"/>
      <c r="L111" s="339" t="e">
        <f t="shared" si="16"/>
        <v>#DIV/0!</v>
      </c>
    </row>
    <row r="112" spans="1:16" ht="15.6">
      <c r="A112" s="314" t="s">
        <v>152</v>
      </c>
      <c r="B112" s="313"/>
      <c r="C112" s="313"/>
      <c r="D112" s="313"/>
      <c r="E112" s="654" t="s">
        <v>147</v>
      </c>
      <c r="F112" s="654"/>
      <c r="G112" s="654"/>
      <c r="H112" s="654" t="s">
        <v>148</v>
      </c>
      <c r="I112" s="654"/>
      <c r="J112" s="654"/>
      <c r="K112" s="654" t="s">
        <v>149</v>
      </c>
      <c r="L112" s="654"/>
      <c r="M112" s="353"/>
      <c r="N112" s="363"/>
      <c r="O112" s="363"/>
      <c r="P112" s="363"/>
    </row>
    <row r="113" spans="1:17" ht="48">
      <c r="A113" s="315" t="s">
        <v>134</v>
      </c>
      <c r="B113" s="315" t="s">
        <v>136</v>
      </c>
      <c r="C113" s="315" t="s">
        <v>145</v>
      </c>
      <c r="D113" s="315" t="s">
        <v>146</v>
      </c>
      <c r="E113" s="316" t="s">
        <v>137</v>
      </c>
      <c r="F113" s="315" t="s">
        <v>138</v>
      </c>
      <c r="G113" s="315" t="s">
        <v>139</v>
      </c>
      <c r="H113" s="316" t="s">
        <v>142</v>
      </c>
      <c r="I113" s="315" t="s">
        <v>143</v>
      </c>
      <c r="J113" s="315" t="s">
        <v>144</v>
      </c>
      <c r="K113" s="316" t="s">
        <v>140</v>
      </c>
      <c r="L113" s="315" t="s">
        <v>141</v>
      </c>
      <c r="M113" s="354" t="s">
        <v>156</v>
      </c>
      <c r="N113" s="363" t="s">
        <v>159</v>
      </c>
      <c r="O113" s="363"/>
      <c r="P113" s="363" t="s">
        <v>158</v>
      </c>
    </row>
    <row r="114" spans="1:17">
      <c r="A114" s="317">
        <v>2002</v>
      </c>
      <c r="B114" s="318">
        <v>294</v>
      </c>
      <c r="C114" s="318">
        <v>232</v>
      </c>
      <c r="D114" s="331"/>
      <c r="E114" s="319">
        <v>0.78911564625850339</v>
      </c>
      <c r="F114" s="334"/>
      <c r="G114" s="334"/>
      <c r="H114" s="329">
        <v>0.90037078061055587</v>
      </c>
      <c r="I114" s="334"/>
      <c r="J114" s="334"/>
      <c r="K114" s="369">
        <f>AVERAGE(H114:H118)</f>
        <v>0.8549557497990925</v>
      </c>
      <c r="L114" s="320"/>
      <c r="M114" s="373">
        <v>0.84499999999999997</v>
      </c>
      <c r="N114" s="361">
        <f>L119/K114</f>
        <v>1.0533475743936647</v>
      </c>
      <c r="O114" s="366"/>
      <c r="P114" s="362">
        <f>L119/M114</f>
        <v>1.0657580654021197</v>
      </c>
      <c r="Q114" s="381"/>
    </row>
    <row r="115" spans="1:17">
      <c r="A115" s="317">
        <v>2003</v>
      </c>
      <c r="B115" s="318">
        <v>44</v>
      </c>
      <c r="C115" s="318">
        <v>34</v>
      </c>
      <c r="D115" s="331"/>
      <c r="E115" s="319">
        <v>0.77272727272727271</v>
      </c>
      <c r="F115" s="334"/>
      <c r="G115" s="334"/>
      <c r="H115" s="380">
        <v>0.91424612119848503</v>
      </c>
      <c r="I115" s="334"/>
      <c r="J115" s="334"/>
      <c r="K115" s="369">
        <v>0.8549557497990925</v>
      </c>
      <c r="L115" s="320"/>
      <c r="M115" s="337"/>
    </row>
    <row r="116" spans="1:17">
      <c r="A116" s="317">
        <v>2004</v>
      </c>
      <c r="B116" s="318">
        <v>3448</v>
      </c>
      <c r="C116" s="318">
        <v>2468</v>
      </c>
      <c r="D116" s="331"/>
      <c r="E116" s="319">
        <v>0.71577726218097448</v>
      </c>
      <c r="F116" s="334"/>
      <c r="G116" s="334"/>
      <c r="H116" s="319">
        <v>0.82001028697923783</v>
      </c>
      <c r="I116" s="334"/>
      <c r="J116" s="334"/>
      <c r="K116" s="369">
        <v>0.8549557497990925</v>
      </c>
      <c r="L116" s="320"/>
      <c r="M116" s="337"/>
    </row>
    <row r="117" spans="1:17">
      <c r="A117" s="317">
        <v>2005</v>
      </c>
      <c r="B117" s="318">
        <v>6123</v>
      </c>
      <c r="C117" s="318">
        <v>4200</v>
      </c>
      <c r="D117" s="331"/>
      <c r="E117" s="319">
        <v>0.68593826555609994</v>
      </c>
      <c r="F117" s="334"/>
      <c r="G117" s="334"/>
      <c r="H117" s="380">
        <v>0.78535655440890617</v>
      </c>
      <c r="I117" s="334"/>
      <c r="J117" s="334"/>
      <c r="K117" s="369">
        <v>0.8549557497990925</v>
      </c>
      <c r="L117" s="320"/>
      <c r="M117" s="337"/>
    </row>
    <row r="118" spans="1:17">
      <c r="A118" s="325">
        <v>2006</v>
      </c>
      <c r="B118" s="326">
        <v>6790</v>
      </c>
      <c r="C118" s="326">
        <v>4944</v>
      </c>
      <c r="D118" s="332"/>
      <c r="E118" s="327">
        <v>0.72812960235640645</v>
      </c>
      <c r="F118" s="335"/>
      <c r="G118" s="335"/>
      <c r="H118" s="360">
        <v>0.85479500579827761</v>
      </c>
      <c r="I118" s="335"/>
      <c r="J118" s="335"/>
      <c r="K118" s="370">
        <v>0.8549557497990925</v>
      </c>
      <c r="L118" s="328"/>
      <c r="M118" s="337"/>
    </row>
    <row r="119" spans="1:17">
      <c r="A119" s="348">
        <v>2007</v>
      </c>
      <c r="B119" s="349">
        <v>1167</v>
      </c>
      <c r="C119" s="349">
        <v>856</v>
      </c>
      <c r="D119" s="376"/>
      <c r="E119" s="351">
        <v>0.7335047129391602</v>
      </c>
      <c r="F119" s="377"/>
      <c r="G119" s="377"/>
      <c r="H119" s="351">
        <v>0.85274831435196219</v>
      </c>
      <c r="I119" s="377"/>
      <c r="J119" s="377"/>
      <c r="K119" s="351"/>
      <c r="L119" s="350">
        <f>AVERAGE(H119:H124)</f>
        <v>0.90056556526479103</v>
      </c>
      <c r="M119" s="347"/>
    </row>
    <row r="120" spans="1:17">
      <c r="A120" s="348"/>
      <c r="B120" s="349"/>
      <c r="C120" s="349"/>
      <c r="D120" s="376"/>
      <c r="E120" s="358"/>
      <c r="F120" s="377"/>
      <c r="G120" s="377"/>
      <c r="H120" s="358"/>
      <c r="I120" s="377"/>
      <c r="J120" s="377"/>
      <c r="K120" s="358"/>
      <c r="L120" s="350"/>
      <c r="M120" s="347"/>
    </row>
    <row r="121" spans="1:17">
      <c r="A121" s="321">
        <v>2008</v>
      </c>
      <c r="B121" s="322">
        <v>336</v>
      </c>
      <c r="C121" s="322">
        <v>251</v>
      </c>
      <c r="D121" s="333"/>
      <c r="E121" s="323">
        <v>0.74702380952380953</v>
      </c>
      <c r="F121" s="336"/>
      <c r="G121" s="336"/>
      <c r="H121" s="323">
        <f>'UCR Sthd'!K16</f>
        <v>0.90302402947059379</v>
      </c>
      <c r="I121" s="336"/>
      <c r="J121" s="336"/>
      <c r="K121" s="323"/>
      <c r="L121" s="350">
        <f t="shared" ref="L121:L126" si="17">AVERAGE(H117:H121)</f>
        <v>0.84898097600743494</v>
      </c>
      <c r="M121" s="339"/>
    </row>
    <row r="122" spans="1:17">
      <c r="A122" s="321">
        <v>2009</v>
      </c>
      <c r="B122" s="322">
        <v>390</v>
      </c>
      <c r="C122" s="322">
        <v>286</v>
      </c>
      <c r="D122" s="333"/>
      <c r="E122" s="323">
        <v>0.73333333333333328</v>
      </c>
      <c r="F122" s="336"/>
      <c r="G122" s="336"/>
      <c r="H122" s="323">
        <f>'UCR Sthd'!K17</f>
        <v>0.88784664799051893</v>
      </c>
      <c r="I122" s="336"/>
      <c r="J122" s="336"/>
      <c r="K122" s="323"/>
      <c r="L122" s="350">
        <f t="shared" si="17"/>
        <v>0.87460349940283821</v>
      </c>
      <c r="M122" s="339"/>
    </row>
    <row r="123" spans="1:17">
      <c r="A123" s="321">
        <v>2010</v>
      </c>
      <c r="B123" s="322">
        <v>938</v>
      </c>
      <c r="C123" s="322">
        <v>736</v>
      </c>
      <c r="D123" s="333"/>
      <c r="E123" s="323">
        <v>0.78464818763326227</v>
      </c>
      <c r="F123" s="336"/>
      <c r="G123" s="336"/>
      <c r="H123" s="323">
        <f>'UCR Sthd'!K18</f>
        <v>0.94231537110004715</v>
      </c>
      <c r="I123" s="336"/>
      <c r="J123" s="336"/>
      <c r="K123" s="323"/>
      <c r="L123" s="350">
        <f t="shared" si="17"/>
        <v>0.89648359072828065</v>
      </c>
      <c r="M123" s="339"/>
    </row>
    <row r="124" spans="1:17">
      <c r="A124" s="321">
        <v>2011</v>
      </c>
      <c r="B124" s="322">
        <f>'UCR Sthd'!B19</f>
        <v>936</v>
      </c>
      <c r="C124" s="322">
        <f>'UCR Sthd'!C19</f>
        <v>734</v>
      </c>
      <c r="D124" s="333"/>
      <c r="E124" s="324">
        <f>'UCR Sthd'!E19</f>
        <v>0.78418803418803418</v>
      </c>
      <c r="F124" s="336"/>
      <c r="G124" s="336"/>
      <c r="H124" s="323">
        <f>'UCR Sthd'!K19</f>
        <v>0.916893463410832</v>
      </c>
      <c r="I124" s="336"/>
      <c r="J124" s="336"/>
      <c r="K124" s="323"/>
      <c r="L124" s="350">
        <f t="shared" si="17"/>
        <v>0.91251987799299794</v>
      </c>
      <c r="M124" s="339"/>
    </row>
    <row r="125" spans="1:17">
      <c r="A125" s="342">
        <v>2012</v>
      </c>
      <c r="B125" s="322">
        <f>'UCR Sthd'!B20</f>
        <v>1043</v>
      </c>
      <c r="C125" s="322">
        <f>'UCR Sthd'!C20</f>
        <v>820</v>
      </c>
      <c r="D125" s="333"/>
      <c r="E125" s="324">
        <f>'UCR Sthd'!E20</f>
        <v>0.78619367209971236</v>
      </c>
      <c r="F125" s="336"/>
      <c r="G125" s="336"/>
      <c r="H125" s="323">
        <f>'UCR Sthd'!K20</f>
        <v>0.96460563557246681</v>
      </c>
      <c r="I125" s="336"/>
      <c r="J125" s="336"/>
      <c r="K125" s="323"/>
      <c r="L125" s="350">
        <f t="shared" si="17"/>
        <v>0.92293702950889167</v>
      </c>
      <c r="M125" s="339"/>
    </row>
    <row r="126" spans="1:17">
      <c r="A126" s="321">
        <v>2013</v>
      </c>
      <c r="B126" s="322">
        <f>'UCR Sthd'!B21</f>
        <v>772</v>
      </c>
      <c r="C126" s="322">
        <f>'UCR Sthd'!C21</f>
        <v>553</v>
      </c>
      <c r="D126" s="333"/>
      <c r="E126" s="324">
        <f>'UCR Sthd'!E21</f>
        <v>0.71632124352331605</v>
      </c>
      <c r="F126" s="336"/>
      <c r="G126" s="336"/>
      <c r="H126" s="323">
        <f>'UCR Sthd'!K21</f>
        <v>0.87606979009974695</v>
      </c>
      <c r="I126" s="336"/>
      <c r="J126" s="336"/>
      <c r="K126" s="323"/>
      <c r="L126" s="350">
        <f t="shared" si="17"/>
        <v>0.91754618163472235</v>
      </c>
      <c r="M126" s="339"/>
    </row>
    <row r="127" spans="1:17">
      <c r="A127" s="321">
        <v>2014</v>
      </c>
      <c r="B127" s="322">
        <f>'UCR Sthd'!B22</f>
        <v>870</v>
      </c>
      <c r="C127" s="322">
        <f>'UCR Sthd'!C22</f>
        <v>660</v>
      </c>
      <c r="D127" s="333"/>
      <c r="E127" s="324">
        <f>'UCR Sthd'!E22</f>
        <v>0.75862068965517238</v>
      </c>
      <c r="F127" s="336"/>
      <c r="G127" s="336"/>
      <c r="H127" s="323">
        <f>'UCR Sthd'!K22</f>
        <v>0.92806921513206386</v>
      </c>
      <c r="I127" s="336"/>
      <c r="J127" s="336"/>
      <c r="K127" s="323"/>
      <c r="L127" s="350">
        <f>AVERAGE(H123:H127)</f>
        <v>0.92559069506303138</v>
      </c>
      <c r="M127" s="339"/>
    </row>
    <row r="128" spans="1:17">
      <c r="A128" s="321">
        <v>2015</v>
      </c>
      <c r="B128" s="322">
        <f>'UCR Sthd'!B23</f>
        <v>904</v>
      </c>
      <c r="C128" s="322">
        <f>'UCR Sthd'!C23</f>
        <v>708</v>
      </c>
      <c r="D128" s="333"/>
      <c r="E128" s="324">
        <f>'UCR Sthd'!E23</f>
        <v>0.7831858407079646</v>
      </c>
      <c r="F128" s="336"/>
      <c r="G128" s="336"/>
      <c r="H128" s="323">
        <f>'UCR Sthd'!K23</f>
        <v>0.96754889087769991</v>
      </c>
      <c r="I128" s="336"/>
      <c r="J128" s="336"/>
      <c r="K128" s="323"/>
      <c r="L128" s="350">
        <f t="shared" ref="L128:L129" si="18">AVERAGE(H124:H128)</f>
        <v>0.93063739901856191</v>
      </c>
    </row>
    <row r="129" spans="1:12">
      <c r="A129" s="321">
        <v>2016</v>
      </c>
      <c r="B129" s="322">
        <f>'UCR Sthd'!B32</f>
        <v>268</v>
      </c>
      <c r="C129" s="322">
        <f>'UCR Sthd'!C32</f>
        <v>214.8</v>
      </c>
      <c r="D129" s="333"/>
      <c r="E129" s="324">
        <f>'UCR Sthd'!E32</f>
        <v>0.80408575721912556</v>
      </c>
      <c r="F129" s="336"/>
      <c r="G129" s="336"/>
      <c r="H129" s="323">
        <f>'UCR Sthd'!K24</f>
        <v>0.94061844876760237</v>
      </c>
      <c r="I129" s="336"/>
      <c r="J129" s="336"/>
      <c r="K129" s="323"/>
      <c r="L129" s="350">
        <f t="shared" si="18"/>
        <v>0.93538239608991591</v>
      </c>
    </row>
    <row r="130" spans="1:12">
      <c r="A130" s="321">
        <v>2017</v>
      </c>
      <c r="B130" s="322">
        <f>'UCR Sthd'!B33</f>
        <v>0</v>
      </c>
      <c r="C130" s="322">
        <f>'UCR Sthd'!C33</f>
        <v>0</v>
      </c>
      <c r="D130" s="333"/>
      <c r="E130" s="324">
        <f>'UCR Sthd'!E33</f>
        <v>0</v>
      </c>
      <c r="F130" s="336"/>
      <c r="G130" s="336"/>
      <c r="H130" s="323">
        <f>'UCR Sthd'!K25</f>
        <v>0.88355817332370823</v>
      </c>
      <c r="I130" s="336"/>
      <c r="J130" s="336"/>
      <c r="K130" s="323"/>
      <c r="L130" s="350">
        <f t="shared" ref="L130:L132" si="19">AVERAGE(H126:H130)</f>
        <v>0.91917290364016435</v>
      </c>
    </row>
    <row r="131" spans="1:12">
      <c r="A131" s="321">
        <v>2018</v>
      </c>
      <c r="B131" s="322">
        <f>'UCR Sthd'!B34</f>
        <v>0</v>
      </c>
      <c r="C131" s="322">
        <f>'UCR Sthd'!C34</f>
        <v>0</v>
      </c>
      <c r="D131" s="333"/>
      <c r="E131" s="324">
        <f>'UCR Sthd'!E34</f>
        <v>0</v>
      </c>
      <c r="F131" s="336"/>
      <c r="G131" s="336"/>
      <c r="H131" s="323">
        <f>'UCR Sthd'!K26</f>
        <v>0.88177978431666471</v>
      </c>
      <c r="I131" s="336"/>
      <c r="J131" s="336"/>
      <c r="K131" s="323"/>
      <c r="L131" s="350">
        <f t="shared" si="19"/>
        <v>0.92031490248354775</v>
      </c>
    </row>
    <row r="132" spans="1:12">
      <c r="A132" s="321">
        <v>2019</v>
      </c>
      <c r="B132" s="322">
        <f>'UCR Sthd'!B35</f>
        <v>0</v>
      </c>
      <c r="C132" s="322">
        <f>'UCR Sthd'!C35</f>
        <v>0</v>
      </c>
      <c r="D132" s="333"/>
      <c r="E132" s="324">
        <f>'UCR Sthd'!E35</f>
        <v>0</v>
      </c>
      <c r="F132" s="336"/>
      <c r="G132" s="336"/>
      <c r="H132" s="323">
        <f>'UCR Sthd'!K27</f>
        <v>0.84710563133962924</v>
      </c>
      <c r="I132" s="336"/>
      <c r="J132" s="336"/>
      <c r="K132" s="323"/>
      <c r="L132" s="350">
        <f t="shared" si="19"/>
        <v>0.90412218572506087</v>
      </c>
    </row>
    <row r="133" spans="1:12">
      <c r="A133" t="s">
        <v>165</v>
      </c>
    </row>
    <row r="134" spans="1:12" ht="39.6">
      <c r="A134" s="476"/>
      <c r="B134" s="477" t="s">
        <v>68</v>
      </c>
      <c r="C134" s="477" t="s">
        <v>67</v>
      </c>
      <c r="D134" s="477" t="s">
        <v>53</v>
      </c>
      <c r="E134" s="477" t="s">
        <v>69</v>
      </c>
      <c r="F134" s="478" t="s">
        <v>161</v>
      </c>
      <c r="G134" s="478" t="s">
        <v>70</v>
      </c>
      <c r="H134" s="11"/>
    </row>
    <row r="135" spans="1:12">
      <c r="A135" s="479" t="s">
        <v>162</v>
      </c>
      <c r="B135" s="480">
        <f>M7</f>
        <v>0.81</v>
      </c>
      <c r="C135" s="480">
        <f>M28</f>
        <v>0.91</v>
      </c>
      <c r="D135" s="480">
        <f>M49</f>
        <v>0.81100000000000005</v>
      </c>
      <c r="E135" s="480">
        <f>M92</f>
        <v>0.90100000000000002</v>
      </c>
      <c r="F135" s="480">
        <v>0.90100000000000002</v>
      </c>
      <c r="G135" s="480">
        <f>M114</f>
        <v>0.84499999999999997</v>
      </c>
      <c r="H135" s="11"/>
    </row>
    <row r="136" spans="1:12">
      <c r="A136" s="475">
        <v>2008</v>
      </c>
      <c r="B136" s="474">
        <f t="shared" ref="B136:B143" si="20">J14</f>
        <v>0.91913570449336512</v>
      </c>
      <c r="C136" s="474">
        <f t="shared" ref="C136:C143" si="21">J35</f>
        <v>0.86047869411530309</v>
      </c>
      <c r="D136" s="474">
        <f t="shared" ref="D136:D143" si="22">J56</f>
        <v>0.74889504875305013</v>
      </c>
      <c r="E136" s="474">
        <f>J78</f>
        <v>0.81271626142283449</v>
      </c>
      <c r="F136" s="474">
        <f t="shared" ref="F136:F143" si="23">H99</f>
        <v>0.85618088190483899</v>
      </c>
      <c r="G136" s="474">
        <f>H121</f>
        <v>0.90302402947059379</v>
      </c>
      <c r="H136" s="11"/>
    </row>
    <row r="137" spans="1:12">
      <c r="A137" s="475">
        <v>2009</v>
      </c>
      <c r="B137" s="474">
        <f t="shared" si="20"/>
        <v>0.88756701457062903</v>
      </c>
      <c r="C137" s="474">
        <f t="shared" si="21"/>
        <v>0.80177127370131862</v>
      </c>
      <c r="D137" s="474">
        <f t="shared" si="22"/>
        <v>0.7494376818038383</v>
      </c>
      <c r="E137" s="474">
        <f t="shared" ref="E137:E146" si="24">J79</f>
        <v>0.81162937983738703</v>
      </c>
      <c r="F137" s="474">
        <f t="shared" si="23"/>
        <v>0.94542693785415077</v>
      </c>
      <c r="G137" s="474">
        <f t="shared" ref="G137:G146" si="25">H122</f>
        <v>0.88784664799051893</v>
      </c>
      <c r="H137" s="11"/>
    </row>
    <row r="138" spans="1:12">
      <c r="A138" s="475">
        <v>2010</v>
      </c>
      <c r="B138" s="474">
        <f t="shared" si="20"/>
        <v>0.90627202329992251</v>
      </c>
      <c r="C138" s="474">
        <f t="shared" si="21"/>
        <v>0.85154593670619383</v>
      </c>
      <c r="D138" s="474">
        <f t="shared" si="22"/>
        <v>0.82799145299145305</v>
      </c>
      <c r="E138" s="474">
        <f t="shared" si="24"/>
        <v>0.85838514624122009</v>
      </c>
      <c r="F138" s="474">
        <f t="shared" si="23"/>
        <v>0.96977790740449255</v>
      </c>
      <c r="G138" s="474">
        <f t="shared" si="25"/>
        <v>0.94231537110004715</v>
      </c>
      <c r="H138" s="11"/>
    </row>
    <row r="139" spans="1:12">
      <c r="A139" s="475">
        <v>2011</v>
      </c>
      <c r="B139" s="474">
        <f t="shared" si="20"/>
        <v>0.80555382696369082</v>
      </c>
      <c r="C139" s="474">
        <f t="shared" si="21"/>
        <v>0.77249028331092018</v>
      </c>
      <c r="D139" s="474">
        <f t="shared" si="22"/>
        <v>0.71392083494879843</v>
      </c>
      <c r="E139" s="474">
        <f t="shared" si="24"/>
        <v>0.81193215854515222</v>
      </c>
      <c r="F139" s="474">
        <f t="shared" si="23"/>
        <v>0.86410230569938595</v>
      </c>
      <c r="G139" s="474">
        <f t="shared" si="25"/>
        <v>0.916893463410832</v>
      </c>
      <c r="H139" s="11"/>
    </row>
    <row r="140" spans="1:12">
      <c r="A140" s="475">
        <v>2012</v>
      </c>
      <c r="B140" s="474">
        <f t="shared" si="20"/>
        <v>1.0087697275209666</v>
      </c>
      <c r="C140" s="474">
        <f t="shared" si="21"/>
        <v>0.89184213167897797</v>
      </c>
      <c r="D140" s="474">
        <f t="shared" si="22"/>
        <v>0.56990712294855705</v>
      </c>
      <c r="E140" s="474">
        <f t="shared" si="24"/>
        <v>0.88267799105923972</v>
      </c>
      <c r="F140" s="474">
        <f t="shared" si="23"/>
        <v>0.99618818230557327</v>
      </c>
      <c r="G140" s="474">
        <f t="shared" si="25"/>
        <v>0.96460563557246681</v>
      </c>
      <c r="H140" s="11"/>
    </row>
    <row r="141" spans="1:12">
      <c r="A141" s="475">
        <v>2013</v>
      </c>
      <c r="B141" s="474">
        <f t="shared" si="20"/>
        <v>0.82511529752830948</v>
      </c>
      <c r="C141" s="474">
        <f t="shared" si="21"/>
        <v>0.85407068248015516</v>
      </c>
      <c r="D141" s="474">
        <f t="shared" si="22"/>
        <v>0.46384789866707449</v>
      </c>
      <c r="E141" s="474">
        <f t="shared" si="24"/>
        <v>0.85528673116633536</v>
      </c>
      <c r="F141" s="474">
        <f t="shared" si="23"/>
        <v>1.0119389888247916</v>
      </c>
      <c r="G141" s="474">
        <f t="shared" si="25"/>
        <v>0.87606979009974695</v>
      </c>
      <c r="H141" s="11"/>
    </row>
    <row r="142" spans="1:12">
      <c r="A142" s="475">
        <v>2014</v>
      </c>
      <c r="B142" s="474">
        <f t="shared" si="20"/>
        <v>0.91600266100523353</v>
      </c>
      <c r="C142" s="474">
        <f t="shared" si="21"/>
        <v>0.8361426637011018</v>
      </c>
      <c r="D142" s="474">
        <f t="shared" si="22"/>
        <v>0.694200007821972</v>
      </c>
      <c r="E142" s="474">
        <f t="shared" si="24"/>
        <v>0.94134236590073261</v>
      </c>
      <c r="F142" s="474">
        <f t="shared" si="23"/>
        <v>1.0071442085444269</v>
      </c>
      <c r="G142" s="474">
        <f t="shared" si="25"/>
        <v>0.92806921513206386</v>
      </c>
      <c r="H142" s="11"/>
    </row>
    <row r="143" spans="1:12">
      <c r="A143" s="475">
        <v>2015</v>
      </c>
      <c r="B143" s="474">
        <f t="shared" si="20"/>
        <v>0.99786264764475407</v>
      </c>
      <c r="C143" s="474">
        <f t="shared" si="21"/>
        <v>0.93517883887841313</v>
      </c>
      <c r="D143" s="474">
        <f t="shared" si="22"/>
        <v>4.2257555103069298E-2</v>
      </c>
      <c r="E143" s="474">
        <f t="shared" si="24"/>
        <v>0.93541757380573343</v>
      </c>
      <c r="F143" s="474">
        <f t="shared" si="23"/>
        <v>1.0889630867518441</v>
      </c>
      <c r="G143" s="474">
        <f t="shared" si="25"/>
        <v>0.96754889087769991</v>
      </c>
      <c r="H143" s="11"/>
    </row>
    <row r="144" spans="1:12">
      <c r="A144" s="475">
        <v>2016</v>
      </c>
      <c r="B144" s="474">
        <f t="shared" ref="B144" si="26">J22</f>
        <v>0.80177308934634006</v>
      </c>
      <c r="C144" s="474">
        <f t="shared" ref="C144" si="27">J43</f>
        <v>0.84610933886718942</v>
      </c>
      <c r="D144" s="474">
        <f t="shared" ref="D144" si="28">J64</f>
        <v>0.71655772658953476</v>
      </c>
      <c r="E144" s="474">
        <f t="shared" si="24"/>
        <v>0.88153808643058829</v>
      </c>
      <c r="F144" s="474">
        <f t="shared" ref="F144" si="29">H107</f>
        <v>0.89880736592176125</v>
      </c>
      <c r="G144" s="474">
        <f t="shared" si="25"/>
        <v>0.94061844876760237</v>
      </c>
      <c r="H144" s="11"/>
    </row>
    <row r="145" spans="1:8">
      <c r="A145" s="475">
        <v>2017</v>
      </c>
      <c r="B145" s="474">
        <f t="shared" ref="B145:B147" si="30">J23</f>
        <v>0.90035859996810175</v>
      </c>
      <c r="C145" s="474">
        <f t="shared" ref="C145:C147" si="31">J44</f>
        <v>0.77973227715052162</v>
      </c>
      <c r="D145" s="474">
        <f t="shared" ref="D145:D147" si="32">J65</f>
        <v>0.56719888829017906</v>
      </c>
      <c r="E145" s="474">
        <f t="shared" si="24"/>
        <v>0.86830189351667153</v>
      </c>
      <c r="F145" s="474">
        <f t="shared" ref="F145:F146" si="33">H108</f>
        <v>0.84648325355278542</v>
      </c>
      <c r="G145" s="474">
        <f t="shared" si="25"/>
        <v>0.88355817332370823</v>
      </c>
      <c r="H145" s="11"/>
    </row>
    <row r="146" spans="1:8">
      <c r="A146" s="475">
        <v>2018</v>
      </c>
      <c r="B146" s="474">
        <f t="shared" si="30"/>
        <v>0.94390940047132987</v>
      </c>
      <c r="C146" s="474">
        <f t="shared" si="31"/>
        <v>0.76596696044410273</v>
      </c>
      <c r="D146" s="474">
        <f t="shared" si="32"/>
        <v>0</v>
      </c>
      <c r="E146" s="474">
        <f t="shared" si="24"/>
        <v>0.85057834579469049</v>
      </c>
      <c r="F146" s="474">
        <f t="shared" si="33"/>
        <v>0.86701347205548884</v>
      </c>
      <c r="G146" s="474">
        <f t="shared" si="25"/>
        <v>0.88177978431666471</v>
      </c>
      <c r="H146" s="11"/>
    </row>
    <row r="147" spans="1:8">
      <c r="A147" s="475">
        <v>2019</v>
      </c>
      <c r="B147" s="474">
        <f t="shared" si="30"/>
        <v>0.9842571352080588</v>
      </c>
      <c r="C147" s="474">
        <f t="shared" si="31"/>
        <v>0.7866191664874016</v>
      </c>
      <c r="D147" s="474">
        <f t="shared" si="32"/>
        <v>0</v>
      </c>
      <c r="E147" s="474"/>
      <c r="F147" s="474">
        <f>H110</f>
        <v>0.83436730342260246</v>
      </c>
      <c r="G147" s="474"/>
      <c r="H147" s="11"/>
    </row>
    <row r="148" spans="1:8">
      <c r="A148" s="475"/>
      <c r="B148" s="474"/>
      <c r="C148" s="474"/>
      <c r="D148" s="474"/>
      <c r="E148" s="474"/>
      <c r="F148" s="474"/>
      <c r="G148" s="474"/>
      <c r="H148" s="11"/>
    </row>
    <row r="149" spans="1:8">
      <c r="A149" s="475"/>
      <c r="B149" s="474"/>
      <c r="C149" s="474"/>
      <c r="D149" s="474"/>
      <c r="E149" s="474"/>
      <c r="F149" s="474"/>
      <c r="G149" s="474"/>
      <c r="H149" s="11"/>
    </row>
    <row r="150" spans="1:8">
      <c r="A150" s="481" t="s">
        <v>163</v>
      </c>
      <c r="B150" s="482">
        <f>AVERAGE(B136:B143)</f>
        <v>0.90828486287835897</v>
      </c>
      <c r="C150" s="482">
        <f t="shared" ref="C150:G150" si="34">AVERAGE(C136:C143)</f>
        <v>0.85044006307154807</v>
      </c>
      <c r="D150" s="482">
        <f t="shared" si="34"/>
        <v>0.60130720037972663</v>
      </c>
      <c r="E150" s="482">
        <f t="shared" si="34"/>
        <v>0.86367345099732939</v>
      </c>
      <c r="F150" s="482">
        <f t="shared" si="34"/>
        <v>0.96746531241118805</v>
      </c>
      <c r="G150" s="482">
        <f t="shared" si="34"/>
        <v>0.92329663045674604</v>
      </c>
      <c r="H150" s="11"/>
    </row>
    <row r="151" spans="1:8">
      <c r="A151" s="11" t="s">
        <v>164</v>
      </c>
      <c r="B151" s="483">
        <f t="shared" ref="B151:G151" si="35">B150-B135</f>
        <v>9.8284862878358914E-2</v>
      </c>
      <c r="C151" s="483">
        <f t="shared" si="35"/>
        <v>-5.9559936928451962E-2</v>
      </c>
      <c r="D151" s="483">
        <f t="shared" si="35"/>
        <v>-0.20969279962027343</v>
      </c>
      <c r="E151" s="483">
        <f t="shared" si="35"/>
        <v>-3.7326549002670628E-2</v>
      </c>
      <c r="F151" s="483">
        <f t="shared" si="35"/>
        <v>6.6465312411188027E-2</v>
      </c>
      <c r="G151" s="483">
        <f t="shared" si="35"/>
        <v>7.8296630456746064E-2</v>
      </c>
      <c r="H151" s="11"/>
    </row>
    <row r="152" spans="1:8">
      <c r="A152" s="11"/>
      <c r="B152" s="11"/>
      <c r="C152" s="11"/>
      <c r="D152" s="11"/>
      <c r="E152" s="11"/>
      <c r="F152" s="11"/>
      <c r="G152" s="11"/>
      <c r="H152" s="11"/>
    </row>
  </sheetData>
  <mergeCells count="19">
    <mergeCell ref="E26:G26"/>
    <mergeCell ref="H26:J26"/>
    <mergeCell ref="K26:L26"/>
    <mergeCell ref="E112:G112"/>
    <mergeCell ref="H112:J112"/>
    <mergeCell ref="K112:L112"/>
    <mergeCell ref="B2:L3"/>
    <mergeCell ref="E69:G69"/>
    <mergeCell ref="H69:J69"/>
    <mergeCell ref="K69:L69"/>
    <mergeCell ref="E90:G90"/>
    <mergeCell ref="H90:J90"/>
    <mergeCell ref="K90:L90"/>
    <mergeCell ref="E47:G47"/>
    <mergeCell ref="H47:J47"/>
    <mergeCell ref="K47:L47"/>
    <mergeCell ref="E5:G5"/>
    <mergeCell ref="H5:J5"/>
    <mergeCell ref="K5:L5"/>
  </mergeCells>
  <pageMargins left="0.25" right="0.25" top="0.75" bottom="0.75" header="0.3" footer="0.3"/>
  <pageSetup scale="71" fitToHeight="0" orientation="landscape" r:id="rId1"/>
  <rowBreaks count="3" manualBreakCount="3">
    <brk id="46" max="16383" man="1"/>
    <brk id="89" max="16383" man="1"/>
    <brk id="132" max="16" man="1"/>
  </rowBreaks>
  <ignoredErrors>
    <ignoredError sqref="K7 L7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Q99"/>
  <sheetViews>
    <sheetView topLeftCell="A10" zoomScaleNormal="100" zoomScaleSheetLayoutView="80" workbookViewId="0">
      <selection activeCell="A28" sqref="A28:J31"/>
    </sheetView>
  </sheetViews>
  <sheetFormatPr defaultRowHeight="13.2"/>
  <cols>
    <col min="1" max="10" width="9.5546875" customWidth="1"/>
    <col min="11" max="11" width="37.109375" bestFit="1" customWidth="1"/>
    <col min="12" max="12" width="13.109375" customWidth="1"/>
    <col min="13" max="13" width="15.88671875" bestFit="1" customWidth="1"/>
    <col min="14" max="14" width="10.44140625" bestFit="1" customWidth="1"/>
    <col min="15" max="15" width="9.5546875" customWidth="1"/>
    <col min="16" max="16" width="10.33203125" bestFit="1" customWidth="1"/>
    <col min="17" max="22" width="9.5546875" customWidth="1"/>
  </cols>
  <sheetData>
    <row r="1" spans="1:43" ht="15" customHeight="1">
      <c r="A1" s="33" t="s">
        <v>216</v>
      </c>
      <c r="B1" s="34"/>
      <c r="C1" s="34"/>
      <c r="D1" s="34"/>
      <c r="E1" s="34"/>
      <c r="F1" s="34"/>
      <c r="G1" s="34"/>
      <c r="H1" s="34"/>
      <c r="I1" s="34"/>
      <c r="J1" s="34"/>
      <c r="K1" s="34"/>
      <c r="L1" s="34"/>
      <c r="M1" s="34"/>
      <c r="N1" s="11"/>
      <c r="O1" s="60"/>
      <c r="P1" s="54"/>
      <c r="V1" s="60">
        <f>O1</f>
        <v>0</v>
      </c>
    </row>
    <row r="2" spans="1:43" ht="32.25" customHeight="1">
      <c r="A2" s="117"/>
      <c r="B2" s="11"/>
      <c r="C2" s="11"/>
      <c r="D2" s="11"/>
      <c r="E2" s="11"/>
      <c r="F2" s="11"/>
      <c r="G2" s="11"/>
      <c r="H2" s="11"/>
      <c r="I2" s="11"/>
      <c r="J2" s="663" t="s">
        <v>249</v>
      </c>
      <c r="K2" s="663"/>
      <c r="L2" s="663"/>
      <c r="M2" s="663"/>
      <c r="N2" s="663"/>
      <c r="O2" s="663"/>
      <c r="P2" s="663"/>
    </row>
    <row r="3" spans="1:43" ht="15" customHeight="1">
      <c r="A3" s="35" t="s">
        <v>19</v>
      </c>
    </row>
    <row r="4" spans="1:43" ht="15" customHeight="1" thickBot="1">
      <c r="A4" s="10" t="s">
        <v>20</v>
      </c>
      <c r="B4" s="9"/>
      <c r="C4" s="9"/>
      <c r="D4" s="9"/>
      <c r="E4" s="9"/>
      <c r="F4" s="9"/>
      <c r="G4" s="9"/>
      <c r="H4" s="9"/>
      <c r="I4" s="9"/>
      <c r="J4" s="9"/>
      <c r="K4" s="9"/>
      <c r="L4" s="9"/>
      <c r="M4" s="9"/>
      <c r="N4" s="9"/>
      <c r="O4" s="9"/>
      <c r="P4" s="9"/>
      <c r="Q4" s="35" t="s">
        <v>36</v>
      </c>
      <c r="R4" s="35"/>
    </row>
    <row r="5" spans="1:43" ht="15" customHeight="1">
      <c r="A5" s="32"/>
      <c r="B5" s="15"/>
      <c r="C5" s="15"/>
      <c r="D5" s="15"/>
      <c r="E5" s="15"/>
      <c r="F5" s="15"/>
      <c r="G5" s="15"/>
      <c r="H5" s="15"/>
      <c r="I5" s="15"/>
      <c r="J5" s="15"/>
      <c r="K5" s="15"/>
      <c r="L5" s="15"/>
      <c r="M5" s="15"/>
      <c r="N5" s="15"/>
      <c r="O5" s="16"/>
      <c r="P5" s="38"/>
      <c r="Q5" s="39"/>
      <c r="R5" s="39"/>
      <c r="S5" s="39"/>
      <c r="T5" s="39"/>
      <c r="U5" s="39"/>
      <c r="V5" s="40"/>
    </row>
    <row r="6" spans="1:43" ht="15" customHeight="1">
      <c r="A6" s="105"/>
      <c r="B6" s="664" t="s">
        <v>52</v>
      </c>
      <c r="C6" s="665"/>
      <c r="D6" s="665"/>
      <c r="E6" s="665"/>
      <c r="F6" s="665"/>
      <c r="G6" s="665"/>
      <c r="H6" s="665"/>
      <c r="I6" s="665"/>
      <c r="J6" s="665"/>
      <c r="K6" s="665"/>
      <c r="L6" s="665"/>
      <c r="M6" s="665"/>
      <c r="N6" s="665"/>
      <c r="O6" s="666"/>
      <c r="P6" s="664" t="s">
        <v>52</v>
      </c>
      <c r="Q6" s="665"/>
      <c r="R6" s="665"/>
      <c r="S6" s="665"/>
      <c r="T6" s="665"/>
      <c r="U6" s="665"/>
      <c r="V6" s="665"/>
      <c r="W6" s="665"/>
      <c r="X6" s="665"/>
      <c r="Y6" s="665"/>
      <c r="Z6" s="665"/>
      <c r="AA6" s="665"/>
      <c r="AB6" s="665"/>
      <c r="AC6" s="666"/>
    </row>
    <row r="7" spans="1:43" ht="30" customHeight="1">
      <c r="A7" s="104"/>
      <c r="B7" s="667" t="s">
        <v>15</v>
      </c>
      <c r="C7" s="668"/>
      <c r="D7" s="668"/>
      <c r="E7" s="667" t="s">
        <v>11</v>
      </c>
      <c r="F7" s="669"/>
      <c r="G7" s="670"/>
      <c r="H7" s="671" t="s">
        <v>23</v>
      </c>
      <c r="I7" s="672"/>
      <c r="J7" s="673" t="s">
        <v>12</v>
      </c>
      <c r="K7" s="660"/>
      <c r="L7" s="674"/>
      <c r="M7" s="667" t="s">
        <v>16</v>
      </c>
      <c r="N7" s="669"/>
      <c r="O7" s="675"/>
      <c r="P7" s="107"/>
      <c r="Q7" s="676" t="s">
        <v>30</v>
      </c>
      <c r="R7" s="656"/>
      <c r="S7" s="657"/>
      <c r="T7" s="676" t="s">
        <v>46</v>
      </c>
      <c r="U7" s="656"/>
      <c r="V7" s="677"/>
      <c r="AD7" t="s">
        <v>177</v>
      </c>
    </row>
    <row r="8" spans="1:43" ht="57" customHeight="1">
      <c r="A8" s="106" t="s">
        <v>0</v>
      </c>
      <c r="B8" s="30" t="s">
        <v>1</v>
      </c>
      <c r="C8" s="18" t="s">
        <v>27</v>
      </c>
      <c r="D8" s="18"/>
      <c r="E8" s="30" t="s">
        <v>13</v>
      </c>
      <c r="F8" s="30"/>
      <c r="G8" s="22"/>
      <c r="H8" s="30" t="s">
        <v>32</v>
      </c>
      <c r="I8" s="22" t="s">
        <v>17</v>
      </c>
      <c r="J8" s="30" t="s">
        <v>13</v>
      </c>
      <c r="K8" s="46"/>
      <c r="L8" s="18"/>
      <c r="M8" s="30" t="s">
        <v>25</v>
      </c>
      <c r="N8" s="46" t="s">
        <v>244</v>
      </c>
      <c r="O8" s="28" t="s">
        <v>78</v>
      </c>
      <c r="P8" s="106" t="s">
        <v>0</v>
      </c>
      <c r="Q8" s="30" t="s">
        <v>13</v>
      </c>
      <c r="R8" s="46"/>
      <c r="S8" s="18"/>
      <c r="T8" s="30" t="s">
        <v>21</v>
      </c>
      <c r="U8" s="46"/>
      <c r="V8" s="28"/>
      <c r="W8" s="433" t="s">
        <v>172</v>
      </c>
      <c r="X8" s="433" t="s">
        <v>173</v>
      </c>
      <c r="Y8" s="283" t="s">
        <v>174</v>
      </c>
      <c r="Z8" s="283" t="s">
        <v>175</v>
      </c>
      <c r="AA8" s="283" t="s">
        <v>176</v>
      </c>
      <c r="AB8" s="437" t="s">
        <v>185</v>
      </c>
      <c r="AC8" s="437" t="s">
        <v>180</v>
      </c>
      <c r="AD8" s="283" t="s">
        <v>178</v>
      </c>
      <c r="AE8" s="283" t="s">
        <v>172</v>
      </c>
      <c r="AF8" s="283" t="s">
        <v>174</v>
      </c>
      <c r="AG8" s="283" t="s">
        <v>175</v>
      </c>
      <c r="AH8" s="283" t="s">
        <v>176</v>
      </c>
      <c r="AI8" s="437" t="s">
        <v>186</v>
      </c>
      <c r="AJ8" s="437" t="s">
        <v>187</v>
      </c>
      <c r="AK8" s="283" t="s">
        <v>178</v>
      </c>
      <c r="AL8" s="283" t="s">
        <v>171</v>
      </c>
      <c r="AM8" s="283" t="s">
        <v>174</v>
      </c>
      <c r="AN8" s="283" t="s">
        <v>175</v>
      </c>
      <c r="AO8" s="283" t="s">
        <v>176</v>
      </c>
      <c r="AP8" s="437" t="s">
        <v>188</v>
      </c>
      <c r="AQ8" s="437" t="s">
        <v>189</v>
      </c>
    </row>
    <row r="9" spans="1:43" ht="15" customHeight="1">
      <c r="A9" s="108" t="s">
        <v>60</v>
      </c>
      <c r="B9" s="87">
        <v>3</v>
      </c>
      <c r="C9" s="19">
        <v>2</v>
      </c>
      <c r="D9" s="23"/>
      <c r="E9" s="79">
        <f t="shared" ref="E9:E14" si="0">C9/B9</f>
        <v>0.66666666666666663</v>
      </c>
      <c r="F9" s="81"/>
      <c r="G9" s="80"/>
      <c r="H9" s="122">
        <v>8.89458518234017E-2</v>
      </c>
      <c r="I9" s="26">
        <v>3.7999999999999999E-2</v>
      </c>
      <c r="J9" s="79">
        <f t="shared" ref="J9:J14" si="1">(C9/B9)/((1-H9)*(1-I9))</f>
        <v>0.76065807327443502</v>
      </c>
      <c r="K9" s="81"/>
      <c r="L9" s="80"/>
      <c r="M9" s="27">
        <f t="shared" ref="M9:M14" si="2">J9^(1/3)</f>
        <v>0.91284384795657536</v>
      </c>
      <c r="N9" s="47"/>
      <c r="O9" s="29"/>
      <c r="P9" s="108" t="s">
        <v>60</v>
      </c>
      <c r="Q9" s="51">
        <f t="shared" ref="Q9:Q14" si="3">1-J9</f>
        <v>0.23934192672556498</v>
      </c>
      <c r="R9" s="55"/>
      <c r="S9" s="51"/>
      <c r="T9" s="82">
        <f t="shared" ref="T9:T14" si="4">1-M9</f>
        <v>8.715615204342464E-2</v>
      </c>
      <c r="U9" s="83"/>
      <c r="V9" s="84"/>
      <c r="W9" s="283">
        <f>C9</f>
        <v>2</v>
      </c>
      <c r="X9" s="283">
        <f>B9</f>
        <v>3</v>
      </c>
      <c r="Y9" s="283">
        <f>W9/X9</f>
        <v>0.66666666666666663</v>
      </c>
      <c r="Z9" s="283">
        <f t="shared" ref="Z9:Z32" si="5">_xlfn.F.INV(0.05/2, 2*W9, 2*(X9-W9+1))</f>
        <v>0.1041175374539276</v>
      </c>
      <c r="AA9" s="283">
        <f>_xlfn.F.INV(1-0.05/2, 2*(W9+1), 2*(X9-W9))</f>
        <v>39.331457962410241</v>
      </c>
      <c r="AB9" s="436">
        <f>IF(W9=0, 0, 1/(1 +(X9-W9+1)/(W9*Z9)))</f>
        <v>9.4299324050246047E-2</v>
      </c>
      <c r="AC9" s="436">
        <f>IF(W9=X9, 1, 1/(1 + (X9-W9)/(AA9*(W9+1))))</f>
        <v>0.99159624134038737</v>
      </c>
      <c r="AD9" s="283">
        <f>D9</f>
        <v>0</v>
      </c>
      <c r="AE9" s="283">
        <f>C9</f>
        <v>2</v>
      </c>
      <c r="AF9" s="283">
        <f>AD9/AE9</f>
        <v>0</v>
      </c>
      <c r="AG9" s="283" t="e">
        <f t="shared" ref="AG9:AG32" si="6">_xlfn.F.INV(0.05/2, 2*AD9, 2*(AE9-AD9+1))</f>
        <v>#NUM!</v>
      </c>
      <c r="AH9" s="283">
        <f>_xlfn.F.INV(1-0.05/2, 2*(AD9+1), 2*(AE9-AD9))</f>
        <v>10.649110640673511</v>
      </c>
      <c r="AI9" s="436">
        <f>IF(AD9=0, 0, 1/(1 +(AE9-AD9+1)/(AD9*AG9)))</f>
        <v>0</v>
      </c>
      <c r="AJ9" s="436">
        <f>IF(AD9=AE9, 1, 1/(1 + (AE9-AD9)/(AH9*(AD9+1))))</f>
        <v>0.841886116991581</v>
      </c>
      <c r="AK9" s="283">
        <f>C9</f>
        <v>2</v>
      </c>
      <c r="AL9" s="283">
        <f>B9</f>
        <v>3</v>
      </c>
      <c r="AM9" s="283">
        <f>AK9/AL9</f>
        <v>0.66666666666666663</v>
      </c>
      <c r="AN9" s="283">
        <f t="shared" ref="AN9:AN32" si="7">_xlfn.F.INV(0.05/2, 2*AK9, 2*(AL9-AK9+1))</f>
        <v>0.1041175374539276</v>
      </c>
      <c r="AO9" s="283">
        <f>_xlfn.F.INV(1-0.05/2, 2*(AK9+1), 2*(AL9-AK9))</f>
        <v>39.331457962410241</v>
      </c>
      <c r="AP9" s="436">
        <f>IF(AK9=0, 0, 1/(1 +(AL9-AK9+1)/(AK9*AN9)))</f>
        <v>9.4299324050246047E-2</v>
      </c>
      <c r="AQ9" s="436">
        <f>IF(AK9=AL9, 1, 1/(1 + (AL9-AK9)/(AO9*(AK9+1))))</f>
        <v>0.99159624134038737</v>
      </c>
    </row>
    <row r="10" spans="1:43" ht="15" customHeight="1">
      <c r="A10" s="109">
        <v>2003</v>
      </c>
      <c r="B10" s="11">
        <v>33</v>
      </c>
      <c r="C10" s="20">
        <v>25</v>
      </c>
      <c r="D10" s="24"/>
      <c r="E10" s="36">
        <f t="shared" si="0"/>
        <v>0.75757575757575757</v>
      </c>
      <c r="F10" s="47"/>
      <c r="G10" s="26"/>
      <c r="H10" s="122">
        <v>0.10748990899092109</v>
      </c>
      <c r="I10" s="26">
        <v>5.2999999999999999E-2</v>
      </c>
      <c r="J10" s="36">
        <f t="shared" si="1"/>
        <v>0.89631972666518145</v>
      </c>
      <c r="K10" s="47"/>
      <c r="L10" s="26"/>
      <c r="M10" s="27">
        <f t="shared" si="2"/>
        <v>0.96417156268032189</v>
      </c>
      <c r="N10" s="47"/>
      <c r="O10" s="29"/>
      <c r="P10" s="109">
        <v>2003</v>
      </c>
      <c r="Q10" s="27">
        <f t="shared" si="3"/>
        <v>0.10368027333481855</v>
      </c>
      <c r="R10" s="47"/>
      <c r="S10" s="27"/>
      <c r="T10" s="36">
        <f t="shared" si="4"/>
        <v>3.5828437319678108E-2</v>
      </c>
      <c r="U10" s="47"/>
      <c r="V10" s="26"/>
      <c r="W10" s="283">
        <f t="shared" ref="W10:W14" si="8">C10</f>
        <v>25</v>
      </c>
      <c r="X10" s="283">
        <f t="shared" ref="X10:X14" si="9">B10</f>
        <v>33</v>
      </c>
      <c r="Y10" s="283">
        <f t="shared" ref="Y10:Y32" si="10">W10/X10</f>
        <v>0.75757575757575757</v>
      </c>
      <c r="Z10" s="283">
        <f t="shared" si="5"/>
        <v>0.49189091373482979</v>
      </c>
      <c r="AA10" s="283">
        <f t="shared" ref="AA10:AA32" si="11">_xlfn.F.INV(1-0.05/2, 2*(W10+1), 2*(X10-W10))</f>
        <v>2.466227228744593</v>
      </c>
      <c r="AB10" s="436">
        <f t="shared" ref="AB10:AB32" si="12">IF(W10=0, 0, 1/(1 +(X10-W10+1)/(W10*Z10)))</f>
        <v>0.57741068228829817</v>
      </c>
      <c r="AC10" s="436">
        <f t="shared" ref="AC10:AC32" si="13">IF(W10=X10, 1, 1/(1 + (X10-W10)/(AA10*(W10+1))))</f>
        <v>0.88907670044116038</v>
      </c>
      <c r="AD10" s="283">
        <f t="shared" ref="AD10:AD14" si="14">D10</f>
        <v>0</v>
      </c>
      <c r="AE10" s="283">
        <f t="shared" ref="AE10:AE14" si="15">C10</f>
        <v>25</v>
      </c>
      <c r="AF10" s="283">
        <f t="shared" ref="AF10:AF32" si="16">AD10/AE10</f>
        <v>0</v>
      </c>
      <c r="AG10" s="283" t="e">
        <f t="shared" si="6"/>
        <v>#NUM!</v>
      </c>
      <c r="AH10" s="283">
        <f t="shared" ref="AH10:AH32" si="17">_xlfn.F.INV(1-0.05/2, 2*(AD10+1), 2*(AE10-AD10))</f>
        <v>3.9749308601386573</v>
      </c>
      <c r="AI10" s="436">
        <f t="shared" ref="AI10:AI32" si="18">IF(AD10=0, 0, 1/(1 +(AE10-AD10+1)/(AD10*AG10)))</f>
        <v>0</v>
      </c>
      <c r="AJ10" s="436">
        <f t="shared" ref="AJ10:AJ32" si="19">IF(AD10=AE10, 1, 1/(1 + (AE10-AD10)/(AH10*(AD10+1))))</f>
        <v>0.13718517153071252</v>
      </c>
      <c r="AK10" s="283">
        <f t="shared" ref="AK10:AK32" si="20">C10</f>
        <v>25</v>
      </c>
      <c r="AL10" s="283">
        <f t="shared" ref="AL10:AL32" si="21">B10</f>
        <v>33</v>
      </c>
      <c r="AM10" s="283">
        <f t="shared" ref="AM10:AM32" si="22">AK10/AL10</f>
        <v>0.75757575757575757</v>
      </c>
      <c r="AN10" s="283">
        <f t="shared" si="7"/>
        <v>0.49189091373482979</v>
      </c>
      <c r="AO10" s="283">
        <f t="shared" ref="AO10:AO32" si="23">_xlfn.F.INV(1-0.05/2, 2*(AK10+1), 2*(AL10-AK10))</f>
        <v>2.466227228744593</v>
      </c>
      <c r="AP10" s="436">
        <f t="shared" ref="AP10:AP32" si="24">IF(AK10=0, 0, 1/(1 +(AL10-AK10+1)/(AK10*AN10)))</f>
        <v>0.57741068228829817</v>
      </c>
      <c r="AQ10" s="436">
        <f t="shared" ref="AQ10:AQ32" si="25">IF(AK10=AL10, 1, 1/(1 + (AL10-AK10)/(AO10*(AK10+1))))</f>
        <v>0.88907670044116038</v>
      </c>
    </row>
    <row r="11" spans="1:43" ht="15" customHeight="1">
      <c r="A11" s="109">
        <v>2004</v>
      </c>
      <c r="B11" s="11">
        <v>31</v>
      </c>
      <c r="C11" s="20">
        <v>24</v>
      </c>
      <c r="D11" s="24"/>
      <c r="E11" s="36">
        <f t="shared" si="0"/>
        <v>0.77419354838709675</v>
      </c>
      <c r="F11" s="47"/>
      <c r="G11" s="26"/>
      <c r="H11" s="122">
        <v>8.4062801936502091E-2</v>
      </c>
      <c r="I11" s="26">
        <v>4.7E-2</v>
      </c>
      <c r="J11" s="36">
        <f t="shared" si="1"/>
        <v>0.88693327845592462</v>
      </c>
      <c r="K11" s="47"/>
      <c r="L11" s="26"/>
      <c r="M11" s="27">
        <f t="shared" si="2"/>
        <v>0.96079407622645419</v>
      </c>
      <c r="N11" s="47"/>
      <c r="O11" s="29"/>
      <c r="P11" s="109">
        <v>2004</v>
      </c>
      <c r="Q11" s="27">
        <f t="shared" si="3"/>
        <v>0.11306672154407538</v>
      </c>
      <c r="R11" s="47"/>
      <c r="S11" s="27"/>
      <c r="T11" s="36">
        <f t="shared" si="4"/>
        <v>3.9205923773545814E-2</v>
      </c>
      <c r="U11" s="47"/>
      <c r="V11" s="26"/>
      <c r="W11" s="283">
        <f t="shared" si="8"/>
        <v>24</v>
      </c>
      <c r="X11" s="283">
        <f t="shared" si="9"/>
        <v>31</v>
      </c>
      <c r="Y11" s="283">
        <f t="shared" si="10"/>
        <v>0.77419354838709675</v>
      </c>
      <c r="Z11" s="283">
        <f t="shared" si="5"/>
        <v>0.47776798432084494</v>
      </c>
      <c r="AA11" s="283">
        <f t="shared" si="11"/>
        <v>2.6384247638739136</v>
      </c>
      <c r="AB11" s="436">
        <f t="shared" si="12"/>
        <v>0.58903613386132658</v>
      </c>
      <c r="AC11" s="436">
        <f t="shared" si="13"/>
        <v>0.9040578316542488</v>
      </c>
      <c r="AD11" s="283">
        <f t="shared" si="14"/>
        <v>0</v>
      </c>
      <c r="AE11" s="283">
        <f t="shared" si="15"/>
        <v>24</v>
      </c>
      <c r="AF11" s="283">
        <f t="shared" si="16"/>
        <v>0</v>
      </c>
      <c r="AG11" s="283" t="e">
        <f t="shared" si="6"/>
        <v>#NUM!</v>
      </c>
      <c r="AH11" s="283">
        <f t="shared" si="17"/>
        <v>3.9874764628345449</v>
      </c>
      <c r="AI11" s="436">
        <f t="shared" si="18"/>
        <v>0</v>
      </c>
      <c r="AJ11" s="436">
        <f t="shared" si="19"/>
        <v>0.14247359772252569</v>
      </c>
      <c r="AK11" s="283">
        <f t="shared" si="20"/>
        <v>24</v>
      </c>
      <c r="AL11" s="283">
        <f t="shared" si="21"/>
        <v>31</v>
      </c>
      <c r="AM11" s="283">
        <f t="shared" si="22"/>
        <v>0.77419354838709675</v>
      </c>
      <c r="AN11" s="283">
        <f t="shared" si="7"/>
        <v>0.47776798432084494</v>
      </c>
      <c r="AO11" s="283">
        <f t="shared" si="23"/>
        <v>2.6384247638739136</v>
      </c>
      <c r="AP11" s="436">
        <f t="shared" si="24"/>
        <v>0.58903613386132658</v>
      </c>
      <c r="AQ11" s="436">
        <f t="shared" si="25"/>
        <v>0.9040578316542488</v>
      </c>
    </row>
    <row r="12" spans="1:43" ht="15" customHeight="1">
      <c r="A12" s="109">
        <v>2005</v>
      </c>
      <c r="B12" s="11">
        <v>93</v>
      </c>
      <c r="C12" s="20">
        <v>78</v>
      </c>
      <c r="D12" s="24"/>
      <c r="E12" s="36">
        <f t="shared" si="0"/>
        <v>0.83870967741935487</v>
      </c>
      <c r="F12" s="47"/>
      <c r="G12" s="26"/>
      <c r="H12" s="122">
        <v>8.3515218624375678E-2</v>
      </c>
      <c r="I12" s="26">
        <v>4.7E-2</v>
      </c>
      <c r="J12" s="36">
        <f t="shared" si="1"/>
        <v>0.96027029760974691</v>
      </c>
      <c r="K12" s="47"/>
      <c r="L12" s="26"/>
      <c r="M12" s="27">
        <f t="shared" si="2"/>
        <v>0.98657740593703758</v>
      </c>
      <c r="N12" s="47"/>
      <c r="O12" s="29"/>
      <c r="P12" s="109">
        <v>2005</v>
      </c>
      <c r="Q12" s="27">
        <f t="shared" si="3"/>
        <v>3.9729702390253085E-2</v>
      </c>
      <c r="R12" s="47"/>
      <c r="S12" s="27"/>
      <c r="T12" s="36">
        <f t="shared" si="4"/>
        <v>1.3422594062962423E-2</v>
      </c>
      <c r="U12" s="47"/>
      <c r="V12" s="26"/>
      <c r="W12" s="283">
        <f t="shared" si="8"/>
        <v>78</v>
      </c>
      <c r="X12" s="283">
        <f t="shared" si="9"/>
        <v>93</v>
      </c>
      <c r="Y12" s="283">
        <f t="shared" si="10"/>
        <v>0.83870967741935487</v>
      </c>
      <c r="Z12" s="283">
        <f t="shared" si="5"/>
        <v>0.60876195032886093</v>
      </c>
      <c r="AA12" s="283">
        <f t="shared" si="11"/>
        <v>1.8478720916249589</v>
      </c>
      <c r="AB12" s="436">
        <f t="shared" si="12"/>
        <v>0.74796573744892048</v>
      </c>
      <c r="AC12" s="436">
        <f t="shared" si="13"/>
        <v>0.90682182006995904</v>
      </c>
      <c r="AD12" s="283">
        <f t="shared" si="14"/>
        <v>0</v>
      </c>
      <c r="AE12" s="283">
        <f t="shared" si="15"/>
        <v>78</v>
      </c>
      <c r="AF12" s="283">
        <f t="shared" si="16"/>
        <v>0</v>
      </c>
      <c r="AG12" s="283" t="e">
        <f t="shared" si="6"/>
        <v>#NUM!</v>
      </c>
      <c r="AH12" s="283">
        <f t="shared" si="17"/>
        <v>3.7775006850197226</v>
      </c>
      <c r="AI12" s="436">
        <f t="shared" si="18"/>
        <v>0</v>
      </c>
      <c r="AJ12" s="436">
        <f t="shared" si="19"/>
        <v>4.6192420328048711E-2</v>
      </c>
      <c r="AK12" s="283">
        <f t="shared" si="20"/>
        <v>78</v>
      </c>
      <c r="AL12" s="283">
        <f t="shared" si="21"/>
        <v>93</v>
      </c>
      <c r="AM12" s="283">
        <f t="shared" si="22"/>
        <v>0.83870967741935487</v>
      </c>
      <c r="AN12" s="283">
        <f t="shared" si="7"/>
        <v>0.60876195032886093</v>
      </c>
      <c r="AO12" s="283">
        <f t="shared" si="23"/>
        <v>1.8478720916249589</v>
      </c>
      <c r="AP12" s="436">
        <f t="shared" si="24"/>
        <v>0.74796573744892048</v>
      </c>
      <c r="AQ12" s="436">
        <f t="shared" si="25"/>
        <v>0.90682182006995904</v>
      </c>
    </row>
    <row r="13" spans="1:43" ht="15" customHeight="1">
      <c r="A13" s="237">
        <v>2006</v>
      </c>
      <c r="B13" s="11">
        <v>96</v>
      </c>
      <c r="C13" s="20">
        <v>72</v>
      </c>
      <c r="D13" s="24"/>
      <c r="E13" s="36">
        <f t="shared" si="0"/>
        <v>0.75</v>
      </c>
      <c r="F13" s="47"/>
      <c r="G13" s="26"/>
      <c r="H13" s="122">
        <v>0.10617229669730416</v>
      </c>
      <c r="I13" s="26">
        <v>4.7E-2</v>
      </c>
      <c r="J13" s="36">
        <f t="shared" si="1"/>
        <v>0.88046997714962161</v>
      </c>
      <c r="K13" s="47"/>
      <c r="L13" s="26"/>
      <c r="M13" s="27">
        <f t="shared" si="2"/>
        <v>0.95845453634335365</v>
      </c>
      <c r="N13" s="47"/>
      <c r="O13" s="29"/>
      <c r="P13" s="109">
        <v>2006</v>
      </c>
      <c r="Q13" s="27">
        <f t="shared" si="3"/>
        <v>0.11953002285037839</v>
      </c>
      <c r="R13" s="47"/>
      <c r="S13" s="27"/>
      <c r="T13" s="36">
        <f t="shared" si="4"/>
        <v>4.1545463656646353E-2</v>
      </c>
      <c r="U13" s="47"/>
      <c r="V13" s="26"/>
      <c r="W13" s="283">
        <f t="shared" si="8"/>
        <v>72</v>
      </c>
      <c r="X13" s="283">
        <f t="shared" si="9"/>
        <v>96</v>
      </c>
      <c r="Y13" s="283">
        <f t="shared" si="10"/>
        <v>0.75</v>
      </c>
      <c r="Z13" s="283">
        <f t="shared" si="5"/>
        <v>0.64833593132936473</v>
      </c>
      <c r="AA13" s="283">
        <f t="shared" si="11"/>
        <v>1.6374062614153606</v>
      </c>
      <c r="AB13" s="436">
        <f t="shared" si="12"/>
        <v>0.65122858872329037</v>
      </c>
      <c r="AC13" s="436">
        <f t="shared" si="13"/>
        <v>0.83278833604121449</v>
      </c>
      <c r="AD13" s="283">
        <f t="shared" si="14"/>
        <v>0</v>
      </c>
      <c r="AE13" s="283">
        <f t="shared" si="15"/>
        <v>72</v>
      </c>
      <c r="AF13" s="283">
        <f t="shared" si="16"/>
        <v>0</v>
      </c>
      <c r="AG13" s="283" t="e">
        <f t="shared" si="6"/>
        <v>#NUM!</v>
      </c>
      <c r="AH13" s="283">
        <f t="shared" si="17"/>
        <v>3.7850130346519442</v>
      </c>
      <c r="AI13" s="436">
        <f t="shared" si="18"/>
        <v>0</v>
      </c>
      <c r="AJ13" s="436">
        <f t="shared" si="19"/>
        <v>4.9944083705854674E-2</v>
      </c>
      <c r="AK13" s="283">
        <f t="shared" si="20"/>
        <v>72</v>
      </c>
      <c r="AL13" s="283">
        <f t="shared" si="21"/>
        <v>96</v>
      </c>
      <c r="AM13" s="283">
        <f t="shared" si="22"/>
        <v>0.75</v>
      </c>
      <c r="AN13" s="283">
        <f t="shared" si="7"/>
        <v>0.64833593132936473</v>
      </c>
      <c r="AO13" s="283">
        <f t="shared" si="23"/>
        <v>1.6374062614153606</v>
      </c>
      <c r="AP13" s="436">
        <f t="shared" si="24"/>
        <v>0.65122858872329037</v>
      </c>
      <c r="AQ13" s="436">
        <f t="shared" si="25"/>
        <v>0.83278833604121449</v>
      </c>
    </row>
    <row r="14" spans="1:43" ht="15" customHeight="1" thickBot="1">
      <c r="A14" s="237">
        <v>2007</v>
      </c>
      <c r="B14" s="20">
        <v>82</v>
      </c>
      <c r="C14" s="20">
        <v>59</v>
      </c>
      <c r="D14" s="20"/>
      <c r="E14" s="36">
        <f t="shared" si="0"/>
        <v>0.71951219512195119</v>
      </c>
      <c r="F14" s="47"/>
      <c r="G14" s="26"/>
      <c r="H14" s="122">
        <v>9.7412866310849583E-2</v>
      </c>
      <c r="I14" s="27">
        <v>4.7E-2</v>
      </c>
      <c r="J14" s="36">
        <f t="shared" si="1"/>
        <v>0.83648107602113708</v>
      </c>
      <c r="K14" s="47"/>
      <c r="L14" s="26"/>
      <c r="M14" s="27">
        <f t="shared" si="2"/>
        <v>0.94221939586699044</v>
      </c>
      <c r="N14" s="47"/>
      <c r="O14" s="27"/>
      <c r="P14" s="237">
        <v>2007</v>
      </c>
      <c r="Q14" s="27">
        <f t="shared" si="3"/>
        <v>0.16351892397886292</v>
      </c>
      <c r="R14" s="47"/>
      <c r="S14" s="27"/>
      <c r="T14" s="36">
        <f t="shared" si="4"/>
        <v>5.7780604133009561E-2</v>
      </c>
      <c r="U14" s="47"/>
      <c r="V14" s="26"/>
      <c r="W14" s="283">
        <f t="shared" si="8"/>
        <v>59</v>
      </c>
      <c r="X14" s="283">
        <f t="shared" si="9"/>
        <v>82</v>
      </c>
      <c r="Y14" s="283">
        <f t="shared" si="10"/>
        <v>0.71951219512195119</v>
      </c>
      <c r="Z14" s="283">
        <f t="shared" si="5"/>
        <v>0.63469053482391824</v>
      </c>
      <c r="AA14" s="283">
        <f t="shared" si="11"/>
        <v>1.6684648484788491</v>
      </c>
      <c r="AB14" s="436">
        <f t="shared" si="12"/>
        <v>0.60941785694738826</v>
      </c>
      <c r="AC14" s="436">
        <f t="shared" si="13"/>
        <v>0.813172008469777</v>
      </c>
      <c r="AD14" s="283">
        <f t="shared" si="14"/>
        <v>0</v>
      </c>
      <c r="AE14" s="283">
        <f t="shared" si="15"/>
        <v>59</v>
      </c>
      <c r="AF14" s="283">
        <f t="shared" si="16"/>
        <v>0</v>
      </c>
      <c r="AG14" s="283" t="e">
        <f t="shared" si="6"/>
        <v>#NUM!</v>
      </c>
      <c r="AH14" s="283">
        <f t="shared" si="17"/>
        <v>3.8066415145807229</v>
      </c>
      <c r="AI14" s="436">
        <f t="shared" si="18"/>
        <v>0</v>
      </c>
      <c r="AJ14" s="436">
        <f t="shared" si="19"/>
        <v>6.0608900950339793E-2</v>
      </c>
      <c r="AK14" s="283">
        <f t="shared" si="20"/>
        <v>59</v>
      </c>
      <c r="AL14" s="283">
        <f t="shared" si="21"/>
        <v>82</v>
      </c>
      <c r="AM14" s="283">
        <f t="shared" si="22"/>
        <v>0.71951219512195119</v>
      </c>
      <c r="AN14" s="283">
        <f t="shared" si="7"/>
        <v>0.63469053482391824</v>
      </c>
      <c r="AO14" s="283">
        <f t="shared" si="23"/>
        <v>1.6684648484788491</v>
      </c>
      <c r="AP14" s="436">
        <f t="shared" si="24"/>
        <v>0.60941785694738826</v>
      </c>
      <c r="AQ14" s="436">
        <f t="shared" si="25"/>
        <v>0.813172008469777</v>
      </c>
    </row>
    <row r="15" spans="1:43" ht="15" customHeight="1" thickBot="1">
      <c r="A15" s="215" t="s">
        <v>81</v>
      </c>
      <c r="B15" s="160" t="s">
        <v>217</v>
      </c>
      <c r="C15" s="160"/>
      <c r="D15" s="160"/>
      <c r="E15" s="161">
        <f>AVERAGE(E9:E14)</f>
        <v>0.75110964086180454</v>
      </c>
      <c r="F15" s="238"/>
      <c r="G15" s="239"/>
      <c r="H15" s="161">
        <f>AVERAGE(H9:H14)</f>
        <v>9.4599824063892377E-2</v>
      </c>
      <c r="I15" s="161">
        <f>AVERAGE(I9:I14)</f>
        <v>4.6499999999999993E-2</v>
      </c>
      <c r="J15" s="161">
        <f>AVERAGE(J9:J14)</f>
        <v>0.87018873819600773</v>
      </c>
      <c r="K15" s="238"/>
      <c r="L15" s="239"/>
      <c r="M15" s="161">
        <f>AVERAGE(M9:M14)</f>
        <v>0.95417680416845541</v>
      </c>
      <c r="N15" s="238"/>
      <c r="O15" s="240"/>
      <c r="P15" s="262" t="s">
        <v>81</v>
      </c>
      <c r="Q15" s="161">
        <f>AVERAGE(Q9:Q14)</f>
        <v>0.12981126180399222</v>
      </c>
      <c r="R15" s="238"/>
      <c r="S15" s="240"/>
      <c r="T15" s="161">
        <f>AVERAGE(T9:T14)</f>
        <v>4.5823195831544483E-2</v>
      </c>
      <c r="U15" s="238"/>
      <c r="V15" s="260"/>
      <c r="W15" s="283"/>
      <c r="X15" s="283"/>
      <c r="Y15" s="283"/>
      <c r="Z15" s="283"/>
      <c r="AA15" s="283"/>
      <c r="AB15" s="436"/>
      <c r="AC15" s="436"/>
      <c r="AD15" s="283"/>
      <c r="AE15" s="283"/>
      <c r="AF15" s="283"/>
      <c r="AG15" s="283"/>
      <c r="AH15" s="283"/>
      <c r="AI15" s="436"/>
      <c r="AJ15" s="436"/>
      <c r="AK15" s="283"/>
      <c r="AL15" s="283"/>
      <c r="AM15" s="283"/>
      <c r="AN15" s="283"/>
      <c r="AO15" s="283"/>
      <c r="AP15" s="436"/>
      <c r="AQ15" s="436"/>
    </row>
    <row r="16" spans="1:43" ht="15" customHeight="1">
      <c r="A16" s="237">
        <v>2008</v>
      </c>
      <c r="B16" s="123">
        <v>542</v>
      </c>
      <c r="C16" s="123">
        <v>436</v>
      </c>
      <c r="D16" s="65"/>
      <c r="E16" s="61">
        <f t="shared" ref="E16:E31" si="26">C16/B16</f>
        <v>0.80442804428044279</v>
      </c>
      <c r="F16" s="62"/>
      <c r="G16" s="64"/>
      <c r="H16" s="129">
        <v>0.13195500689752751</v>
      </c>
      <c r="I16" s="27">
        <v>4.7E-2</v>
      </c>
      <c r="J16" s="61">
        <f t="shared" ref="J16:J31" si="27">(C16/B16)/((1-H16)*(1-I16))</f>
        <v>0.97241593200132392</v>
      </c>
      <c r="K16" s="62"/>
      <c r="L16" s="64"/>
      <c r="M16" s="63">
        <f t="shared" ref="M16:M27" si="28">J16^(1/3)</f>
        <v>0.99071944847083959</v>
      </c>
      <c r="N16" s="62">
        <f>M16^2</f>
        <v>0.98152502557836463</v>
      </c>
      <c r="O16" s="63">
        <f>M16^3</f>
        <v>0.97241593200132415</v>
      </c>
      <c r="P16" s="109">
        <v>2008</v>
      </c>
      <c r="Q16" s="27">
        <f t="shared" ref="Q16:Q27" si="29">1-J16</f>
        <v>2.7584067998676076E-2</v>
      </c>
      <c r="R16" s="47"/>
      <c r="S16" s="27"/>
      <c r="T16" s="36">
        <f t="shared" ref="T16:T27" si="30">1-M16</f>
        <v>9.2805515291604079E-3</v>
      </c>
      <c r="U16" s="47"/>
      <c r="V16" s="26"/>
      <c r="W16" s="283">
        <f t="shared" ref="W16:W32" si="31">C16</f>
        <v>436</v>
      </c>
      <c r="X16" s="283">
        <f t="shared" ref="X16:X32" si="32">B16</f>
        <v>542</v>
      </c>
      <c r="Y16" s="283">
        <f t="shared" si="10"/>
        <v>0.80442804428044279</v>
      </c>
      <c r="Z16" s="283">
        <f t="shared" si="5"/>
        <v>0.81463760327823243</v>
      </c>
      <c r="AA16" s="283">
        <f t="shared" si="11"/>
        <v>1.2456176362360347</v>
      </c>
      <c r="AB16" s="436">
        <f t="shared" si="12"/>
        <v>0.76848946702648036</v>
      </c>
      <c r="AC16" s="436">
        <f t="shared" si="13"/>
        <v>0.83700705766625672</v>
      </c>
      <c r="AD16" s="283">
        <f t="shared" ref="AD16:AD32" si="33">D16</f>
        <v>0</v>
      </c>
      <c r="AE16" s="283">
        <f t="shared" ref="AE16:AE32" si="34">C16</f>
        <v>436</v>
      </c>
      <c r="AF16" s="283">
        <f t="shared" si="16"/>
        <v>0</v>
      </c>
      <c r="AG16" s="283" t="e">
        <f t="shared" si="6"/>
        <v>#NUM!</v>
      </c>
      <c r="AH16" s="283">
        <f t="shared" si="17"/>
        <v>3.7045288696511256</v>
      </c>
      <c r="AI16" s="436">
        <f t="shared" si="18"/>
        <v>0</v>
      </c>
      <c r="AJ16" s="436">
        <f t="shared" si="19"/>
        <v>8.4250414230991923E-3</v>
      </c>
      <c r="AK16" s="283">
        <f t="shared" si="20"/>
        <v>436</v>
      </c>
      <c r="AL16" s="283">
        <f t="shared" si="21"/>
        <v>542</v>
      </c>
      <c r="AM16" s="283">
        <f t="shared" si="22"/>
        <v>0.80442804428044279</v>
      </c>
      <c r="AN16" s="283">
        <f t="shared" si="7"/>
        <v>0.81463760327823243</v>
      </c>
      <c r="AO16" s="283">
        <f t="shared" si="23"/>
        <v>1.2456176362360347</v>
      </c>
      <c r="AP16" s="436">
        <f t="shared" si="24"/>
        <v>0.76848946702648036</v>
      </c>
      <c r="AQ16" s="436">
        <f t="shared" si="25"/>
        <v>0.83700705766625672</v>
      </c>
    </row>
    <row r="17" spans="1:43" ht="15" customHeight="1">
      <c r="A17" s="143">
        <v>2009</v>
      </c>
      <c r="B17" s="123">
        <v>819</v>
      </c>
      <c r="C17" s="123">
        <v>631</v>
      </c>
      <c r="D17" s="65"/>
      <c r="E17" s="63">
        <f t="shared" si="26"/>
        <v>0.77045177045177049</v>
      </c>
      <c r="F17" s="62"/>
      <c r="G17" s="63"/>
      <c r="H17" s="129">
        <v>0.13329646864658393</v>
      </c>
      <c r="I17" s="27">
        <v>4.7E-2</v>
      </c>
      <c r="J17" s="61">
        <f t="shared" si="27"/>
        <v>0.93278593886449801</v>
      </c>
      <c r="K17" s="62"/>
      <c r="L17" s="63"/>
      <c r="M17" s="63">
        <f t="shared" si="28"/>
        <v>0.97707371521704744</v>
      </c>
      <c r="N17" s="62">
        <f t="shared" ref="N17:N25" si="35">M17^2</f>
        <v>0.95467304496804395</v>
      </c>
      <c r="O17" s="63">
        <f t="shared" ref="O17:O25" si="36">M17^3</f>
        <v>0.93278593886449812</v>
      </c>
      <c r="P17" s="273">
        <v>2009</v>
      </c>
      <c r="Q17" s="27">
        <f t="shared" si="29"/>
        <v>6.721406113550199E-2</v>
      </c>
      <c r="R17" s="47"/>
      <c r="S17" s="27"/>
      <c r="T17" s="36">
        <f t="shared" si="30"/>
        <v>2.2926284782952555E-2</v>
      </c>
      <c r="U17" s="47"/>
      <c r="V17" s="27"/>
      <c r="W17" s="283">
        <f t="shared" si="31"/>
        <v>631</v>
      </c>
      <c r="X17" s="283">
        <f t="shared" si="32"/>
        <v>819</v>
      </c>
      <c r="Y17" s="283">
        <f t="shared" si="10"/>
        <v>0.77045177045177049</v>
      </c>
      <c r="Z17" s="283">
        <f t="shared" si="5"/>
        <v>0.85291142377145002</v>
      </c>
      <c r="AA17" s="283">
        <f t="shared" si="11"/>
        <v>1.1813551336345698</v>
      </c>
      <c r="AB17" s="436">
        <f t="shared" si="12"/>
        <v>0.74009440236653135</v>
      </c>
      <c r="AC17" s="436">
        <f t="shared" si="13"/>
        <v>0.79884796472930042</v>
      </c>
      <c r="AD17" s="283">
        <f t="shared" si="33"/>
        <v>0</v>
      </c>
      <c r="AE17" s="283">
        <f t="shared" si="34"/>
        <v>631</v>
      </c>
      <c r="AF17" s="283">
        <f t="shared" si="16"/>
        <v>0</v>
      </c>
      <c r="AG17" s="283" t="e">
        <f t="shared" si="6"/>
        <v>#NUM!</v>
      </c>
      <c r="AH17" s="283">
        <f t="shared" si="17"/>
        <v>3.6996832480445541</v>
      </c>
      <c r="AI17" s="436">
        <f t="shared" si="18"/>
        <v>0</v>
      </c>
      <c r="AJ17" s="436">
        <f t="shared" si="19"/>
        <v>5.8290296114716905E-3</v>
      </c>
      <c r="AK17" s="283">
        <f t="shared" si="20"/>
        <v>631</v>
      </c>
      <c r="AL17" s="283">
        <f t="shared" si="21"/>
        <v>819</v>
      </c>
      <c r="AM17" s="283">
        <f t="shared" si="22"/>
        <v>0.77045177045177049</v>
      </c>
      <c r="AN17" s="283">
        <f t="shared" si="7"/>
        <v>0.85291142377145002</v>
      </c>
      <c r="AO17" s="283">
        <f t="shared" si="23"/>
        <v>1.1813551336345698</v>
      </c>
      <c r="AP17" s="436">
        <f t="shared" si="24"/>
        <v>0.74009440236653135</v>
      </c>
      <c r="AQ17" s="436">
        <f t="shared" si="25"/>
        <v>0.79884796472930042</v>
      </c>
    </row>
    <row r="18" spans="1:43" ht="15" customHeight="1">
      <c r="A18" s="273">
        <v>2010</v>
      </c>
      <c r="B18" s="119">
        <v>581</v>
      </c>
      <c r="C18" s="119">
        <v>480</v>
      </c>
      <c r="D18" s="20"/>
      <c r="E18" s="36">
        <f t="shared" si="26"/>
        <v>0.82616179001721168</v>
      </c>
      <c r="F18" s="47"/>
      <c r="G18" s="27"/>
      <c r="H18" s="289">
        <v>0.12625279419018334</v>
      </c>
      <c r="I18" s="27">
        <v>4.7E-2</v>
      </c>
      <c r="J18" s="36">
        <f t="shared" si="27"/>
        <v>0.99217071551131208</v>
      </c>
      <c r="K18" s="47"/>
      <c r="L18" s="27"/>
      <c r="M18" s="27">
        <f t="shared" si="28"/>
        <v>0.99738339786867225</v>
      </c>
      <c r="N18" s="62">
        <f t="shared" si="35"/>
        <v>0.99477364234405818</v>
      </c>
      <c r="O18" s="63">
        <f t="shared" si="36"/>
        <v>0.99217071551131208</v>
      </c>
      <c r="P18" s="273">
        <v>2010</v>
      </c>
      <c r="Q18" s="14">
        <f t="shared" si="29"/>
        <v>7.8292844886879154E-3</v>
      </c>
      <c r="R18" s="50"/>
      <c r="S18" s="14"/>
      <c r="T18" s="13">
        <f t="shared" si="30"/>
        <v>2.6166021313277499E-3</v>
      </c>
      <c r="U18" s="50"/>
      <c r="V18" s="14"/>
      <c r="W18" s="283">
        <f t="shared" si="31"/>
        <v>480</v>
      </c>
      <c r="X18" s="283">
        <f t="shared" si="32"/>
        <v>581</v>
      </c>
      <c r="Y18" s="283">
        <f t="shared" si="10"/>
        <v>0.82616179001721168</v>
      </c>
      <c r="Z18" s="283">
        <f t="shared" si="5"/>
        <v>0.81332262335633643</v>
      </c>
      <c r="AA18" s="283">
        <f t="shared" si="11"/>
        <v>1.2493727563053094</v>
      </c>
      <c r="AB18" s="436">
        <f t="shared" si="12"/>
        <v>0.79284917766315954</v>
      </c>
      <c r="AC18" s="436">
        <f t="shared" si="13"/>
        <v>0.85611475858437858</v>
      </c>
      <c r="AD18" s="283">
        <f t="shared" si="33"/>
        <v>0</v>
      </c>
      <c r="AE18" s="283">
        <f t="shared" si="34"/>
        <v>480</v>
      </c>
      <c r="AF18" s="283">
        <f t="shared" si="16"/>
        <v>0</v>
      </c>
      <c r="AG18" s="283" t="e">
        <f t="shared" si="6"/>
        <v>#NUM!</v>
      </c>
      <c r="AH18" s="283">
        <f t="shared" si="17"/>
        <v>3.7030906605564029</v>
      </c>
      <c r="AI18" s="436">
        <f t="shared" si="18"/>
        <v>0</v>
      </c>
      <c r="AJ18" s="436">
        <f t="shared" si="19"/>
        <v>7.6557101495865459E-3</v>
      </c>
      <c r="AK18" s="283">
        <f t="shared" si="20"/>
        <v>480</v>
      </c>
      <c r="AL18" s="283">
        <f t="shared" si="21"/>
        <v>581</v>
      </c>
      <c r="AM18" s="283">
        <f t="shared" si="22"/>
        <v>0.82616179001721168</v>
      </c>
      <c r="AN18" s="283">
        <f t="shared" si="7"/>
        <v>0.81332262335633643</v>
      </c>
      <c r="AO18" s="283">
        <f t="shared" si="23"/>
        <v>1.2493727563053094</v>
      </c>
      <c r="AP18" s="436">
        <f t="shared" si="24"/>
        <v>0.79284917766315954</v>
      </c>
      <c r="AQ18" s="436">
        <f t="shared" si="25"/>
        <v>0.85611475858437858</v>
      </c>
    </row>
    <row r="19" spans="1:43" ht="15" customHeight="1">
      <c r="A19" s="273">
        <v>2011</v>
      </c>
      <c r="B19" s="119">
        <v>662</v>
      </c>
      <c r="C19" s="119">
        <v>531</v>
      </c>
      <c r="D19" s="20"/>
      <c r="E19" s="36">
        <f t="shared" si="26"/>
        <v>0.80211480362537768</v>
      </c>
      <c r="F19" s="47"/>
      <c r="G19" s="27"/>
      <c r="H19" s="289">
        <v>0.1025537774448709</v>
      </c>
      <c r="I19" s="27">
        <v>4.7E-2</v>
      </c>
      <c r="J19" s="36">
        <f t="shared" si="27"/>
        <v>0.93785391804744533</v>
      </c>
      <c r="K19" s="47"/>
      <c r="L19" s="27"/>
      <c r="M19" s="27">
        <f t="shared" si="28"/>
        <v>0.97884005411398545</v>
      </c>
      <c r="N19" s="62">
        <f t="shared" si="35"/>
        <v>0.95812785153786995</v>
      </c>
      <c r="O19" s="63">
        <f t="shared" si="36"/>
        <v>0.93785391804744522</v>
      </c>
      <c r="P19" s="273">
        <v>2011</v>
      </c>
      <c r="Q19" s="14">
        <f t="shared" si="29"/>
        <v>6.2146081952554666E-2</v>
      </c>
      <c r="R19" s="50"/>
      <c r="S19" s="14"/>
      <c r="T19" s="13">
        <f t="shared" si="30"/>
        <v>2.1159945886014553E-2</v>
      </c>
      <c r="U19" s="50"/>
      <c r="V19" s="14"/>
      <c r="W19" s="283">
        <f t="shared" si="31"/>
        <v>531</v>
      </c>
      <c r="X19" s="283">
        <f t="shared" si="32"/>
        <v>662</v>
      </c>
      <c r="Y19" s="283">
        <f t="shared" si="10"/>
        <v>0.80211480362537768</v>
      </c>
      <c r="Z19" s="283">
        <f t="shared" si="5"/>
        <v>0.83077949256272865</v>
      </c>
      <c r="AA19" s="283">
        <f t="shared" si="11"/>
        <v>1.2178782109189177</v>
      </c>
      <c r="AB19" s="436">
        <f t="shared" si="12"/>
        <v>0.76969135051414228</v>
      </c>
      <c r="AC19" s="436">
        <f t="shared" si="13"/>
        <v>0.83181651692849623</v>
      </c>
      <c r="AD19" s="283">
        <f t="shared" si="33"/>
        <v>0</v>
      </c>
      <c r="AE19" s="283">
        <f t="shared" si="34"/>
        <v>531</v>
      </c>
      <c r="AF19" s="283">
        <f t="shared" si="16"/>
        <v>0</v>
      </c>
      <c r="AG19" s="283" t="e">
        <f t="shared" si="6"/>
        <v>#NUM!</v>
      </c>
      <c r="AH19" s="283">
        <f t="shared" si="17"/>
        <v>3.7017225782427388</v>
      </c>
      <c r="AI19" s="436">
        <f t="shared" si="18"/>
        <v>0</v>
      </c>
      <c r="AJ19" s="436">
        <f t="shared" si="19"/>
        <v>6.9229673702819738E-3</v>
      </c>
      <c r="AK19" s="283">
        <f t="shared" si="20"/>
        <v>531</v>
      </c>
      <c r="AL19" s="283">
        <f t="shared" si="21"/>
        <v>662</v>
      </c>
      <c r="AM19" s="283">
        <f t="shared" si="22"/>
        <v>0.80211480362537768</v>
      </c>
      <c r="AN19" s="283">
        <f t="shared" si="7"/>
        <v>0.83077949256272865</v>
      </c>
      <c r="AO19" s="283">
        <f t="shared" si="23"/>
        <v>1.2178782109189177</v>
      </c>
      <c r="AP19" s="436">
        <f t="shared" si="24"/>
        <v>0.76969135051414228</v>
      </c>
      <c r="AQ19" s="436">
        <f t="shared" si="25"/>
        <v>0.83181651692849623</v>
      </c>
    </row>
    <row r="20" spans="1:43" ht="15" customHeight="1">
      <c r="A20" s="273">
        <v>2012</v>
      </c>
      <c r="B20" s="119">
        <v>399</v>
      </c>
      <c r="C20" s="119">
        <v>334</v>
      </c>
      <c r="D20" s="20"/>
      <c r="E20" s="36">
        <f t="shared" si="26"/>
        <v>0.83709273182957389</v>
      </c>
      <c r="F20" s="47"/>
      <c r="G20" s="27"/>
      <c r="H20" s="289">
        <v>0.14476227729842581</v>
      </c>
      <c r="I20" s="27">
        <v>4.7E-2</v>
      </c>
      <c r="J20" s="36">
        <f t="shared" si="27"/>
        <v>1.0270552858343898</v>
      </c>
      <c r="K20" s="47"/>
      <c r="L20" s="27"/>
      <c r="M20" s="27">
        <f t="shared" si="28"/>
        <v>1.0089382974145158</v>
      </c>
      <c r="N20" s="62">
        <f t="shared" si="35"/>
        <v>1.0179564879897018</v>
      </c>
      <c r="O20" s="63">
        <f t="shared" si="36"/>
        <v>1.0270552858343898</v>
      </c>
      <c r="P20" s="273">
        <v>2012</v>
      </c>
      <c r="Q20" s="14">
        <f t="shared" si="29"/>
        <v>-2.7055285834389764E-2</v>
      </c>
      <c r="R20" s="50"/>
      <c r="S20" s="14"/>
      <c r="T20" s="13">
        <f t="shared" si="30"/>
        <v>-8.9382974145157945E-3</v>
      </c>
      <c r="U20" s="50"/>
      <c r="V20" s="14"/>
      <c r="W20" s="283">
        <f t="shared" si="31"/>
        <v>334</v>
      </c>
      <c r="X20" s="283">
        <f t="shared" si="32"/>
        <v>399</v>
      </c>
      <c r="Y20" s="283">
        <f t="shared" si="10"/>
        <v>0.83709273182957389</v>
      </c>
      <c r="Z20" s="283">
        <f t="shared" si="5"/>
        <v>0.77643968658571294</v>
      </c>
      <c r="AA20" s="283">
        <f t="shared" si="11"/>
        <v>1.3214055287839088</v>
      </c>
      <c r="AB20" s="436">
        <f t="shared" si="12"/>
        <v>0.79712960230852714</v>
      </c>
      <c r="AC20" s="436">
        <f t="shared" si="13"/>
        <v>0.87196428606119603</v>
      </c>
      <c r="AD20" s="283">
        <f t="shared" si="33"/>
        <v>0</v>
      </c>
      <c r="AE20" s="283">
        <f t="shared" si="34"/>
        <v>334</v>
      </c>
      <c r="AF20" s="283">
        <f t="shared" si="16"/>
        <v>0</v>
      </c>
      <c r="AG20" s="283" t="e">
        <f t="shared" si="6"/>
        <v>#NUM!</v>
      </c>
      <c r="AH20" s="283">
        <f t="shared" si="17"/>
        <v>3.7093256632675766</v>
      </c>
      <c r="AI20" s="436">
        <f t="shared" si="18"/>
        <v>0</v>
      </c>
      <c r="AJ20" s="436">
        <f t="shared" si="19"/>
        <v>1.0983782150470349E-2</v>
      </c>
      <c r="AK20" s="283">
        <f t="shared" si="20"/>
        <v>334</v>
      </c>
      <c r="AL20" s="283">
        <f t="shared" si="21"/>
        <v>399</v>
      </c>
      <c r="AM20" s="283">
        <f t="shared" si="22"/>
        <v>0.83709273182957389</v>
      </c>
      <c r="AN20" s="283">
        <f t="shared" si="7"/>
        <v>0.77643968658571294</v>
      </c>
      <c r="AO20" s="283">
        <f t="shared" si="23"/>
        <v>1.3214055287839088</v>
      </c>
      <c r="AP20" s="436">
        <f t="shared" si="24"/>
        <v>0.79712960230852714</v>
      </c>
      <c r="AQ20" s="436">
        <f t="shared" si="25"/>
        <v>0.87196428606119603</v>
      </c>
    </row>
    <row r="21" spans="1:43" ht="15" customHeight="1">
      <c r="A21" s="273">
        <v>2013</v>
      </c>
      <c r="B21" s="119">
        <v>326</v>
      </c>
      <c r="C21" s="119">
        <v>236</v>
      </c>
      <c r="D21" s="20"/>
      <c r="E21" s="36">
        <f t="shared" si="26"/>
        <v>0.7239263803680982</v>
      </c>
      <c r="F21" s="47"/>
      <c r="G21" s="27"/>
      <c r="H21" s="289">
        <v>0.14202185428995723</v>
      </c>
      <c r="I21" s="27">
        <v>4.7E-2</v>
      </c>
      <c r="J21" s="36">
        <f t="shared" si="27"/>
        <v>0.88537096705007323</v>
      </c>
      <c r="K21" s="47"/>
      <c r="L21" s="27"/>
      <c r="M21" s="27">
        <f t="shared" si="28"/>
        <v>0.96022960619474651</v>
      </c>
      <c r="N21" s="62">
        <f t="shared" si="35"/>
        <v>0.92204089661291799</v>
      </c>
      <c r="O21" s="63">
        <f t="shared" si="36"/>
        <v>0.88537096705007323</v>
      </c>
      <c r="P21" s="273">
        <v>2013</v>
      </c>
      <c r="Q21" s="14">
        <f t="shared" si="29"/>
        <v>0.11462903294992677</v>
      </c>
      <c r="R21" s="50"/>
      <c r="S21" s="14"/>
      <c r="T21" s="13">
        <f t="shared" si="30"/>
        <v>3.977039380525349E-2</v>
      </c>
      <c r="U21" s="50"/>
      <c r="V21" s="14"/>
      <c r="W21" s="283">
        <f t="shared" si="31"/>
        <v>236</v>
      </c>
      <c r="X21" s="283">
        <f t="shared" si="32"/>
        <v>326</v>
      </c>
      <c r="Y21" s="283">
        <f t="shared" si="10"/>
        <v>0.7239263803680982</v>
      </c>
      <c r="Z21" s="283">
        <f t="shared" si="5"/>
        <v>0.78989722527088357</v>
      </c>
      <c r="AA21" s="283">
        <f t="shared" si="11"/>
        <v>1.2840503289980256</v>
      </c>
      <c r="AB21" s="436">
        <f t="shared" si="12"/>
        <v>0.67197247601708066</v>
      </c>
      <c r="AC21" s="436">
        <f t="shared" si="13"/>
        <v>0.77175893578914101</v>
      </c>
      <c r="AD21" s="283">
        <f t="shared" si="33"/>
        <v>0</v>
      </c>
      <c r="AE21" s="283">
        <f t="shared" si="34"/>
        <v>236</v>
      </c>
      <c r="AF21" s="283">
        <f t="shared" si="16"/>
        <v>0</v>
      </c>
      <c r="AG21" s="283" t="e">
        <f t="shared" si="6"/>
        <v>#NUM!</v>
      </c>
      <c r="AH21" s="283">
        <f t="shared" si="17"/>
        <v>3.7178604079082151</v>
      </c>
      <c r="AI21" s="436">
        <f t="shared" si="18"/>
        <v>0</v>
      </c>
      <c r="AJ21" s="436">
        <f t="shared" si="19"/>
        <v>1.5509317501757431E-2</v>
      </c>
      <c r="AK21" s="283">
        <f t="shared" si="20"/>
        <v>236</v>
      </c>
      <c r="AL21" s="283">
        <f t="shared" si="21"/>
        <v>326</v>
      </c>
      <c r="AM21" s="283">
        <f t="shared" si="22"/>
        <v>0.7239263803680982</v>
      </c>
      <c r="AN21" s="283">
        <f t="shared" si="7"/>
        <v>0.78989722527088357</v>
      </c>
      <c r="AO21" s="283">
        <f t="shared" si="23"/>
        <v>1.2840503289980256</v>
      </c>
      <c r="AP21" s="436">
        <f t="shared" si="24"/>
        <v>0.67197247601708066</v>
      </c>
      <c r="AQ21" s="436">
        <f t="shared" si="25"/>
        <v>0.77175893578914101</v>
      </c>
    </row>
    <row r="22" spans="1:43" ht="15" customHeight="1">
      <c r="A22" s="273">
        <v>2014</v>
      </c>
      <c r="B22" s="119">
        <v>517</v>
      </c>
      <c r="C22" s="119">
        <v>409</v>
      </c>
      <c r="D22" s="20"/>
      <c r="E22" s="36">
        <f t="shared" si="26"/>
        <v>0.79110251450676983</v>
      </c>
      <c r="F22" s="47"/>
      <c r="G22" s="27"/>
      <c r="H22" s="289">
        <v>0.14226839026391092</v>
      </c>
      <c r="I22" s="27">
        <v>4.7E-2</v>
      </c>
      <c r="J22" s="36">
        <f t="shared" si="27"/>
        <v>0.96780630918598642</v>
      </c>
      <c r="K22" s="47"/>
      <c r="L22" s="27"/>
      <c r="M22" s="27">
        <f t="shared" si="28"/>
        <v>0.98915150548117436</v>
      </c>
      <c r="N22" s="62">
        <f t="shared" si="35"/>
        <v>0.97842070079567367</v>
      </c>
      <c r="O22" s="63">
        <f t="shared" si="36"/>
        <v>0.96780630918598631</v>
      </c>
      <c r="P22" s="273">
        <v>2014</v>
      </c>
      <c r="Q22" s="14">
        <f t="shared" si="29"/>
        <v>3.2193690814013576E-2</v>
      </c>
      <c r="R22" s="50"/>
      <c r="S22" s="14"/>
      <c r="T22" s="13">
        <f t="shared" si="30"/>
        <v>1.0848494518825635E-2</v>
      </c>
      <c r="U22" s="50"/>
      <c r="V22" s="14"/>
      <c r="W22" s="283">
        <f t="shared" si="31"/>
        <v>409</v>
      </c>
      <c r="X22" s="283">
        <f t="shared" si="32"/>
        <v>517</v>
      </c>
      <c r="Y22" s="283">
        <f t="shared" si="10"/>
        <v>0.79110251450676983</v>
      </c>
      <c r="Z22" s="283">
        <f t="shared" si="5"/>
        <v>0.81453687689916299</v>
      </c>
      <c r="AA22" s="283">
        <f t="shared" si="11"/>
        <v>1.2449394058630407</v>
      </c>
      <c r="AB22" s="436">
        <f t="shared" si="12"/>
        <v>0.75347486376257555</v>
      </c>
      <c r="AC22" s="436">
        <f t="shared" si="13"/>
        <v>0.82536286099999234</v>
      </c>
      <c r="AD22" s="283">
        <f t="shared" si="33"/>
        <v>0</v>
      </c>
      <c r="AE22" s="283">
        <f t="shared" si="34"/>
        <v>409</v>
      </c>
      <c r="AF22" s="283">
        <f t="shared" si="16"/>
        <v>0</v>
      </c>
      <c r="AG22" s="283" t="e">
        <f t="shared" si="6"/>
        <v>#NUM!</v>
      </c>
      <c r="AH22" s="283">
        <f t="shared" si="17"/>
        <v>3.7055650713764878</v>
      </c>
      <c r="AI22" s="436">
        <f t="shared" si="18"/>
        <v>0</v>
      </c>
      <c r="AJ22" s="436">
        <f t="shared" si="19"/>
        <v>8.9787136035726078E-3</v>
      </c>
      <c r="AK22" s="283">
        <f t="shared" si="20"/>
        <v>409</v>
      </c>
      <c r="AL22" s="283">
        <f t="shared" si="21"/>
        <v>517</v>
      </c>
      <c r="AM22" s="283">
        <f t="shared" si="22"/>
        <v>0.79110251450676983</v>
      </c>
      <c r="AN22" s="283">
        <f t="shared" si="7"/>
        <v>0.81453687689916299</v>
      </c>
      <c r="AO22" s="283">
        <f t="shared" si="23"/>
        <v>1.2449394058630407</v>
      </c>
      <c r="AP22" s="436">
        <f t="shared" si="24"/>
        <v>0.75347486376257555</v>
      </c>
      <c r="AQ22" s="436">
        <f t="shared" si="25"/>
        <v>0.82536286099999234</v>
      </c>
    </row>
    <row r="23" spans="1:43" ht="15" customHeight="1">
      <c r="A23" s="273">
        <v>2015</v>
      </c>
      <c r="B23" s="119">
        <v>364</v>
      </c>
      <c r="C23" s="119">
        <v>280</v>
      </c>
      <c r="D23" s="20"/>
      <c r="E23" s="36">
        <f t="shared" si="26"/>
        <v>0.76923076923076927</v>
      </c>
      <c r="F23" s="47"/>
      <c r="G23" s="27"/>
      <c r="H23" s="289">
        <v>0.15062591320143742</v>
      </c>
      <c r="I23" s="27">
        <v>4.7E-2</v>
      </c>
      <c r="J23" s="36">
        <f t="shared" si="27"/>
        <v>0.95030877591638496</v>
      </c>
      <c r="K23" s="47"/>
      <c r="L23" s="27"/>
      <c r="M23" s="27">
        <f t="shared" si="28"/>
        <v>0.98315406671421446</v>
      </c>
      <c r="N23" s="62">
        <f t="shared" si="35"/>
        <v>0.96659191889669804</v>
      </c>
      <c r="O23" s="63">
        <f t="shared" si="36"/>
        <v>0.95030877591638485</v>
      </c>
      <c r="P23" s="273">
        <v>2015</v>
      </c>
      <c r="Q23" s="14">
        <f t="shared" si="29"/>
        <v>4.9691224083615038E-2</v>
      </c>
      <c r="R23" s="50"/>
      <c r="S23" s="14"/>
      <c r="T23" s="13">
        <f t="shared" si="30"/>
        <v>1.6845933285785541E-2</v>
      </c>
      <c r="U23" s="50"/>
      <c r="V23" s="14"/>
      <c r="W23" s="283">
        <f t="shared" si="31"/>
        <v>280</v>
      </c>
      <c r="X23" s="283">
        <f t="shared" si="32"/>
        <v>364</v>
      </c>
      <c r="Y23" s="283">
        <f t="shared" si="10"/>
        <v>0.76923076923076927</v>
      </c>
      <c r="Z23" s="283">
        <f t="shared" si="5"/>
        <v>0.79029016114367912</v>
      </c>
      <c r="AA23" s="283">
        <f t="shared" si="11"/>
        <v>1.2872827595793421</v>
      </c>
      <c r="AB23" s="436">
        <f t="shared" si="12"/>
        <v>0.7224772938132944</v>
      </c>
      <c r="AC23" s="436">
        <f t="shared" si="13"/>
        <v>0.81154360712841045</v>
      </c>
      <c r="AD23" s="283">
        <f t="shared" si="33"/>
        <v>0</v>
      </c>
      <c r="AE23" s="283">
        <f t="shared" si="34"/>
        <v>280</v>
      </c>
      <c r="AF23" s="283">
        <f t="shared" si="16"/>
        <v>0</v>
      </c>
      <c r="AG23" s="283" t="e">
        <f t="shared" si="6"/>
        <v>#NUM!</v>
      </c>
      <c r="AH23" s="283">
        <f t="shared" si="17"/>
        <v>3.7132862185418194</v>
      </c>
      <c r="AI23" s="436">
        <f t="shared" si="18"/>
        <v>0</v>
      </c>
      <c r="AJ23" s="436">
        <f t="shared" si="19"/>
        <v>1.3088164703296651E-2</v>
      </c>
      <c r="AK23" s="283">
        <f t="shared" si="20"/>
        <v>280</v>
      </c>
      <c r="AL23" s="283">
        <f t="shared" si="21"/>
        <v>364</v>
      </c>
      <c r="AM23" s="283">
        <f t="shared" si="22"/>
        <v>0.76923076923076927</v>
      </c>
      <c r="AN23" s="283">
        <f t="shared" si="7"/>
        <v>0.79029016114367912</v>
      </c>
      <c r="AO23" s="283">
        <f t="shared" si="23"/>
        <v>1.2872827595793421</v>
      </c>
      <c r="AP23" s="436">
        <f t="shared" si="24"/>
        <v>0.7224772938132944</v>
      </c>
      <c r="AQ23" s="436">
        <f t="shared" si="25"/>
        <v>0.81154360712841045</v>
      </c>
    </row>
    <row r="24" spans="1:43" ht="15" customHeight="1">
      <c r="A24" s="273">
        <v>2016</v>
      </c>
      <c r="B24" s="119">
        <v>491</v>
      </c>
      <c r="C24" s="119">
        <v>426</v>
      </c>
      <c r="D24" s="20"/>
      <c r="E24" s="36">
        <f t="shared" si="26"/>
        <v>0.86761710794297353</v>
      </c>
      <c r="F24" s="47"/>
      <c r="G24" s="27"/>
      <c r="H24" s="289">
        <v>0.16091754653504534</v>
      </c>
      <c r="I24" s="27">
        <v>4.7E-2</v>
      </c>
      <c r="J24" s="36">
        <f t="shared" si="27"/>
        <v>1.0850020704772068</v>
      </c>
      <c r="K24" s="47"/>
      <c r="L24" s="27"/>
      <c r="M24" s="27">
        <f t="shared" si="28"/>
        <v>1.02756709557724</v>
      </c>
      <c r="N24" s="62">
        <f t="shared" si="35"/>
        <v>1.0558941359130447</v>
      </c>
      <c r="O24" s="63">
        <f t="shared" si="36"/>
        <v>1.085002070477207</v>
      </c>
      <c r="P24" s="273">
        <v>2016</v>
      </c>
      <c r="Q24" s="14">
        <f t="shared" si="29"/>
        <v>-8.5002070477206759E-2</v>
      </c>
      <c r="R24" s="50"/>
      <c r="S24" s="14"/>
      <c r="T24" s="13">
        <f t="shared" si="30"/>
        <v>-2.7567095577240019E-2</v>
      </c>
      <c r="U24" s="50"/>
      <c r="V24" s="14"/>
      <c r="W24" s="283">
        <f t="shared" ref="W24:W27" si="37">C24</f>
        <v>426</v>
      </c>
      <c r="X24" s="283">
        <f t="shared" ref="X24:X27" si="38">B24</f>
        <v>491</v>
      </c>
      <c r="Y24" s="283">
        <f t="shared" ref="Y24:Y27" si="39">W24/X24</f>
        <v>0.86761710794297353</v>
      </c>
      <c r="Z24" s="283">
        <f t="shared" ref="Z24:Z27" si="40">_xlfn.F.INV(0.05/2, 2*W24, 2*(X24-W24+1))</f>
        <v>0.78063152931062141</v>
      </c>
      <c r="AA24" s="283">
        <f t="shared" ref="AA24:AA27" si="41">_xlfn.F.INV(1-0.05/2, 2*(W24+1), 2*(X24-W24))</f>
        <v>1.3160354089264643</v>
      </c>
      <c r="AB24" s="436">
        <f t="shared" ref="AB24:AB27" si="42">IF(W24=0, 0, 1/(1 +(X24-W24+1)/(W24*Z24)))</f>
        <v>0.83439929648338729</v>
      </c>
      <c r="AC24" s="436">
        <f t="shared" ref="AC24:AC27" si="43">IF(W24=X24, 1, 1/(1 + (X24-W24)/(AA24*(W24+1))))</f>
        <v>0.89632299444924779</v>
      </c>
      <c r="AD24" s="283">
        <f t="shared" ref="AD24:AD27" si="44">D24</f>
        <v>0</v>
      </c>
      <c r="AE24" s="283">
        <f t="shared" ref="AE24:AE27" si="45">C24</f>
        <v>426</v>
      </c>
      <c r="AF24" s="283">
        <f t="shared" ref="AF24:AF27" si="46">AD24/AE24</f>
        <v>0</v>
      </c>
      <c r="AG24" s="283" t="e">
        <f t="shared" ref="AG24:AG27" si="47">_xlfn.F.INV(0.05/2, 2*AD24, 2*(AE24-AD24+1))</f>
        <v>#NUM!</v>
      </c>
      <c r="AH24" s="283">
        <f t="shared" ref="AH24:AH27" si="48">_xlfn.F.INV(1-0.05/2, 2*(AD24+1), 2*(AE24-AD24))</f>
        <v>3.7048972887292737</v>
      </c>
      <c r="AI24" s="436">
        <f t="shared" ref="AI24:AI27" si="49">IF(AD24=0, 0, 1/(1 +(AE24-AD24+1)/(AD24*AG24)))</f>
        <v>0</v>
      </c>
      <c r="AJ24" s="436">
        <f t="shared" ref="AJ24:AJ27" si="50">IF(AD24=AE24, 1, 1/(1 + (AE24-AD24)/(AH24*(AD24+1))))</f>
        <v>8.6219573295667189E-3</v>
      </c>
      <c r="AK24" s="283">
        <f t="shared" ref="AK24:AK27" si="51">C24</f>
        <v>426</v>
      </c>
      <c r="AL24" s="283">
        <f t="shared" ref="AL24:AL27" si="52">B24</f>
        <v>491</v>
      </c>
      <c r="AM24" s="283">
        <f t="shared" ref="AM24:AM27" si="53">AK24/AL24</f>
        <v>0.86761710794297353</v>
      </c>
      <c r="AN24" s="283">
        <f t="shared" ref="AN24:AN27" si="54">_xlfn.F.INV(0.05/2, 2*AK24, 2*(AL24-AK24+1))</f>
        <v>0.78063152931062141</v>
      </c>
      <c r="AO24" s="283">
        <f t="shared" ref="AO24:AO27" si="55">_xlfn.F.INV(1-0.05/2, 2*(AK24+1), 2*(AL24-AK24))</f>
        <v>1.3160354089264643</v>
      </c>
      <c r="AP24" s="436">
        <f t="shared" ref="AP24:AP27" si="56">IF(AK24=0, 0, 1/(1 +(AL24-AK24+1)/(AK24*AN24)))</f>
        <v>0.83439929648338729</v>
      </c>
      <c r="AQ24" s="436">
        <f t="shared" ref="AQ24:AQ27" si="57">IF(AK24=AL24, 1, 1/(1 + (AL24-AK24)/(AO24*(AK24+1))))</f>
        <v>0.89632299444924779</v>
      </c>
    </row>
    <row r="25" spans="1:43" ht="15" customHeight="1">
      <c r="A25" s="273">
        <v>2017</v>
      </c>
      <c r="B25" s="119">
        <v>188</v>
      </c>
      <c r="C25" s="119">
        <v>148</v>
      </c>
      <c r="D25" s="20"/>
      <c r="E25" s="36">
        <f t="shared" si="26"/>
        <v>0.78723404255319152</v>
      </c>
      <c r="F25" s="47"/>
      <c r="G25" s="27"/>
      <c r="H25" s="289">
        <v>0.10504278782531981</v>
      </c>
      <c r="I25" s="27">
        <v>4.7E-2</v>
      </c>
      <c r="J25" s="36">
        <f t="shared" si="27"/>
        <v>0.92301486062042259</v>
      </c>
      <c r="K25" s="47"/>
      <c r="L25" s="27"/>
      <c r="M25" s="27">
        <f t="shared" si="28"/>
        <v>0.97365006628671369</v>
      </c>
      <c r="N25" s="62">
        <f t="shared" si="35"/>
        <v>0.94799445158012197</v>
      </c>
      <c r="O25" s="63">
        <f t="shared" si="36"/>
        <v>0.92301486062042259</v>
      </c>
      <c r="P25" s="273">
        <v>2017</v>
      </c>
      <c r="Q25" s="14">
        <f t="shared" si="29"/>
        <v>7.6985139379577405E-2</v>
      </c>
      <c r="R25" s="50"/>
      <c r="S25" s="14"/>
      <c r="T25" s="13">
        <f t="shared" si="30"/>
        <v>2.6349933713286311E-2</v>
      </c>
      <c r="U25" s="50"/>
      <c r="V25" s="14"/>
      <c r="W25" s="283">
        <f t="shared" si="37"/>
        <v>148</v>
      </c>
      <c r="X25" s="283">
        <f t="shared" si="38"/>
        <v>188</v>
      </c>
      <c r="Y25" s="283">
        <f t="shared" si="39"/>
        <v>0.78723404255319152</v>
      </c>
      <c r="Z25" s="283">
        <f t="shared" si="40"/>
        <v>0.71855965596072802</v>
      </c>
      <c r="AA25" s="283">
        <f t="shared" si="41"/>
        <v>1.4461894466182021</v>
      </c>
      <c r="AB25" s="436">
        <f t="shared" si="42"/>
        <v>0.72174494520590704</v>
      </c>
      <c r="AC25" s="436">
        <f t="shared" si="43"/>
        <v>0.84343333630602391</v>
      </c>
      <c r="AD25" s="283">
        <f t="shared" si="44"/>
        <v>0</v>
      </c>
      <c r="AE25" s="283">
        <f t="shared" si="45"/>
        <v>148</v>
      </c>
      <c r="AF25" s="283">
        <f t="shared" si="46"/>
        <v>0</v>
      </c>
      <c r="AG25" s="283" t="e">
        <f t="shared" si="47"/>
        <v>#NUM!</v>
      </c>
      <c r="AH25" s="283">
        <f t="shared" si="48"/>
        <v>3.7352362021280983</v>
      </c>
      <c r="AI25" s="436">
        <f t="shared" si="49"/>
        <v>0</v>
      </c>
      <c r="AJ25" s="436">
        <f t="shared" si="50"/>
        <v>2.4616801578984271E-2</v>
      </c>
      <c r="AK25" s="283">
        <f t="shared" si="51"/>
        <v>148</v>
      </c>
      <c r="AL25" s="283">
        <f t="shared" si="52"/>
        <v>188</v>
      </c>
      <c r="AM25" s="283">
        <f t="shared" si="53"/>
        <v>0.78723404255319152</v>
      </c>
      <c r="AN25" s="283">
        <f t="shared" si="54"/>
        <v>0.71855965596072802</v>
      </c>
      <c r="AO25" s="283">
        <f t="shared" si="55"/>
        <v>1.4461894466182021</v>
      </c>
      <c r="AP25" s="436">
        <f t="shared" si="56"/>
        <v>0.72174494520590704</v>
      </c>
      <c r="AQ25" s="436">
        <f t="shared" si="57"/>
        <v>0.84343333630602391</v>
      </c>
    </row>
    <row r="26" spans="1:43" ht="15" customHeight="1">
      <c r="A26" s="273">
        <v>2018</v>
      </c>
      <c r="B26" s="119">
        <v>150</v>
      </c>
      <c r="C26" s="119">
        <v>116</v>
      </c>
      <c r="D26" s="20"/>
      <c r="E26" s="36">
        <f t="shared" si="26"/>
        <v>0.77333333333333332</v>
      </c>
      <c r="F26" s="47"/>
      <c r="G26" s="27"/>
      <c r="H26" s="289">
        <v>0.09</v>
      </c>
      <c r="I26" s="27">
        <v>4.7E-2</v>
      </c>
      <c r="J26" s="36">
        <f t="shared" si="27"/>
        <v>0.89172806906280155</v>
      </c>
      <c r="K26" s="47"/>
      <c r="L26" s="27"/>
      <c r="M26" s="27">
        <f t="shared" si="28"/>
        <v>0.96252232713721031</v>
      </c>
      <c r="N26" s="62">
        <f t="shared" ref="N26" si="58">M26^2</f>
        <v>0.92644923023763093</v>
      </c>
      <c r="O26" s="63">
        <f t="shared" ref="O26" si="59">M26^3</f>
        <v>0.89172806906280166</v>
      </c>
      <c r="P26" s="273">
        <v>2018</v>
      </c>
      <c r="Q26" s="14">
        <f t="shared" si="29"/>
        <v>0.10827193093719845</v>
      </c>
      <c r="R26" s="50"/>
      <c r="S26" s="14"/>
      <c r="T26" s="13">
        <f t="shared" si="30"/>
        <v>3.747767286278969E-2</v>
      </c>
      <c r="U26" s="50"/>
      <c r="V26" s="14"/>
      <c r="W26" s="283">
        <f t="shared" si="37"/>
        <v>116</v>
      </c>
      <c r="X26" s="283">
        <f t="shared" si="38"/>
        <v>150</v>
      </c>
      <c r="Y26" s="283">
        <f t="shared" si="39"/>
        <v>0.77333333333333332</v>
      </c>
      <c r="Z26" s="283">
        <f t="shared" si="40"/>
        <v>0.69710631235385134</v>
      </c>
      <c r="AA26" s="283">
        <f t="shared" si="41"/>
        <v>1.4991386904649462</v>
      </c>
      <c r="AB26" s="436">
        <f t="shared" si="42"/>
        <v>0.69792256749383552</v>
      </c>
      <c r="AC26" s="436">
        <f t="shared" si="43"/>
        <v>0.83763072804940675</v>
      </c>
      <c r="AD26" s="283">
        <f t="shared" si="44"/>
        <v>0</v>
      </c>
      <c r="AE26" s="283">
        <f t="shared" si="45"/>
        <v>116</v>
      </c>
      <c r="AF26" s="283">
        <f t="shared" si="46"/>
        <v>0</v>
      </c>
      <c r="AG26" s="283" t="e">
        <f t="shared" si="47"/>
        <v>#NUM!</v>
      </c>
      <c r="AH26" s="283">
        <f t="shared" si="48"/>
        <v>3.7481606259372731</v>
      </c>
      <c r="AI26" s="436">
        <f t="shared" si="49"/>
        <v>0</v>
      </c>
      <c r="AJ26" s="436">
        <f t="shared" si="50"/>
        <v>3.1300360743290005E-2</v>
      </c>
      <c r="AK26" s="283">
        <f t="shared" si="51"/>
        <v>116</v>
      </c>
      <c r="AL26" s="283">
        <f t="shared" si="52"/>
        <v>150</v>
      </c>
      <c r="AM26" s="283">
        <f t="shared" si="53"/>
        <v>0.77333333333333332</v>
      </c>
      <c r="AN26" s="283">
        <f t="shared" si="54"/>
        <v>0.69710631235385134</v>
      </c>
      <c r="AO26" s="283">
        <f t="shared" si="55"/>
        <v>1.4991386904649462</v>
      </c>
      <c r="AP26" s="436">
        <f t="shared" si="56"/>
        <v>0.69792256749383552</v>
      </c>
      <c r="AQ26" s="436">
        <f t="shared" si="57"/>
        <v>0.83763072804940675</v>
      </c>
    </row>
    <row r="27" spans="1:43" ht="15" customHeight="1">
      <c r="A27" s="273">
        <v>2019</v>
      </c>
      <c r="B27" s="613">
        <v>141</v>
      </c>
      <c r="C27" s="613">
        <v>126</v>
      </c>
      <c r="D27" s="20"/>
      <c r="E27" s="36">
        <f t="shared" si="26"/>
        <v>0.8936170212765957</v>
      </c>
      <c r="F27" s="47"/>
      <c r="G27" s="27"/>
      <c r="H27" s="289"/>
      <c r="I27" s="27">
        <v>4.7E-2</v>
      </c>
      <c r="J27" s="36">
        <f t="shared" si="27"/>
        <v>0.93768837489674262</v>
      </c>
      <c r="K27" s="47"/>
      <c r="L27" s="27"/>
      <c r="M27" s="27">
        <f t="shared" si="28"/>
        <v>0.97878245814995701</v>
      </c>
      <c r="N27" s="53" t="s">
        <v>242</v>
      </c>
      <c r="O27" s="27" t="s">
        <v>243</v>
      </c>
      <c r="P27" s="273">
        <v>2019</v>
      </c>
      <c r="Q27" s="14">
        <f t="shared" si="29"/>
        <v>6.2311625103257384E-2</v>
      </c>
      <c r="R27" s="50"/>
      <c r="S27" s="14"/>
      <c r="T27" s="13">
        <f t="shared" si="30"/>
        <v>2.1217541850042987E-2</v>
      </c>
      <c r="U27" s="50"/>
      <c r="V27" s="14"/>
      <c r="W27" s="283">
        <f t="shared" si="37"/>
        <v>126</v>
      </c>
      <c r="X27" s="283">
        <f t="shared" si="38"/>
        <v>141</v>
      </c>
      <c r="Y27" s="283">
        <f t="shared" si="39"/>
        <v>0.8936170212765957</v>
      </c>
      <c r="Z27" s="283">
        <f t="shared" si="40"/>
        <v>0.62268224087689017</v>
      </c>
      <c r="AA27" s="283">
        <f t="shared" si="41"/>
        <v>1.8252417931396776</v>
      </c>
      <c r="AB27" s="436">
        <f t="shared" si="42"/>
        <v>0.83061247986028242</v>
      </c>
      <c r="AC27" s="436">
        <f t="shared" si="43"/>
        <v>0.93922344771504918</v>
      </c>
      <c r="AD27" s="283">
        <f t="shared" si="44"/>
        <v>0</v>
      </c>
      <c r="AE27" s="283">
        <f t="shared" si="45"/>
        <v>126</v>
      </c>
      <c r="AF27" s="283">
        <f t="shared" si="46"/>
        <v>0</v>
      </c>
      <c r="AG27" s="283" t="e">
        <f t="shared" si="47"/>
        <v>#NUM!</v>
      </c>
      <c r="AH27" s="283">
        <f t="shared" si="48"/>
        <v>3.7434096419682827</v>
      </c>
      <c r="AI27" s="436">
        <f t="shared" si="49"/>
        <v>0</v>
      </c>
      <c r="AJ27" s="436">
        <f t="shared" si="50"/>
        <v>2.8852406856720966E-2</v>
      </c>
      <c r="AK27" s="283">
        <f t="shared" si="51"/>
        <v>126</v>
      </c>
      <c r="AL27" s="283">
        <f t="shared" si="52"/>
        <v>141</v>
      </c>
      <c r="AM27" s="283">
        <f t="shared" si="53"/>
        <v>0.8936170212765957</v>
      </c>
      <c r="AN27" s="283">
        <f t="shared" si="54"/>
        <v>0.62268224087689017</v>
      </c>
      <c r="AO27" s="283">
        <f t="shared" si="55"/>
        <v>1.8252417931396776</v>
      </c>
      <c r="AP27" s="436">
        <f t="shared" si="56"/>
        <v>0.83061247986028242</v>
      </c>
      <c r="AQ27" s="436">
        <f t="shared" si="57"/>
        <v>0.93922344771504918</v>
      </c>
    </row>
    <row r="28" spans="1:43" ht="15" customHeight="1">
      <c r="A28" s="273">
        <v>2020</v>
      </c>
      <c r="B28" s="613">
        <v>160</v>
      </c>
      <c r="C28" s="613">
        <v>148</v>
      </c>
      <c r="D28" s="20"/>
      <c r="E28" s="36">
        <f t="shared" si="26"/>
        <v>0.92500000000000004</v>
      </c>
      <c r="F28" s="47"/>
      <c r="G28" s="27"/>
      <c r="H28" s="289">
        <v>5.8000000000000003E-2</v>
      </c>
      <c r="I28" s="27">
        <v>4.7E-2</v>
      </c>
      <c r="J28" s="36">
        <f t="shared" si="27"/>
        <v>1.0303812076290539</v>
      </c>
      <c r="K28" s="47"/>
      <c r="L28" s="27"/>
      <c r="M28" s="27"/>
      <c r="N28" s="53"/>
      <c r="O28" s="27"/>
      <c r="P28" s="273"/>
      <c r="Q28" s="14"/>
      <c r="R28" s="50"/>
      <c r="S28" s="14"/>
      <c r="T28" s="13"/>
      <c r="U28" s="50"/>
      <c r="V28" s="14"/>
      <c r="W28" s="283"/>
      <c r="X28" s="283"/>
      <c r="Y28" s="283"/>
      <c r="Z28" s="283"/>
      <c r="AA28" s="283"/>
      <c r="AB28" s="436"/>
      <c r="AC28" s="436"/>
      <c r="AD28" s="283"/>
      <c r="AE28" s="283"/>
      <c r="AF28" s="283"/>
      <c r="AG28" s="283"/>
      <c r="AH28" s="283"/>
      <c r="AI28" s="436"/>
      <c r="AJ28" s="436"/>
      <c r="AK28" s="283"/>
      <c r="AL28" s="283"/>
      <c r="AM28" s="283"/>
      <c r="AN28" s="283"/>
      <c r="AO28" s="283"/>
      <c r="AP28" s="436"/>
      <c r="AQ28" s="436"/>
    </row>
    <row r="29" spans="1:43" ht="15" customHeight="1">
      <c r="A29" s="273">
        <v>2021</v>
      </c>
      <c r="B29" s="613">
        <v>152</v>
      </c>
      <c r="C29" s="613">
        <v>147</v>
      </c>
      <c r="D29" s="20"/>
      <c r="E29" s="36">
        <f t="shared" si="26"/>
        <v>0.96710526315789469</v>
      </c>
      <c r="F29" s="47"/>
      <c r="G29" s="27"/>
      <c r="H29" s="289">
        <v>5.6000000000000001E-2</v>
      </c>
      <c r="I29" s="27">
        <v>4.7E-2</v>
      </c>
      <c r="J29" s="36">
        <f t="shared" si="27"/>
        <v>1.0750009594566388</v>
      </c>
      <c r="K29" s="47"/>
      <c r="L29" s="27"/>
      <c r="M29" s="27"/>
      <c r="N29" s="53"/>
      <c r="O29" s="27"/>
      <c r="P29" s="273"/>
      <c r="Q29" s="14"/>
      <c r="R29" s="50"/>
      <c r="S29" s="14"/>
      <c r="T29" s="13"/>
      <c r="U29" s="50"/>
      <c r="V29" s="14"/>
      <c r="W29" s="283"/>
      <c r="X29" s="283"/>
      <c r="Y29" s="283"/>
      <c r="Z29" s="283"/>
      <c r="AA29" s="283"/>
      <c r="AB29" s="436"/>
      <c r="AC29" s="436"/>
      <c r="AD29" s="283"/>
      <c r="AE29" s="283"/>
      <c r="AF29" s="283"/>
      <c r="AG29" s="283"/>
      <c r="AH29" s="283"/>
      <c r="AI29" s="436"/>
      <c r="AJ29" s="436"/>
      <c r="AK29" s="283"/>
      <c r="AL29" s="283"/>
      <c r="AM29" s="283"/>
      <c r="AN29" s="283"/>
      <c r="AO29" s="283"/>
      <c r="AP29" s="436"/>
      <c r="AQ29" s="436"/>
    </row>
    <row r="30" spans="1:43" ht="15" customHeight="1">
      <c r="A30" s="273">
        <v>2022</v>
      </c>
      <c r="B30" s="613">
        <v>124</v>
      </c>
      <c r="C30" s="613">
        <v>89</v>
      </c>
      <c r="D30" s="20"/>
      <c r="E30" s="36">
        <f t="shared" si="26"/>
        <v>0.717741935483871</v>
      </c>
      <c r="F30" s="47"/>
      <c r="G30" s="27"/>
      <c r="H30" s="289">
        <v>0.13650000000000001</v>
      </c>
      <c r="I30" s="27">
        <v>4.7E-2</v>
      </c>
      <c r="J30" s="36">
        <f t="shared" si="27"/>
        <v>0.8721939682553933</v>
      </c>
      <c r="K30" s="47"/>
      <c r="L30" s="27"/>
      <c r="M30" s="27"/>
      <c r="N30" s="53"/>
      <c r="O30" s="27"/>
      <c r="P30" s="273"/>
      <c r="Q30" s="14"/>
      <c r="R30" s="50"/>
      <c r="S30" s="14"/>
      <c r="T30" s="13"/>
      <c r="U30" s="50"/>
      <c r="V30" s="14"/>
      <c r="W30" s="283"/>
      <c r="X30" s="283"/>
      <c r="Y30" s="283"/>
      <c r="Z30" s="283"/>
      <c r="AA30" s="283"/>
      <c r="AB30" s="436"/>
      <c r="AC30" s="436"/>
      <c r="AD30" s="283"/>
      <c r="AE30" s="283"/>
      <c r="AF30" s="283"/>
      <c r="AG30" s="283"/>
      <c r="AH30" s="283"/>
      <c r="AI30" s="436"/>
      <c r="AJ30" s="436"/>
      <c r="AK30" s="283"/>
      <c r="AL30" s="283"/>
      <c r="AM30" s="283"/>
      <c r="AN30" s="283"/>
      <c r="AO30" s="283"/>
      <c r="AP30" s="436"/>
      <c r="AQ30" s="436"/>
    </row>
    <row r="31" spans="1:43" ht="15" customHeight="1">
      <c r="A31" s="273">
        <v>2023</v>
      </c>
      <c r="B31" s="119">
        <v>132</v>
      </c>
      <c r="C31" s="119">
        <v>114</v>
      </c>
      <c r="D31" s="20"/>
      <c r="E31" s="36">
        <f t="shared" si="26"/>
        <v>0.86363636363636365</v>
      </c>
      <c r="F31" s="47"/>
      <c r="G31" s="27"/>
      <c r="H31" s="289">
        <v>9.0999999999999998E-2</v>
      </c>
      <c r="I31" s="27">
        <v>4.7E-2</v>
      </c>
      <c r="J31" s="36">
        <f t="shared" si="27"/>
        <v>0.99695174134412401</v>
      </c>
      <c r="K31" s="47"/>
      <c r="L31" s="27"/>
      <c r="M31" s="27"/>
      <c r="N31" s="53"/>
      <c r="O31" s="27"/>
      <c r="P31" s="273"/>
      <c r="Q31" s="14"/>
      <c r="R31" s="50"/>
      <c r="S31" s="14"/>
      <c r="T31" s="13"/>
      <c r="U31" s="50"/>
      <c r="V31" s="14"/>
      <c r="W31" s="283"/>
      <c r="X31" s="283"/>
      <c r="Y31" s="283"/>
      <c r="Z31" s="283"/>
      <c r="AA31" s="283"/>
      <c r="AB31" s="436"/>
      <c r="AC31" s="436"/>
      <c r="AD31" s="283"/>
      <c r="AE31" s="283"/>
      <c r="AF31" s="283"/>
      <c r="AG31" s="283"/>
      <c r="AH31" s="283"/>
      <c r="AI31" s="436"/>
      <c r="AJ31" s="436"/>
      <c r="AK31" s="283"/>
      <c r="AL31" s="283"/>
      <c r="AM31" s="283"/>
      <c r="AN31" s="283"/>
      <c r="AO31" s="283"/>
      <c r="AP31" s="436"/>
      <c r="AQ31" s="436"/>
    </row>
    <row r="32" spans="1:43" ht="30.6" customHeight="1">
      <c r="A32" s="264" t="s">
        <v>112</v>
      </c>
      <c r="B32" s="612">
        <f>AVERAGE(B26:B30)</f>
        <v>145.4</v>
      </c>
      <c r="C32" s="612">
        <f t="shared" ref="C32:G32" si="60">AVERAGE(C26:C30)</f>
        <v>125.2</v>
      </c>
      <c r="D32" s="612" t="e">
        <f t="shared" si="60"/>
        <v>#DIV/0!</v>
      </c>
      <c r="E32" s="144">
        <f t="shared" si="60"/>
        <v>0.85535951065033888</v>
      </c>
      <c r="F32" s="612"/>
      <c r="G32" s="612" t="e">
        <f t="shared" si="60"/>
        <v>#DIV/0!</v>
      </c>
      <c r="H32" s="144">
        <f t="shared" ref="H32:I32" si="61">AVERAGE(H22:H26)</f>
        <v>0.12977092756514269</v>
      </c>
      <c r="I32" s="144">
        <f t="shared" si="61"/>
        <v>4.7E-2</v>
      </c>
      <c r="J32" s="144">
        <f>AVERAGE(J22:J26)</f>
        <v>0.96357201705256057</v>
      </c>
      <c r="K32" s="431"/>
      <c r="L32" s="431"/>
      <c r="M32" s="144">
        <f>1-AVERAGE(M18:M26)</f>
        <v>1.3173731467947425E-2</v>
      </c>
      <c r="N32" s="144">
        <f>1-AVERAGE(N18:N26)</f>
        <v>2.5750076010253475E-2</v>
      </c>
      <c r="O32" s="144">
        <f>1-AVERAGE(O18:O26)</f>
        <v>3.774322536599739E-2</v>
      </c>
      <c r="P32" s="263" t="s">
        <v>112</v>
      </c>
      <c r="Q32" s="144">
        <f t="shared" ref="Q32" si="62">AVERAGE(Q19:Q23)</f>
        <v>4.6320948793144058E-2</v>
      </c>
      <c r="R32" s="431"/>
      <c r="S32" s="431"/>
      <c r="T32" s="144">
        <f t="shared" ref="T32" si="63">AVERAGE(T19:T23)</f>
        <v>1.5937294016272686E-2</v>
      </c>
      <c r="U32" s="86"/>
      <c r="V32" s="44"/>
      <c r="W32" s="283">
        <f t="shared" si="31"/>
        <v>125.2</v>
      </c>
      <c r="X32" s="283">
        <f t="shared" si="32"/>
        <v>145.4</v>
      </c>
      <c r="Y32" s="283">
        <f t="shared" si="10"/>
        <v>0.86107290233837686</v>
      </c>
      <c r="Z32" s="283">
        <f t="shared" si="5"/>
        <v>0.65168631563820822</v>
      </c>
      <c r="AA32" s="283">
        <f t="shared" si="11"/>
        <v>1.6798659201827311</v>
      </c>
      <c r="AB32" s="436">
        <f t="shared" si="12"/>
        <v>0.79375651695909</v>
      </c>
      <c r="AC32" s="436">
        <f t="shared" si="13"/>
        <v>0.91300568427772943</v>
      </c>
      <c r="AD32" s="283" t="e">
        <f t="shared" si="33"/>
        <v>#DIV/0!</v>
      </c>
      <c r="AE32" s="283">
        <f t="shared" si="34"/>
        <v>125.2</v>
      </c>
      <c r="AF32" s="283" t="e">
        <f t="shared" si="16"/>
        <v>#DIV/0!</v>
      </c>
      <c r="AG32" s="283" t="e">
        <f t="shared" si="6"/>
        <v>#DIV/0!</v>
      </c>
      <c r="AH32" s="283" t="e">
        <f t="shared" si="17"/>
        <v>#DIV/0!</v>
      </c>
      <c r="AI32" s="436" t="e">
        <f t="shared" si="18"/>
        <v>#DIV/0!</v>
      </c>
      <c r="AJ32" s="436" t="e">
        <f t="shared" si="19"/>
        <v>#DIV/0!</v>
      </c>
      <c r="AK32" s="283">
        <f t="shared" si="20"/>
        <v>125.2</v>
      </c>
      <c r="AL32" s="283">
        <f t="shared" si="21"/>
        <v>145.4</v>
      </c>
      <c r="AM32" s="283">
        <f t="shared" si="22"/>
        <v>0.86107290233837686</v>
      </c>
      <c r="AN32" s="283">
        <f t="shared" si="7"/>
        <v>0.65168631563820822</v>
      </c>
      <c r="AO32" s="283">
        <f t="shared" si="23"/>
        <v>1.6798659201827311</v>
      </c>
      <c r="AP32" s="436">
        <f t="shared" si="24"/>
        <v>0.79375651695909</v>
      </c>
      <c r="AQ32" s="436">
        <f t="shared" si="25"/>
        <v>0.91300568427772943</v>
      </c>
    </row>
    <row r="33" spans="1:29" ht="15" customHeight="1">
      <c r="A33" s="261"/>
      <c r="B33" s="77"/>
      <c r="C33" s="77"/>
      <c r="D33" s="77"/>
      <c r="E33" s="12"/>
      <c r="F33" s="77"/>
      <c r="G33" s="78"/>
      <c r="H33" s="77"/>
      <c r="I33" s="77"/>
      <c r="J33" s="113"/>
      <c r="K33" s="112" t="s">
        <v>66</v>
      </c>
      <c r="L33" s="78"/>
      <c r="M33" s="145">
        <f>1-MIN(M18:M26)</f>
        <v>3.977039380525349E-2</v>
      </c>
      <c r="N33" s="145">
        <f>1-MIN(N18:N26)</f>
        <v>7.7959103387082007E-2</v>
      </c>
      <c r="O33" s="145">
        <f>1-MIN(O18:O26)</f>
        <v>0.11462903294992677</v>
      </c>
      <c r="P33" s="110"/>
      <c r="Q33" s="21"/>
      <c r="R33" s="21"/>
      <c r="S33" s="21"/>
      <c r="T33" s="37"/>
      <c r="U33" s="21"/>
      <c r="V33" s="25"/>
      <c r="W33" s="111"/>
      <c r="X33" s="111"/>
      <c r="Y33" s="111"/>
      <c r="Z33" s="111"/>
      <c r="AA33" s="111"/>
      <c r="AB33" s="111"/>
      <c r="AC33" s="111"/>
    </row>
    <row r="34" spans="1:29" ht="15" customHeight="1">
      <c r="A34" s="272" t="s">
        <v>90</v>
      </c>
      <c r="J34">
        <f>J32^(1/3)</f>
        <v>0.98770683640155765</v>
      </c>
      <c r="M34" s="145">
        <f>1-MAX(M18:M26)</f>
        <v>-2.7567095577240019E-2</v>
      </c>
      <c r="N34" s="145">
        <f>1-MAX(N18:N26)</f>
        <v>-5.5894135913044707E-2</v>
      </c>
      <c r="O34" s="145">
        <f>1-MAX(O18:O26)</f>
        <v>-8.5002070477206981E-2</v>
      </c>
    </row>
    <row r="35" spans="1:29" ht="15" customHeight="1">
      <c r="A35" s="56" t="s">
        <v>41</v>
      </c>
      <c r="B35" s="57"/>
      <c r="C35" s="57"/>
      <c r="D35" s="57"/>
      <c r="E35" s="57"/>
      <c r="F35" s="57"/>
      <c r="G35" s="57"/>
      <c r="H35" s="57"/>
      <c r="I35" s="57"/>
      <c r="J35" s="57">
        <f>J34^2</f>
        <v>0.9755647946743734</v>
      </c>
      <c r="K35" s="57"/>
      <c r="L35" s="57"/>
      <c r="M35" s="57"/>
      <c r="N35" s="57"/>
      <c r="O35" s="57"/>
      <c r="P35" s="57"/>
      <c r="Q35" s="20"/>
      <c r="R35" s="20"/>
      <c r="S35" s="20"/>
      <c r="T35" s="20"/>
      <c r="U35" s="20"/>
      <c r="V35" s="20"/>
      <c r="W35" s="20"/>
      <c r="X35" s="20"/>
      <c r="Y35" s="20"/>
      <c r="Z35" s="20"/>
      <c r="AA35" s="20"/>
      <c r="AB35" s="20"/>
      <c r="AC35" s="20"/>
    </row>
    <row r="36" spans="1:29" ht="15" customHeight="1">
      <c r="B36" s="660"/>
      <c r="C36" s="661"/>
      <c r="D36" s="661"/>
      <c r="E36" s="660"/>
      <c r="F36" s="660"/>
      <c r="G36" s="660"/>
      <c r="H36" s="660"/>
      <c r="I36" s="661"/>
      <c r="J36" s="660"/>
      <c r="K36" s="660"/>
      <c r="L36" s="661"/>
      <c r="M36" s="660"/>
      <c r="N36" s="660"/>
      <c r="O36" s="662"/>
      <c r="P36" s="20"/>
      <c r="Q36" s="656"/>
      <c r="R36" s="656"/>
      <c r="S36" s="657"/>
      <c r="T36" s="656"/>
      <c r="U36" s="656"/>
      <c r="V36" s="656"/>
      <c r="W36" s="20"/>
      <c r="X36" s="20"/>
      <c r="Y36" s="20"/>
      <c r="Z36" s="20"/>
      <c r="AA36" s="20"/>
      <c r="AB36" s="20"/>
      <c r="AC36" s="20"/>
    </row>
    <row r="37" spans="1:29" ht="15" customHeight="1">
      <c r="A37" s="464" t="s">
        <v>65</v>
      </c>
      <c r="B37" s="465"/>
      <c r="C37" s="465"/>
      <c r="D37" s="465"/>
      <c r="E37" s="465"/>
      <c r="F37" s="59"/>
      <c r="G37" s="465"/>
      <c r="H37" s="465"/>
      <c r="I37" s="465"/>
      <c r="J37" s="465"/>
      <c r="K37" s="59"/>
      <c r="L37" s="290"/>
      <c r="M37" s="659" t="s">
        <v>100</v>
      </c>
      <c r="N37" s="659"/>
      <c r="O37" s="659"/>
      <c r="P37" s="659"/>
      <c r="Q37" s="659"/>
      <c r="R37" s="659"/>
      <c r="S37" s="659"/>
      <c r="T37" s="659"/>
      <c r="U37" s="59"/>
      <c r="V37" s="465"/>
      <c r="W37" s="20"/>
      <c r="X37" s="20"/>
      <c r="Y37" s="20"/>
      <c r="Z37" s="20"/>
      <c r="AA37" s="20"/>
      <c r="AB37" s="20"/>
      <c r="AC37" s="20"/>
    </row>
    <row r="38" spans="1:29" ht="15" customHeight="1">
      <c r="A38" s="271" t="s">
        <v>85</v>
      </c>
      <c r="B38" s="20"/>
      <c r="C38" s="20"/>
      <c r="D38" s="20"/>
      <c r="E38" s="27"/>
      <c r="F38" s="47"/>
      <c r="G38" s="27"/>
      <c r="H38" s="27"/>
      <c r="I38" s="20"/>
      <c r="J38" s="27"/>
      <c r="K38" s="47"/>
      <c r="L38" s="27"/>
      <c r="M38" s="27"/>
      <c r="N38" s="47"/>
      <c r="O38" s="27"/>
      <c r="P38" s="57"/>
      <c r="Q38" s="51"/>
      <c r="R38" s="55"/>
      <c r="S38" s="51"/>
      <c r="T38" s="51"/>
      <c r="U38" s="55"/>
      <c r="V38" s="51"/>
      <c r="W38" s="20"/>
      <c r="X38" s="20"/>
      <c r="Y38" s="20"/>
      <c r="Z38" s="20"/>
      <c r="AA38" s="20"/>
      <c r="AB38" s="20"/>
      <c r="AC38" s="20"/>
    </row>
    <row r="39" spans="1:29" ht="15" customHeight="1">
      <c r="A39" s="271" t="s">
        <v>86</v>
      </c>
      <c r="B39" s="20"/>
      <c r="C39" s="20"/>
      <c r="D39" s="20"/>
      <c r="E39" s="27"/>
      <c r="F39" s="47"/>
      <c r="G39" s="27"/>
      <c r="H39" s="27"/>
      <c r="I39" s="20"/>
      <c r="J39" s="27"/>
      <c r="K39" s="47"/>
      <c r="L39" s="279" t="s">
        <v>196</v>
      </c>
      <c r="M39" s="27"/>
      <c r="N39" s="47"/>
      <c r="O39" s="27"/>
      <c r="P39" s="57"/>
      <c r="Q39" s="27"/>
      <c r="R39" s="47"/>
      <c r="U39" t="s">
        <v>210</v>
      </c>
      <c r="W39" t="s">
        <v>211</v>
      </c>
      <c r="Y39" s="20"/>
      <c r="Z39" s="20"/>
      <c r="AA39" s="20"/>
      <c r="AB39" s="20"/>
      <c r="AC39" s="20"/>
    </row>
    <row r="40" spans="1:29" ht="15" customHeight="1">
      <c r="A40" s="57"/>
      <c r="B40" s="20"/>
      <c r="C40" s="20"/>
      <c r="D40" s="20"/>
      <c r="E40" s="27"/>
      <c r="F40" s="47"/>
      <c r="G40" s="27"/>
      <c r="H40" s="27"/>
      <c r="I40" s="20"/>
      <c r="J40" s="27"/>
      <c r="K40" s="47"/>
      <c r="L40" s="279">
        <f>AVERAGE(H16:H20)</f>
        <v>0.12776406489551831</v>
      </c>
      <c r="M40" s="27"/>
      <c r="N40" s="47"/>
      <c r="O40" s="27"/>
      <c r="P40" s="57"/>
      <c r="Q40" s="27"/>
      <c r="R40" s="47"/>
      <c r="U40" t="s">
        <v>208</v>
      </c>
      <c r="V40" t="s">
        <v>209</v>
      </c>
      <c r="W40" t="s">
        <v>206</v>
      </c>
      <c r="X40" t="s">
        <v>207</v>
      </c>
      <c r="Y40" s="20" t="s">
        <v>212</v>
      </c>
      <c r="Z40" s="20"/>
      <c r="AA40" s="20"/>
      <c r="AB40" s="20"/>
      <c r="AC40" s="20"/>
    </row>
    <row r="41" spans="1:29" ht="15" customHeight="1">
      <c r="A41" s="658" t="s">
        <v>241</v>
      </c>
      <c r="B41" s="658"/>
      <c r="C41" s="658"/>
      <c r="D41" s="658"/>
      <c r="E41" s="658"/>
      <c r="F41" s="658"/>
      <c r="G41" s="658"/>
      <c r="H41" s="658"/>
      <c r="I41" s="658"/>
      <c r="J41" s="27"/>
      <c r="K41" s="47"/>
      <c r="L41" s="27"/>
      <c r="M41" s="27"/>
      <c r="N41" s="47"/>
      <c r="O41" s="27"/>
      <c r="P41" s="57"/>
      <c r="Q41" s="27"/>
      <c r="R41" s="47"/>
      <c r="S41" t="s">
        <v>203</v>
      </c>
      <c r="T41" s="455">
        <f>SUM(W41:Y41)/SUM(U41:V41)</f>
        <v>9.165037624186595E-2</v>
      </c>
      <c r="U41">
        <v>127403</v>
      </c>
      <c r="V41">
        <v>320713</v>
      </c>
      <c r="W41">
        <v>15419</v>
      </c>
      <c r="X41">
        <v>25551</v>
      </c>
      <c r="Y41" s="20">
        <v>100</v>
      </c>
      <c r="Z41" s="20"/>
      <c r="AA41" s="20"/>
      <c r="AB41" s="20"/>
      <c r="AC41" s="20"/>
    </row>
    <row r="42" spans="1:29" ht="15" customHeight="1">
      <c r="A42" s="57"/>
      <c r="B42" s="20"/>
      <c r="C42" s="20"/>
      <c r="D42" s="20"/>
      <c r="E42" s="27"/>
      <c r="F42" s="47"/>
      <c r="G42" s="27"/>
      <c r="H42" s="27"/>
      <c r="I42" s="20"/>
      <c r="J42" s="27"/>
      <c r="K42" s="47"/>
      <c r="L42" s="614"/>
      <c r="M42" s="129" t="s">
        <v>359</v>
      </c>
      <c r="N42" s="47"/>
      <c r="O42" s="27"/>
      <c r="P42" s="57"/>
      <c r="Q42" s="27"/>
      <c r="R42" s="47"/>
      <c r="S42" s="27"/>
      <c r="T42" s="27"/>
      <c r="U42" s="47"/>
      <c r="V42" s="27"/>
      <c r="W42" s="20"/>
      <c r="X42" s="20"/>
      <c r="Y42" s="20"/>
      <c r="Z42" s="20"/>
      <c r="AA42" s="20"/>
      <c r="AB42" s="20"/>
      <c r="AC42" s="20"/>
    </row>
    <row r="43" spans="1:29" ht="15" customHeight="1">
      <c r="A43" s="57"/>
      <c r="B43" s="20"/>
      <c r="C43" s="20"/>
      <c r="D43" s="20"/>
      <c r="E43" s="27"/>
      <c r="F43" s="47"/>
      <c r="G43" s="27"/>
      <c r="H43" s="27"/>
      <c r="I43" s="20"/>
      <c r="J43" s="27"/>
      <c r="K43" s="47"/>
      <c r="L43" s="27"/>
      <c r="M43" s="27"/>
      <c r="N43" s="47"/>
      <c r="O43" s="27"/>
      <c r="P43" s="57"/>
      <c r="Q43" s="27"/>
      <c r="R43" s="47"/>
      <c r="S43" s="27"/>
      <c r="T43" s="27"/>
      <c r="U43" s="47"/>
      <c r="V43" s="27"/>
      <c r="W43" s="20"/>
      <c r="X43" s="20"/>
      <c r="Y43" s="20"/>
      <c r="Z43" s="20"/>
      <c r="AA43" s="20"/>
      <c r="AB43" s="20"/>
      <c r="AC43" s="20"/>
    </row>
    <row r="44" spans="1:29" ht="15" customHeight="1">
      <c r="A44" s="57"/>
      <c r="B44" s="20"/>
      <c r="C44" s="20"/>
      <c r="D44" s="20"/>
      <c r="E44" s="43"/>
      <c r="F44" s="48"/>
      <c r="G44" s="43"/>
      <c r="H44" s="45"/>
      <c r="I44" s="45"/>
      <c r="J44" s="43"/>
      <c r="K44" s="48"/>
      <c r="L44" s="43"/>
      <c r="M44" s="43"/>
      <c r="N44" s="48"/>
      <c r="O44" s="43"/>
      <c r="P44" s="57"/>
      <c r="Q44" s="43"/>
      <c r="R44" s="48"/>
      <c r="S44" s="43"/>
      <c r="T44" s="43"/>
      <c r="U44" s="48"/>
      <c r="V44" s="43"/>
      <c r="W44" s="20"/>
      <c r="X44" s="20"/>
      <c r="Y44" s="20"/>
      <c r="Z44" s="20"/>
      <c r="AA44" s="20"/>
      <c r="AB44" s="20"/>
      <c r="AC44" s="20"/>
    </row>
    <row r="45" spans="1:29" ht="1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row>
    <row r="46" spans="1:29" ht="15" customHeight="1">
      <c r="A46" t="s">
        <v>6</v>
      </c>
      <c r="B46" t="s">
        <v>58</v>
      </c>
    </row>
    <row r="47" spans="1:29" ht="15" customHeight="1">
      <c r="B47" t="s">
        <v>7</v>
      </c>
    </row>
    <row r="48" spans="1:29" ht="15" customHeight="1">
      <c r="B48" s="56" t="s">
        <v>47</v>
      </c>
    </row>
    <row r="49" spans="1:24" ht="15" customHeight="1">
      <c r="B49" s="56"/>
    </row>
    <row r="50" spans="1:24" ht="15" customHeight="1">
      <c r="A50" s="6" t="s">
        <v>28</v>
      </c>
    </row>
    <row r="51" spans="1:24" ht="15" customHeight="1">
      <c r="A51" s="6" t="s">
        <v>37</v>
      </c>
    </row>
    <row r="52" spans="1:24" ht="15" customHeight="1" thickBot="1">
      <c r="B52" t="s">
        <v>38</v>
      </c>
      <c r="D52" s="66" t="s">
        <v>61</v>
      </c>
    </row>
    <row r="53" spans="1:24" ht="15" customHeight="1">
      <c r="A53" s="556" t="s">
        <v>288</v>
      </c>
      <c r="B53" s="557"/>
      <c r="C53" s="557"/>
      <c r="D53" s="570" t="s">
        <v>261</v>
      </c>
      <c r="E53" s="557"/>
      <c r="F53" s="557"/>
      <c r="G53" s="570" t="s">
        <v>257</v>
      </c>
      <c r="H53" s="557"/>
      <c r="I53" s="557"/>
      <c r="J53" s="558"/>
    </row>
    <row r="54" spans="1:24" ht="15" customHeight="1">
      <c r="A54" s="559"/>
      <c r="B54" s="560"/>
      <c r="C54" s="560"/>
      <c r="D54" s="560"/>
      <c r="E54" s="560"/>
      <c r="F54" s="560"/>
      <c r="G54" s="560"/>
      <c r="H54" s="560"/>
      <c r="I54" s="560"/>
      <c r="J54" s="561"/>
    </row>
    <row r="55" spans="1:24" ht="15" customHeight="1">
      <c r="A55" s="559"/>
      <c r="B55" s="560" t="s">
        <v>291</v>
      </c>
      <c r="C55" s="560"/>
      <c r="D55" s="560"/>
      <c r="E55" s="560"/>
      <c r="F55" s="560"/>
      <c r="G55" s="560"/>
      <c r="H55" s="560"/>
      <c r="I55" s="560"/>
      <c r="J55" s="561"/>
    </row>
    <row r="56" spans="1:24" ht="15" customHeight="1">
      <c r="A56" s="559"/>
      <c r="B56" s="566" t="s">
        <v>263</v>
      </c>
      <c r="C56" s="562">
        <f>1-G56</f>
        <v>0.98682626853205258</v>
      </c>
      <c r="D56" s="562">
        <f t="shared" ref="D56:E58" si="64">1-H56</f>
        <v>0.97424992398974652</v>
      </c>
      <c r="E56" s="562">
        <f t="shared" si="64"/>
        <v>0.96225677463400261</v>
      </c>
      <c r="F56" s="562"/>
      <c r="G56" s="562">
        <f t="shared" ref="G56:I58" si="65">M32</f>
        <v>1.3173731467947425E-2</v>
      </c>
      <c r="H56" s="562">
        <f t="shared" si="65"/>
        <v>2.5750076010253475E-2</v>
      </c>
      <c r="I56" s="562">
        <f t="shared" si="65"/>
        <v>3.774322536599739E-2</v>
      </c>
      <c r="J56" s="569"/>
    </row>
    <row r="57" spans="1:24" ht="15" customHeight="1">
      <c r="A57" s="559"/>
      <c r="B57" s="566" t="s">
        <v>260</v>
      </c>
      <c r="C57" s="562">
        <f t="shared" ref="C57:C58" si="66">1-G57</f>
        <v>0.96022960619474651</v>
      </c>
      <c r="D57" s="562">
        <f t="shared" si="64"/>
        <v>0.92204089661291799</v>
      </c>
      <c r="E57" s="562">
        <f t="shared" si="64"/>
        <v>0.88537096705007323</v>
      </c>
      <c r="F57" s="562"/>
      <c r="G57" s="562">
        <f t="shared" si="65"/>
        <v>3.977039380525349E-2</v>
      </c>
      <c r="H57" s="562">
        <f t="shared" si="65"/>
        <v>7.7959103387082007E-2</v>
      </c>
      <c r="I57" s="562">
        <f t="shared" si="65"/>
        <v>0.11462903294992677</v>
      </c>
      <c r="J57" s="569"/>
    </row>
    <row r="58" spans="1:24">
      <c r="A58" s="559"/>
      <c r="B58" s="566" t="s">
        <v>259</v>
      </c>
      <c r="C58" s="562">
        <f t="shared" si="66"/>
        <v>1.02756709557724</v>
      </c>
      <c r="D58" s="562">
        <f t="shared" si="64"/>
        <v>1.0558941359130447</v>
      </c>
      <c r="E58" s="562">
        <f t="shared" si="64"/>
        <v>1.085002070477207</v>
      </c>
      <c r="F58" s="562"/>
      <c r="G58" s="562">
        <f t="shared" si="65"/>
        <v>-2.7567095577240019E-2</v>
      </c>
      <c r="H58" s="562">
        <f t="shared" si="65"/>
        <v>-5.5894135913044707E-2</v>
      </c>
      <c r="I58" s="562">
        <f t="shared" si="65"/>
        <v>-8.5002070477206981E-2</v>
      </c>
      <c r="J58" s="569"/>
    </row>
    <row r="59" spans="1:24" ht="13.8" thickBot="1">
      <c r="A59" s="563"/>
      <c r="B59" s="564"/>
      <c r="C59" s="564"/>
      <c r="D59" s="564"/>
      <c r="E59" s="564"/>
      <c r="F59" s="564"/>
      <c r="G59" s="564"/>
      <c r="H59" s="564"/>
      <c r="I59" s="564"/>
      <c r="J59" s="565"/>
    </row>
    <row r="60" spans="1:24">
      <c r="V60" s="382"/>
      <c r="W60" s="382"/>
      <c r="X60" s="382"/>
    </row>
    <row r="61" spans="1:24">
      <c r="V61" s="382"/>
      <c r="W61" s="382"/>
      <c r="X61" s="382"/>
    </row>
    <row r="62" spans="1:24">
      <c r="V62" s="382"/>
      <c r="W62" s="382"/>
      <c r="X62" s="382"/>
    </row>
    <row r="63" spans="1:24">
      <c r="K63" t="s">
        <v>269</v>
      </c>
    </row>
    <row r="64" spans="1:24">
      <c r="K64" t="s">
        <v>270</v>
      </c>
    </row>
    <row r="65" spans="1:14">
      <c r="K65" t="s">
        <v>277</v>
      </c>
      <c r="M65" t="s">
        <v>271</v>
      </c>
    </row>
    <row r="66" spans="1:14">
      <c r="K66" t="s">
        <v>0</v>
      </c>
      <c r="L66" t="s">
        <v>273</v>
      </c>
      <c r="M66" t="s">
        <v>274</v>
      </c>
      <c r="N66" t="s">
        <v>275</v>
      </c>
    </row>
    <row r="67" spans="1:14">
      <c r="K67">
        <v>2009</v>
      </c>
      <c r="L67" s="61">
        <v>0.93278593886449801</v>
      </c>
      <c r="M67" s="455">
        <f>N67^2</f>
        <v>0.95467304496804395</v>
      </c>
      <c r="N67" s="455">
        <f>L67^(1/3)</f>
        <v>0.97707371521704744</v>
      </c>
    </row>
    <row r="68" spans="1:14">
      <c r="K68">
        <v>2010</v>
      </c>
      <c r="L68" s="36">
        <v>0.99217071551131208</v>
      </c>
      <c r="M68" s="455">
        <f t="shared" ref="M68:M76" si="67">N68^2</f>
        <v>0.99477364234405818</v>
      </c>
      <c r="N68" s="455">
        <f t="shared" ref="N68:N76" si="68">L68^(1/3)</f>
        <v>0.99738339786867225</v>
      </c>
    </row>
    <row r="69" spans="1:14">
      <c r="K69">
        <v>2011</v>
      </c>
      <c r="L69" s="36">
        <v>0.93785391804744533</v>
      </c>
      <c r="M69" s="455">
        <f t="shared" si="67"/>
        <v>0.95812785153786995</v>
      </c>
      <c r="N69" s="455">
        <f t="shared" si="68"/>
        <v>0.97884005411398545</v>
      </c>
    </row>
    <row r="70" spans="1:14">
      <c r="A70" s="571"/>
      <c r="B70" s="572" t="s">
        <v>264</v>
      </c>
      <c r="C70" s="445">
        <v>1</v>
      </c>
      <c r="D70" s="445">
        <v>2</v>
      </c>
      <c r="E70" s="445">
        <v>3</v>
      </c>
      <c r="F70" s="445"/>
      <c r="G70" s="445">
        <v>1</v>
      </c>
      <c r="H70" s="445">
        <v>2</v>
      </c>
      <c r="I70" s="445">
        <v>3</v>
      </c>
      <c r="J70" s="573"/>
      <c r="K70">
        <v>2012</v>
      </c>
      <c r="L70" s="36">
        <v>1.0270552858343898</v>
      </c>
      <c r="M70" s="455">
        <f t="shared" si="67"/>
        <v>1.0179564879897018</v>
      </c>
      <c r="N70" s="455">
        <f t="shared" si="68"/>
        <v>1.0089382974145158</v>
      </c>
    </row>
    <row r="71" spans="1:14">
      <c r="A71" s="571"/>
      <c r="B71" s="572" t="s">
        <v>263</v>
      </c>
      <c r="C71" s="574">
        <f>AVERAGE(M22:M26)</f>
        <v>0.98720901223931057</v>
      </c>
      <c r="D71" s="574">
        <f>AVERAGE(N22:N26)</f>
        <v>0.97507008748463375</v>
      </c>
      <c r="E71" s="574">
        <f>AVERAGE(O22:O26)</f>
        <v>0.96357201705256057</v>
      </c>
      <c r="F71" s="445"/>
      <c r="G71" s="574">
        <f>1-C71</f>
        <v>1.2790987760689432E-2</v>
      </c>
      <c r="H71" s="574">
        <f t="shared" ref="H71:I71" si="69">1-D71</f>
        <v>2.4929912515366248E-2</v>
      </c>
      <c r="I71" s="574">
        <f t="shared" si="69"/>
        <v>3.642798294743943E-2</v>
      </c>
      <c r="J71" s="573"/>
      <c r="K71">
        <v>2013</v>
      </c>
      <c r="L71" s="36">
        <v>0.88537096705007323</v>
      </c>
      <c r="M71" s="455">
        <f t="shared" si="67"/>
        <v>0.92204089661291799</v>
      </c>
      <c r="N71" s="455">
        <f t="shared" si="68"/>
        <v>0.96022960619474651</v>
      </c>
    </row>
    <row r="72" spans="1:14">
      <c r="A72" s="571"/>
      <c r="B72" s="572" t="s">
        <v>260</v>
      </c>
      <c r="C72" s="574">
        <f>MIN(M22:M26)</f>
        <v>0.96252232713721031</v>
      </c>
      <c r="D72" s="574">
        <f>MIN(N22:N26)</f>
        <v>0.92644923023763093</v>
      </c>
      <c r="E72" s="574">
        <f>MIN(O22:O26)</f>
        <v>0.89172806906280166</v>
      </c>
      <c r="F72" s="445"/>
      <c r="G72" s="574">
        <f t="shared" ref="G72:G73" si="70">1-C72</f>
        <v>3.747767286278969E-2</v>
      </c>
      <c r="H72" s="574">
        <f t="shared" ref="H72:H73" si="71">1-D72</f>
        <v>7.3550769762369073E-2</v>
      </c>
      <c r="I72" s="574">
        <f t="shared" ref="I72:I73" si="72">1-E72</f>
        <v>0.10827193093719834</v>
      </c>
      <c r="J72" s="573"/>
      <c r="K72">
        <v>2014</v>
      </c>
      <c r="L72" s="36">
        <v>0.96780630918598642</v>
      </c>
      <c r="M72" s="455">
        <f t="shared" si="67"/>
        <v>0.97842070079567367</v>
      </c>
      <c r="N72" s="455">
        <f t="shared" si="68"/>
        <v>0.98915150548117436</v>
      </c>
    </row>
    <row r="73" spans="1:14">
      <c r="A73" s="571"/>
      <c r="B73" s="572" t="s">
        <v>259</v>
      </c>
      <c r="C73" s="574">
        <f>MAX(M22:M26)</f>
        <v>1.02756709557724</v>
      </c>
      <c r="D73" s="574">
        <f>MAX(N22:N26)</f>
        <v>1.0558941359130447</v>
      </c>
      <c r="E73" s="574">
        <f>MAX(O22:O26)</f>
        <v>1.085002070477207</v>
      </c>
      <c r="F73" s="445"/>
      <c r="G73" s="574">
        <f t="shared" si="70"/>
        <v>-2.7567095577240019E-2</v>
      </c>
      <c r="H73" s="574">
        <f t="shared" si="71"/>
        <v>-5.5894135913044707E-2</v>
      </c>
      <c r="I73" s="574">
        <f t="shared" si="72"/>
        <v>-8.5002070477206981E-2</v>
      </c>
      <c r="J73" s="573"/>
      <c r="K73">
        <v>2015</v>
      </c>
      <c r="L73" s="36">
        <v>0.95030877591638496</v>
      </c>
      <c r="M73" s="455">
        <f t="shared" si="67"/>
        <v>0.96659191889669804</v>
      </c>
      <c r="N73" s="455">
        <f t="shared" si="68"/>
        <v>0.98315406671421446</v>
      </c>
    </row>
    <row r="74" spans="1:14">
      <c r="K74">
        <v>2016</v>
      </c>
      <c r="L74" s="36">
        <v>1.0850020704772068</v>
      </c>
      <c r="M74" s="455">
        <f t="shared" si="67"/>
        <v>1.0558941359130447</v>
      </c>
      <c r="N74" s="455">
        <f t="shared" si="68"/>
        <v>1.02756709557724</v>
      </c>
    </row>
    <row r="75" spans="1:14">
      <c r="K75">
        <v>2017</v>
      </c>
      <c r="L75" s="36">
        <v>0.92301486062042259</v>
      </c>
      <c r="M75" s="455">
        <f t="shared" si="67"/>
        <v>0.94799445158012197</v>
      </c>
      <c r="N75" s="455">
        <f t="shared" si="68"/>
        <v>0.97365006628671369</v>
      </c>
    </row>
    <row r="76" spans="1:14">
      <c r="K76">
        <v>2018</v>
      </c>
      <c r="L76" s="36">
        <v>0.89172806906280155</v>
      </c>
      <c r="M76" s="455">
        <f t="shared" si="67"/>
        <v>0.92644923023763093</v>
      </c>
      <c r="N76" s="455">
        <f t="shared" si="68"/>
        <v>0.96252232713721031</v>
      </c>
    </row>
    <row r="77" spans="1:14">
      <c r="K77" t="s">
        <v>272</v>
      </c>
      <c r="L77" s="382">
        <f>AVERAGE(L72:L76)</f>
        <v>0.96357201705256057</v>
      </c>
      <c r="M77" s="382">
        <f t="shared" ref="M77:N77" si="73">AVERAGE(M72:M76)</f>
        <v>0.97507008748463375</v>
      </c>
      <c r="N77" s="382">
        <f t="shared" si="73"/>
        <v>0.98720901223931057</v>
      </c>
    </row>
    <row r="78" spans="1:14">
      <c r="K78" t="s">
        <v>276</v>
      </c>
      <c r="L78" s="382">
        <f>AVERAGE(L67:L76)</f>
        <v>0.95930969105705211</v>
      </c>
      <c r="M78" s="382">
        <f t="shared" ref="M78:N78" si="74">AVERAGE(M67:M76)</f>
        <v>0.9722922360875762</v>
      </c>
      <c r="N78" s="382">
        <f t="shared" si="74"/>
        <v>0.9858510132005518</v>
      </c>
    </row>
    <row r="83" spans="1:21">
      <c r="B83" t="s">
        <v>359</v>
      </c>
    </row>
    <row r="84" spans="1:21">
      <c r="P84" t="s">
        <v>360</v>
      </c>
    </row>
    <row r="86" spans="1:21" ht="14.4">
      <c r="A86" s="609" t="s">
        <v>333</v>
      </c>
      <c r="B86" s="609" t="s">
        <v>343</v>
      </c>
      <c r="C86" s="609" t="s">
        <v>356</v>
      </c>
      <c r="D86" s="609" t="s">
        <v>308</v>
      </c>
      <c r="E86" s="609" t="s">
        <v>231</v>
      </c>
      <c r="F86" s="609" t="s">
        <v>232</v>
      </c>
      <c r="G86" s="609" t="s">
        <v>309</v>
      </c>
      <c r="H86" s="609" t="s">
        <v>233</v>
      </c>
      <c r="J86" s="624" t="s">
        <v>346</v>
      </c>
      <c r="K86" s="624" t="s">
        <v>347</v>
      </c>
      <c r="L86" s="624" t="s">
        <v>348</v>
      </c>
      <c r="M86" s="624" t="s">
        <v>33</v>
      </c>
      <c r="P86" s="609" t="s">
        <v>310</v>
      </c>
      <c r="Q86" s="609" t="s">
        <v>234</v>
      </c>
      <c r="R86" s="609" t="s">
        <v>235</v>
      </c>
      <c r="S86" s="609" t="s">
        <v>344</v>
      </c>
      <c r="T86" s="609" t="s">
        <v>345</v>
      </c>
      <c r="U86" s="609" t="s">
        <v>314</v>
      </c>
    </row>
    <row r="87" spans="1:21" ht="28.8">
      <c r="A87" s="610" t="s">
        <v>335</v>
      </c>
      <c r="B87" s="611">
        <v>2010</v>
      </c>
      <c r="C87" s="610" t="s">
        <v>357</v>
      </c>
      <c r="D87" s="610" t="s">
        <v>358</v>
      </c>
      <c r="E87" s="611">
        <v>106</v>
      </c>
      <c r="F87" s="625"/>
      <c r="G87" s="625"/>
      <c r="H87" s="611">
        <v>98</v>
      </c>
      <c r="J87" s="604"/>
      <c r="K87" s="604"/>
      <c r="L87" s="604"/>
      <c r="M87" s="455">
        <f>H87/E87</f>
        <v>0.92452830188679247</v>
      </c>
      <c r="P87" s="611">
        <v>0</v>
      </c>
      <c r="Q87" s="611">
        <v>0</v>
      </c>
      <c r="R87" s="611">
        <v>0</v>
      </c>
      <c r="S87" s="611">
        <v>0</v>
      </c>
      <c r="T87" s="611">
        <v>17</v>
      </c>
      <c r="U87" s="611">
        <v>7</v>
      </c>
    </row>
    <row r="88" spans="1:21" ht="28.8">
      <c r="A88" s="610" t="s">
        <v>335</v>
      </c>
      <c r="B88" s="611">
        <v>2011</v>
      </c>
      <c r="C88" s="610" t="s">
        <v>357</v>
      </c>
      <c r="D88" s="610" t="s">
        <v>358</v>
      </c>
      <c r="E88" s="611">
        <v>220</v>
      </c>
      <c r="F88" s="625"/>
      <c r="G88" s="625"/>
      <c r="H88" s="611">
        <v>195</v>
      </c>
      <c r="J88" s="604"/>
      <c r="K88" s="604"/>
      <c r="L88" s="604"/>
      <c r="M88" s="455">
        <f t="shared" ref="M88:M99" si="75">H88/E88</f>
        <v>0.88636363636363635</v>
      </c>
      <c r="P88" s="611">
        <v>5</v>
      </c>
      <c r="Q88" s="611">
        <v>0</v>
      </c>
      <c r="R88" s="611">
        <v>0</v>
      </c>
      <c r="S88" s="611">
        <v>0</v>
      </c>
      <c r="T88" s="611">
        <v>16</v>
      </c>
      <c r="U88" s="611">
        <v>7</v>
      </c>
    </row>
    <row r="89" spans="1:21" ht="28.8">
      <c r="A89" s="610" t="s">
        <v>335</v>
      </c>
      <c r="B89" s="611">
        <v>2012</v>
      </c>
      <c r="C89" s="610" t="s">
        <v>357</v>
      </c>
      <c r="D89" s="610" t="s">
        <v>358</v>
      </c>
      <c r="E89" s="611">
        <v>145</v>
      </c>
      <c r="F89" s="625"/>
      <c r="G89" s="625"/>
      <c r="H89" s="611">
        <v>125</v>
      </c>
      <c r="J89" s="604"/>
      <c r="K89" s="604"/>
      <c r="L89" s="604"/>
      <c r="M89" s="455">
        <f t="shared" si="75"/>
        <v>0.86206896551724133</v>
      </c>
      <c r="P89" s="611">
        <v>0</v>
      </c>
      <c r="Q89" s="611">
        <v>0</v>
      </c>
      <c r="R89" s="611">
        <v>0</v>
      </c>
      <c r="S89" s="611">
        <v>0</v>
      </c>
      <c r="T89" s="611">
        <v>4</v>
      </c>
      <c r="U89" s="611">
        <v>0</v>
      </c>
    </row>
    <row r="90" spans="1:21" ht="28.8">
      <c r="A90" s="610" t="s">
        <v>335</v>
      </c>
      <c r="B90" s="611">
        <v>2013</v>
      </c>
      <c r="C90" s="610" t="s">
        <v>357</v>
      </c>
      <c r="D90" s="610" t="s">
        <v>358</v>
      </c>
      <c r="E90" s="611">
        <v>311</v>
      </c>
      <c r="F90" s="611">
        <v>288</v>
      </c>
      <c r="G90" s="625"/>
      <c r="H90" s="611">
        <v>262</v>
      </c>
      <c r="J90" s="455">
        <f t="shared" ref="J90:J99" si="76">F90/E90</f>
        <v>0.92604501607717038</v>
      </c>
      <c r="K90" s="604"/>
      <c r="L90" s="604"/>
      <c r="M90" s="455">
        <f t="shared" si="75"/>
        <v>0.842443729903537</v>
      </c>
      <c r="P90" s="611">
        <v>0</v>
      </c>
      <c r="Q90" s="611">
        <v>0</v>
      </c>
      <c r="R90" s="611">
        <v>0</v>
      </c>
      <c r="S90" s="611">
        <v>0</v>
      </c>
      <c r="T90" s="611">
        <v>43</v>
      </c>
      <c r="U90" s="611">
        <v>30</v>
      </c>
    </row>
    <row r="91" spans="1:21" ht="28.8">
      <c r="A91" s="610" t="s">
        <v>335</v>
      </c>
      <c r="B91" s="611">
        <v>2014</v>
      </c>
      <c r="C91" s="610" t="s">
        <v>357</v>
      </c>
      <c r="D91" s="610" t="s">
        <v>358</v>
      </c>
      <c r="E91" s="611">
        <v>495</v>
      </c>
      <c r="F91" s="611">
        <v>465</v>
      </c>
      <c r="G91" s="625"/>
      <c r="H91" s="611">
        <v>454</v>
      </c>
      <c r="J91" s="455">
        <f t="shared" si="76"/>
        <v>0.93939393939393945</v>
      </c>
      <c r="K91" s="604"/>
      <c r="L91" s="604"/>
      <c r="M91" s="455">
        <f t="shared" si="75"/>
        <v>0.91717171717171719</v>
      </c>
      <c r="P91" s="611">
        <v>10</v>
      </c>
      <c r="Q91" s="611">
        <v>10</v>
      </c>
      <c r="R91" s="611">
        <v>10</v>
      </c>
      <c r="S91" s="611">
        <v>10</v>
      </c>
      <c r="T91" s="611">
        <v>76</v>
      </c>
      <c r="U91" s="611">
        <v>26</v>
      </c>
    </row>
    <row r="92" spans="1:21" ht="28.8">
      <c r="A92" s="610" t="s">
        <v>335</v>
      </c>
      <c r="B92" s="611">
        <v>2015</v>
      </c>
      <c r="C92" s="610" t="s">
        <v>357</v>
      </c>
      <c r="D92" s="610" t="s">
        <v>358</v>
      </c>
      <c r="E92" s="611">
        <v>378</v>
      </c>
      <c r="F92" s="611">
        <v>345</v>
      </c>
      <c r="G92" s="625"/>
      <c r="H92" s="611">
        <v>347</v>
      </c>
      <c r="J92" s="455">
        <f t="shared" si="76"/>
        <v>0.91269841269841268</v>
      </c>
      <c r="K92" s="604"/>
      <c r="L92" s="604"/>
      <c r="M92" s="455">
        <f t="shared" si="75"/>
        <v>0.91798941798941802</v>
      </c>
      <c r="P92" s="611">
        <v>43</v>
      </c>
      <c r="Q92" s="611">
        <v>34</v>
      </c>
      <c r="R92" s="611">
        <v>31</v>
      </c>
      <c r="S92" s="611">
        <v>31</v>
      </c>
      <c r="T92" s="611">
        <v>32</v>
      </c>
      <c r="U92" s="611">
        <v>13</v>
      </c>
    </row>
    <row r="93" spans="1:21" ht="28.8">
      <c r="A93" s="610" t="s">
        <v>335</v>
      </c>
      <c r="B93" s="611">
        <v>2016</v>
      </c>
      <c r="C93" s="610" t="s">
        <v>357</v>
      </c>
      <c r="D93" s="610" t="s">
        <v>358</v>
      </c>
      <c r="E93" s="611">
        <v>192</v>
      </c>
      <c r="F93" s="611">
        <v>184</v>
      </c>
      <c r="G93" s="625"/>
      <c r="H93" s="611">
        <v>176</v>
      </c>
      <c r="J93" s="455">
        <f t="shared" si="76"/>
        <v>0.95833333333333337</v>
      </c>
      <c r="K93" s="604"/>
      <c r="L93" s="604"/>
      <c r="M93" s="455">
        <f t="shared" si="75"/>
        <v>0.91666666666666663</v>
      </c>
      <c r="P93" s="611">
        <v>0</v>
      </c>
      <c r="Q93" s="611">
        <v>0</v>
      </c>
      <c r="R93" s="611">
        <v>0</v>
      </c>
      <c r="S93" s="611">
        <v>0</v>
      </c>
      <c r="T93" s="611">
        <v>8</v>
      </c>
      <c r="U93" s="611">
        <v>8</v>
      </c>
    </row>
    <row r="94" spans="1:21" ht="28.8">
      <c r="A94" s="610" t="s">
        <v>335</v>
      </c>
      <c r="B94" s="611">
        <v>2017</v>
      </c>
      <c r="C94" s="610" t="s">
        <v>357</v>
      </c>
      <c r="D94" s="610" t="s">
        <v>358</v>
      </c>
      <c r="E94" s="611">
        <v>135</v>
      </c>
      <c r="F94" s="611">
        <v>125</v>
      </c>
      <c r="G94" s="625"/>
      <c r="H94" s="611">
        <v>125</v>
      </c>
      <c r="J94" s="455">
        <f t="shared" si="76"/>
        <v>0.92592592592592593</v>
      </c>
      <c r="K94" s="604"/>
      <c r="L94" s="604"/>
      <c r="M94" s="455">
        <f t="shared" si="75"/>
        <v>0.92592592592592593</v>
      </c>
      <c r="P94" s="611">
        <v>6</v>
      </c>
      <c r="Q94" s="611">
        <v>0</v>
      </c>
      <c r="R94" s="611">
        <v>0</v>
      </c>
      <c r="S94" s="611">
        <v>0</v>
      </c>
      <c r="T94" s="611">
        <v>22</v>
      </c>
      <c r="U94" s="611">
        <v>8</v>
      </c>
    </row>
    <row r="95" spans="1:21" ht="28.8">
      <c r="A95" s="610" t="s">
        <v>335</v>
      </c>
      <c r="B95" s="611">
        <v>2018</v>
      </c>
      <c r="C95" s="610" t="s">
        <v>357</v>
      </c>
      <c r="D95" s="610" t="s">
        <v>358</v>
      </c>
      <c r="E95" s="611">
        <v>220</v>
      </c>
      <c r="F95" s="611">
        <v>207</v>
      </c>
      <c r="G95" s="611">
        <v>197</v>
      </c>
      <c r="H95" s="611">
        <v>204</v>
      </c>
      <c r="J95" s="455">
        <f t="shared" si="76"/>
        <v>0.94090909090909092</v>
      </c>
      <c r="K95" s="455">
        <f t="shared" ref="K95:K99" si="77">G95/F95</f>
        <v>0.95169082125603865</v>
      </c>
      <c r="L95" s="455">
        <f t="shared" ref="L95:L99" si="78">H95/G95</f>
        <v>1.0355329949238579</v>
      </c>
      <c r="M95" s="455">
        <f t="shared" si="75"/>
        <v>0.92727272727272725</v>
      </c>
      <c r="P95" s="611">
        <v>7</v>
      </c>
      <c r="Q95" s="611">
        <v>7</v>
      </c>
      <c r="R95" s="611">
        <v>7</v>
      </c>
      <c r="S95" s="611">
        <v>0</v>
      </c>
      <c r="T95" s="611">
        <v>67</v>
      </c>
      <c r="U95" s="611">
        <v>32</v>
      </c>
    </row>
    <row r="96" spans="1:21" ht="28.8">
      <c r="A96" s="610" t="s">
        <v>335</v>
      </c>
      <c r="B96" s="611">
        <v>2019</v>
      </c>
      <c r="C96" s="610" t="s">
        <v>357</v>
      </c>
      <c r="D96" s="610" t="s">
        <v>358</v>
      </c>
      <c r="E96" s="611">
        <v>141</v>
      </c>
      <c r="F96" s="611">
        <v>136</v>
      </c>
      <c r="G96" s="611">
        <v>125</v>
      </c>
      <c r="H96" s="611">
        <v>126</v>
      </c>
      <c r="J96" s="455">
        <f t="shared" si="76"/>
        <v>0.96453900709219853</v>
      </c>
      <c r="K96" s="455">
        <f t="shared" si="77"/>
        <v>0.91911764705882348</v>
      </c>
      <c r="L96" s="455">
        <f t="shared" si="78"/>
        <v>1.008</v>
      </c>
      <c r="M96" s="455">
        <f t="shared" si="75"/>
        <v>0.8936170212765957</v>
      </c>
      <c r="P96" s="611">
        <v>7</v>
      </c>
      <c r="Q96" s="611">
        <v>0</v>
      </c>
      <c r="R96" s="611">
        <v>0</v>
      </c>
      <c r="S96" s="611">
        <v>0</v>
      </c>
      <c r="T96" s="611">
        <v>22</v>
      </c>
      <c r="U96" s="611">
        <v>15</v>
      </c>
    </row>
    <row r="97" spans="1:21" ht="28.8">
      <c r="A97" s="610" t="s">
        <v>335</v>
      </c>
      <c r="B97" s="611">
        <v>2020</v>
      </c>
      <c r="C97" s="610" t="s">
        <v>357</v>
      </c>
      <c r="D97" s="610" t="s">
        <v>358</v>
      </c>
      <c r="E97" s="611">
        <v>160</v>
      </c>
      <c r="F97" s="611">
        <v>156</v>
      </c>
      <c r="G97" s="611">
        <v>146</v>
      </c>
      <c r="H97" s="611">
        <v>148</v>
      </c>
      <c r="J97" s="455">
        <f t="shared" si="76"/>
        <v>0.97499999999999998</v>
      </c>
      <c r="K97" s="455">
        <f t="shared" si="77"/>
        <v>0.9358974358974359</v>
      </c>
      <c r="L97" s="455">
        <f t="shared" si="78"/>
        <v>1.0136986301369864</v>
      </c>
      <c r="M97" s="455">
        <f t="shared" si="75"/>
        <v>0.92500000000000004</v>
      </c>
      <c r="P97" s="611">
        <v>0</v>
      </c>
      <c r="Q97" s="611">
        <v>0</v>
      </c>
      <c r="R97" s="611">
        <v>0</v>
      </c>
      <c r="S97" s="611">
        <v>0</v>
      </c>
      <c r="T97" s="611">
        <v>55</v>
      </c>
      <c r="U97" s="611">
        <v>21</v>
      </c>
    </row>
    <row r="98" spans="1:21" ht="28.8">
      <c r="A98" s="610" t="s">
        <v>335</v>
      </c>
      <c r="B98" s="611">
        <v>2021</v>
      </c>
      <c r="C98" s="610" t="s">
        <v>357</v>
      </c>
      <c r="D98" s="610" t="s">
        <v>358</v>
      </c>
      <c r="E98" s="611">
        <v>152</v>
      </c>
      <c r="F98" s="611">
        <v>151</v>
      </c>
      <c r="G98" s="611">
        <v>148</v>
      </c>
      <c r="H98" s="611">
        <v>147</v>
      </c>
      <c r="J98" s="455">
        <f t="shared" si="76"/>
        <v>0.99342105263157898</v>
      </c>
      <c r="K98" s="455">
        <f t="shared" si="77"/>
        <v>0.98013245033112584</v>
      </c>
      <c r="L98" s="455">
        <f t="shared" si="78"/>
        <v>0.9932432432432432</v>
      </c>
      <c r="M98" s="455">
        <f t="shared" si="75"/>
        <v>0.96710526315789469</v>
      </c>
      <c r="P98" s="611">
        <v>0</v>
      </c>
      <c r="Q98" s="611">
        <v>0</v>
      </c>
      <c r="R98" s="611">
        <v>0</v>
      </c>
      <c r="S98" s="611">
        <v>0</v>
      </c>
      <c r="T98" s="611">
        <v>5</v>
      </c>
      <c r="U98" s="611">
        <v>0</v>
      </c>
    </row>
    <row r="99" spans="1:21" ht="28.8">
      <c r="A99" s="610" t="s">
        <v>335</v>
      </c>
      <c r="B99" s="611">
        <v>2022</v>
      </c>
      <c r="C99" s="610" t="s">
        <v>357</v>
      </c>
      <c r="D99" s="610" t="s">
        <v>358</v>
      </c>
      <c r="E99" s="611">
        <v>124</v>
      </c>
      <c r="F99" s="611">
        <v>110</v>
      </c>
      <c r="G99" s="611">
        <v>110</v>
      </c>
      <c r="H99" s="611">
        <v>89</v>
      </c>
      <c r="J99" s="455">
        <f t="shared" si="76"/>
        <v>0.88709677419354838</v>
      </c>
      <c r="K99" s="455">
        <f t="shared" si="77"/>
        <v>1</v>
      </c>
      <c r="L99" s="455">
        <f t="shared" si="78"/>
        <v>0.80909090909090908</v>
      </c>
      <c r="M99" s="455">
        <f t="shared" si="75"/>
        <v>0.717741935483871</v>
      </c>
      <c r="P99" s="611">
        <v>0</v>
      </c>
      <c r="Q99" s="611">
        <v>0</v>
      </c>
      <c r="R99" s="611">
        <v>0</v>
      </c>
      <c r="S99" s="611">
        <v>0</v>
      </c>
      <c r="T99" s="611">
        <v>42</v>
      </c>
      <c r="U99" s="611">
        <v>7</v>
      </c>
    </row>
  </sheetData>
  <mergeCells count="19">
    <mergeCell ref="J2:P2"/>
    <mergeCell ref="B6:O6"/>
    <mergeCell ref="P6:AC6"/>
    <mergeCell ref="B7:D7"/>
    <mergeCell ref="E7:G7"/>
    <mergeCell ref="H7:I7"/>
    <mergeCell ref="J7:L7"/>
    <mergeCell ref="M7:O7"/>
    <mergeCell ref="Q7:S7"/>
    <mergeCell ref="T7:V7"/>
    <mergeCell ref="Q36:S36"/>
    <mergeCell ref="A41:I41"/>
    <mergeCell ref="T36:V36"/>
    <mergeCell ref="M37:T37"/>
    <mergeCell ref="B36:D36"/>
    <mergeCell ref="E36:G36"/>
    <mergeCell ref="H36:I36"/>
    <mergeCell ref="J36:L36"/>
    <mergeCell ref="M36:O36"/>
  </mergeCells>
  <pageMargins left="0.7" right="0.7" top="0.75" bottom="0.75" header="0.3" footer="0.3"/>
  <pageSetup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841D-5846-4B72-A70C-C2D26B505E9E}">
  <dimension ref="A1:J45"/>
  <sheetViews>
    <sheetView topLeftCell="A15" workbookViewId="0">
      <selection activeCell="M11" sqref="M11"/>
    </sheetView>
  </sheetViews>
  <sheetFormatPr defaultRowHeight="13.2"/>
  <cols>
    <col min="6" max="6" width="18.33203125" style="651" customWidth="1"/>
    <col min="10" max="10" width="8.88671875" style="546"/>
  </cols>
  <sheetData>
    <row r="1" spans="1:10" ht="14.4">
      <c r="A1" s="644" t="s">
        <v>230</v>
      </c>
      <c r="B1" s="644" t="s">
        <v>333</v>
      </c>
      <c r="C1" s="644" t="s">
        <v>389</v>
      </c>
      <c r="D1" s="644" t="s">
        <v>390</v>
      </c>
      <c r="E1" s="644" t="s">
        <v>391</v>
      </c>
      <c r="F1" s="649" t="s">
        <v>392</v>
      </c>
      <c r="G1" s="644" t="s">
        <v>393</v>
      </c>
      <c r="H1" s="644" t="s">
        <v>394</v>
      </c>
      <c r="I1" s="644" t="s">
        <v>395</v>
      </c>
      <c r="J1" s="652" t="s">
        <v>396</v>
      </c>
    </row>
    <row r="2" spans="1:10" ht="14.4">
      <c r="A2" s="645">
        <v>2008</v>
      </c>
      <c r="B2" s="646" t="s">
        <v>335</v>
      </c>
      <c r="C2" s="645">
        <v>834</v>
      </c>
      <c r="D2" s="645">
        <v>0</v>
      </c>
      <c r="E2" s="645">
        <v>0</v>
      </c>
      <c r="F2" s="650">
        <v>604</v>
      </c>
      <c r="G2" s="645">
        <v>559</v>
      </c>
      <c r="H2" s="645">
        <v>0</v>
      </c>
      <c r="I2" s="645">
        <v>0</v>
      </c>
      <c r="J2" s="653">
        <v>593</v>
      </c>
    </row>
    <row r="3" spans="1:10" ht="14.4">
      <c r="A3" s="645">
        <v>2008</v>
      </c>
      <c r="B3" s="646" t="s">
        <v>401</v>
      </c>
      <c r="C3" s="645">
        <v>62</v>
      </c>
      <c r="D3" s="645">
        <v>0</v>
      </c>
      <c r="E3" s="645">
        <v>0</v>
      </c>
      <c r="F3" s="650">
        <v>43</v>
      </c>
      <c r="G3" s="645">
        <v>42</v>
      </c>
      <c r="H3" s="645">
        <v>0</v>
      </c>
      <c r="I3" s="645">
        <v>0</v>
      </c>
      <c r="J3" s="653">
        <v>40</v>
      </c>
    </row>
    <row r="4" spans="1:10" ht="14.4">
      <c r="A4" s="645">
        <v>2008</v>
      </c>
      <c r="B4" s="646" t="s">
        <v>328</v>
      </c>
      <c r="C4" s="645">
        <v>337</v>
      </c>
      <c r="D4" s="645">
        <v>0</v>
      </c>
      <c r="E4" s="645">
        <v>0</v>
      </c>
      <c r="F4" s="650">
        <v>216</v>
      </c>
      <c r="G4" s="645">
        <v>205</v>
      </c>
      <c r="H4" s="645">
        <v>0</v>
      </c>
      <c r="I4" s="645">
        <v>0</v>
      </c>
      <c r="J4" s="653">
        <v>193</v>
      </c>
    </row>
    <row r="5" spans="1:10" ht="14.4">
      <c r="A5" s="645">
        <v>2009</v>
      </c>
      <c r="B5" s="646" t="s">
        <v>335</v>
      </c>
      <c r="C5" s="645">
        <v>437</v>
      </c>
      <c r="D5" s="645">
        <v>0</v>
      </c>
      <c r="E5" s="645">
        <v>0</v>
      </c>
      <c r="F5" s="650">
        <v>282</v>
      </c>
      <c r="G5" s="645">
        <v>270</v>
      </c>
      <c r="H5" s="645">
        <v>0</v>
      </c>
      <c r="I5" s="645">
        <v>0</v>
      </c>
      <c r="J5" s="653">
        <v>276</v>
      </c>
    </row>
    <row r="6" spans="1:10" ht="14.4">
      <c r="A6" s="645">
        <v>2009</v>
      </c>
      <c r="B6" s="646" t="s">
        <v>401</v>
      </c>
      <c r="C6" s="645">
        <v>42</v>
      </c>
      <c r="D6" s="645">
        <v>0</v>
      </c>
      <c r="E6" s="645">
        <v>0</v>
      </c>
      <c r="F6" s="650">
        <v>27</v>
      </c>
      <c r="G6" s="645">
        <v>26</v>
      </c>
      <c r="H6" s="645">
        <v>0</v>
      </c>
      <c r="I6" s="645">
        <v>0</v>
      </c>
      <c r="J6" s="653">
        <v>24</v>
      </c>
    </row>
    <row r="7" spans="1:10" ht="14.4">
      <c r="A7" s="645">
        <v>2009</v>
      </c>
      <c r="B7" s="646" t="s">
        <v>328</v>
      </c>
      <c r="C7" s="645">
        <v>198</v>
      </c>
      <c r="D7" s="645">
        <v>0</v>
      </c>
      <c r="E7" s="645">
        <v>0</v>
      </c>
      <c r="F7" s="650">
        <v>118</v>
      </c>
      <c r="G7" s="645">
        <v>110</v>
      </c>
      <c r="H7" s="645">
        <v>0</v>
      </c>
      <c r="I7" s="645">
        <v>0</v>
      </c>
      <c r="J7" s="653">
        <v>104</v>
      </c>
    </row>
    <row r="8" spans="1:10" ht="14.4">
      <c r="A8" s="645">
        <v>2010</v>
      </c>
      <c r="B8" s="646" t="s">
        <v>335</v>
      </c>
      <c r="C8" s="645">
        <v>3346</v>
      </c>
      <c r="D8" s="645">
        <v>0</v>
      </c>
      <c r="E8" s="645">
        <v>1</v>
      </c>
      <c r="F8" s="650">
        <v>2403</v>
      </c>
      <c r="G8" s="645">
        <v>2205</v>
      </c>
      <c r="H8" s="645">
        <v>0</v>
      </c>
      <c r="I8" s="645">
        <v>0</v>
      </c>
      <c r="J8" s="653">
        <v>2306</v>
      </c>
    </row>
    <row r="9" spans="1:10" ht="14.4">
      <c r="A9" s="645">
        <v>2010</v>
      </c>
      <c r="B9" s="646" t="s">
        <v>401</v>
      </c>
      <c r="C9" s="645">
        <v>4</v>
      </c>
      <c r="D9" s="645">
        <v>0</v>
      </c>
      <c r="E9" s="645">
        <v>0</v>
      </c>
      <c r="F9" s="650">
        <v>2</v>
      </c>
      <c r="G9" s="645">
        <v>2</v>
      </c>
      <c r="H9" s="645">
        <v>0</v>
      </c>
      <c r="I9" s="645">
        <v>0</v>
      </c>
      <c r="J9" s="653">
        <v>2</v>
      </c>
    </row>
    <row r="10" spans="1:10" ht="14.4">
      <c r="A10" s="645">
        <v>2010</v>
      </c>
      <c r="B10" s="646" t="s">
        <v>328</v>
      </c>
      <c r="C10" s="645">
        <v>36</v>
      </c>
      <c r="D10" s="645">
        <v>0</v>
      </c>
      <c r="E10" s="645">
        <v>0</v>
      </c>
      <c r="F10" s="650">
        <v>14</v>
      </c>
      <c r="G10" s="645">
        <v>12</v>
      </c>
      <c r="H10" s="645">
        <v>0</v>
      </c>
      <c r="I10" s="645">
        <v>0</v>
      </c>
      <c r="J10" s="653">
        <v>11</v>
      </c>
    </row>
    <row r="11" spans="1:10" ht="14.4">
      <c r="A11" s="645">
        <v>2011</v>
      </c>
      <c r="B11" s="646" t="s">
        <v>335</v>
      </c>
      <c r="C11" s="645">
        <v>2052</v>
      </c>
      <c r="D11" s="645">
        <v>0</v>
      </c>
      <c r="E11" s="645">
        <v>0</v>
      </c>
      <c r="F11" s="650">
        <v>1335</v>
      </c>
      <c r="G11" s="645">
        <v>1235</v>
      </c>
      <c r="H11" s="645">
        <v>0</v>
      </c>
      <c r="I11" s="645">
        <v>0</v>
      </c>
      <c r="J11" s="653">
        <v>1246</v>
      </c>
    </row>
    <row r="12" spans="1:10" ht="14.4">
      <c r="A12" s="645">
        <v>2011</v>
      </c>
      <c r="B12" s="646" t="s">
        <v>401</v>
      </c>
      <c r="C12" s="645">
        <v>1</v>
      </c>
      <c r="D12" s="645">
        <v>0</v>
      </c>
      <c r="E12" s="645">
        <v>0</v>
      </c>
      <c r="F12" s="650">
        <v>0</v>
      </c>
      <c r="G12" s="645">
        <v>0</v>
      </c>
      <c r="H12" s="645">
        <v>0</v>
      </c>
      <c r="I12" s="645">
        <v>0</v>
      </c>
      <c r="J12" s="653">
        <v>0</v>
      </c>
    </row>
    <row r="13" spans="1:10" ht="14.4">
      <c r="A13" s="645">
        <v>2011</v>
      </c>
      <c r="B13" s="646" t="s">
        <v>328</v>
      </c>
      <c r="C13" s="645">
        <v>1</v>
      </c>
      <c r="D13" s="645">
        <v>0</v>
      </c>
      <c r="E13" s="645">
        <v>0</v>
      </c>
      <c r="F13" s="650">
        <v>1</v>
      </c>
      <c r="G13" s="645">
        <v>1</v>
      </c>
      <c r="H13" s="645">
        <v>0</v>
      </c>
      <c r="I13" s="645">
        <v>0</v>
      </c>
      <c r="J13" s="653">
        <v>1</v>
      </c>
    </row>
    <row r="14" spans="1:10" ht="14.4">
      <c r="A14" s="645">
        <v>2012</v>
      </c>
      <c r="B14" s="646" t="s">
        <v>335</v>
      </c>
      <c r="C14" s="645">
        <v>2933</v>
      </c>
      <c r="D14" s="645">
        <v>0</v>
      </c>
      <c r="E14" s="645">
        <v>2</v>
      </c>
      <c r="F14" s="650">
        <v>2347</v>
      </c>
      <c r="G14" s="645">
        <v>2089</v>
      </c>
      <c r="H14" s="645">
        <v>0</v>
      </c>
      <c r="I14" s="645">
        <v>0</v>
      </c>
      <c r="J14" s="653">
        <v>2185</v>
      </c>
    </row>
    <row r="15" spans="1:10" ht="14.4">
      <c r="A15" s="645">
        <v>2013</v>
      </c>
      <c r="B15" s="646" t="s">
        <v>335</v>
      </c>
      <c r="C15" s="645">
        <v>4648</v>
      </c>
      <c r="D15" s="645">
        <v>4067</v>
      </c>
      <c r="E15" s="645">
        <v>1</v>
      </c>
      <c r="F15" s="650">
        <v>3205</v>
      </c>
      <c r="G15" s="645">
        <v>2768</v>
      </c>
      <c r="H15" s="645">
        <v>0</v>
      </c>
      <c r="I15" s="645">
        <v>0</v>
      </c>
      <c r="J15" s="653">
        <v>2875</v>
      </c>
    </row>
    <row r="16" spans="1:10" ht="14.4">
      <c r="A16" s="645">
        <v>2014</v>
      </c>
      <c r="B16" s="646" t="s">
        <v>335</v>
      </c>
      <c r="C16" s="645">
        <v>3810</v>
      </c>
      <c r="D16" s="645">
        <v>3349</v>
      </c>
      <c r="E16" s="645">
        <v>3</v>
      </c>
      <c r="F16" s="650">
        <v>2660</v>
      </c>
      <c r="G16" s="645">
        <v>2419</v>
      </c>
      <c r="H16" s="645">
        <v>2545</v>
      </c>
      <c r="I16" s="645">
        <v>2537</v>
      </c>
      <c r="J16" s="653">
        <v>2508</v>
      </c>
    </row>
    <row r="17" spans="1:10" ht="14.4">
      <c r="A17" s="645">
        <v>2015</v>
      </c>
      <c r="B17" s="646" t="s">
        <v>335</v>
      </c>
      <c r="C17" s="645">
        <v>2047</v>
      </c>
      <c r="D17" s="645">
        <v>1771</v>
      </c>
      <c r="E17" s="645">
        <v>0</v>
      </c>
      <c r="F17" s="650">
        <v>1395</v>
      </c>
      <c r="G17" s="645">
        <v>1297</v>
      </c>
      <c r="H17" s="645">
        <v>1347</v>
      </c>
      <c r="I17" s="645">
        <v>1332</v>
      </c>
      <c r="J17" s="653">
        <v>1325</v>
      </c>
    </row>
    <row r="18" spans="1:10" ht="14.4">
      <c r="A18" s="645">
        <v>2015</v>
      </c>
      <c r="B18" s="646" t="s">
        <v>401</v>
      </c>
      <c r="C18" s="645">
        <v>2</v>
      </c>
      <c r="D18" s="645">
        <v>2</v>
      </c>
      <c r="E18" s="645">
        <v>0</v>
      </c>
      <c r="F18" s="650">
        <v>2</v>
      </c>
      <c r="G18" s="645">
        <v>2</v>
      </c>
      <c r="H18" s="645">
        <v>2</v>
      </c>
      <c r="I18" s="645">
        <v>2</v>
      </c>
      <c r="J18" s="653">
        <v>2</v>
      </c>
    </row>
    <row r="19" spans="1:10" ht="14.4">
      <c r="A19" s="645">
        <v>2015</v>
      </c>
      <c r="B19" s="646" t="s">
        <v>328</v>
      </c>
      <c r="C19" s="645">
        <v>2</v>
      </c>
      <c r="D19" s="645">
        <v>1</v>
      </c>
      <c r="E19" s="645">
        <v>0</v>
      </c>
      <c r="F19" s="650">
        <v>0</v>
      </c>
      <c r="G19" s="645">
        <v>0</v>
      </c>
      <c r="H19" s="645">
        <v>0</v>
      </c>
      <c r="I19" s="645">
        <v>0</v>
      </c>
      <c r="J19" s="653">
        <v>0</v>
      </c>
    </row>
    <row r="20" spans="1:10" ht="14.4">
      <c r="A20" s="645">
        <v>2016</v>
      </c>
      <c r="B20" s="646" t="s">
        <v>335</v>
      </c>
      <c r="C20" s="645">
        <v>371</v>
      </c>
      <c r="D20" s="645">
        <v>330</v>
      </c>
      <c r="E20" s="645">
        <v>0</v>
      </c>
      <c r="F20" s="650">
        <v>236</v>
      </c>
      <c r="G20" s="645">
        <v>220</v>
      </c>
      <c r="H20" s="645">
        <v>219</v>
      </c>
      <c r="I20" s="645">
        <v>221</v>
      </c>
      <c r="J20" s="653">
        <v>219</v>
      </c>
    </row>
    <row r="21" spans="1:10" ht="14.4">
      <c r="A21" s="645">
        <v>2016</v>
      </c>
      <c r="B21" s="646" t="s">
        <v>401</v>
      </c>
      <c r="C21" s="645">
        <v>2</v>
      </c>
      <c r="D21" s="645">
        <v>2</v>
      </c>
      <c r="E21" s="645">
        <v>0</v>
      </c>
      <c r="F21" s="650">
        <v>2</v>
      </c>
      <c r="G21" s="645">
        <v>1</v>
      </c>
      <c r="H21" s="645">
        <v>1</v>
      </c>
      <c r="I21" s="645">
        <v>1</v>
      </c>
      <c r="J21" s="653">
        <v>1</v>
      </c>
    </row>
    <row r="22" spans="1:10" ht="14.4">
      <c r="A22" s="645">
        <v>2017</v>
      </c>
      <c r="B22" s="646" t="s">
        <v>335</v>
      </c>
      <c r="C22" s="645">
        <v>104</v>
      </c>
      <c r="D22" s="645">
        <v>86</v>
      </c>
      <c r="E22" s="645">
        <v>0</v>
      </c>
      <c r="F22" s="650">
        <v>67</v>
      </c>
      <c r="G22" s="645">
        <v>61</v>
      </c>
      <c r="H22" s="645">
        <v>66</v>
      </c>
      <c r="I22" s="645">
        <v>64</v>
      </c>
      <c r="J22" s="653">
        <v>63</v>
      </c>
    </row>
    <row r="23" spans="1:10" ht="14.4">
      <c r="A23" s="645">
        <v>2017</v>
      </c>
      <c r="B23" s="646" t="s">
        <v>401</v>
      </c>
      <c r="C23" s="645">
        <v>3</v>
      </c>
      <c r="D23" s="645">
        <v>3</v>
      </c>
      <c r="E23" s="645">
        <v>0</v>
      </c>
      <c r="F23" s="650">
        <v>3</v>
      </c>
      <c r="G23" s="645">
        <v>3</v>
      </c>
      <c r="H23" s="645">
        <v>3</v>
      </c>
      <c r="I23" s="645">
        <v>3</v>
      </c>
      <c r="J23" s="653">
        <v>3</v>
      </c>
    </row>
    <row r="24" spans="1:10" ht="14.4">
      <c r="A24" s="645">
        <v>2017</v>
      </c>
      <c r="B24" s="646" t="s">
        <v>328</v>
      </c>
      <c r="C24" s="645">
        <v>23</v>
      </c>
      <c r="D24" s="645">
        <v>19</v>
      </c>
      <c r="E24" s="645">
        <v>0</v>
      </c>
      <c r="F24" s="650">
        <v>13</v>
      </c>
      <c r="G24" s="645">
        <v>12</v>
      </c>
      <c r="H24" s="645">
        <v>11</v>
      </c>
      <c r="I24" s="645">
        <v>12</v>
      </c>
      <c r="J24" s="653">
        <v>12</v>
      </c>
    </row>
    <row r="25" spans="1:10" ht="14.4">
      <c r="A25" s="645">
        <v>2018</v>
      </c>
      <c r="B25" s="646" t="s">
        <v>335</v>
      </c>
      <c r="C25" s="645">
        <v>44</v>
      </c>
      <c r="D25" s="645">
        <v>39</v>
      </c>
      <c r="E25" s="645">
        <v>32</v>
      </c>
      <c r="F25" s="650">
        <v>30</v>
      </c>
      <c r="G25" s="645">
        <v>27</v>
      </c>
      <c r="H25" s="645">
        <v>29</v>
      </c>
      <c r="I25" s="645">
        <v>29</v>
      </c>
      <c r="J25" s="653">
        <v>29</v>
      </c>
    </row>
    <row r="26" spans="1:10" ht="14.4">
      <c r="A26" s="645">
        <v>2018</v>
      </c>
      <c r="B26" s="646" t="s">
        <v>401</v>
      </c>
      <c r="C26" s="645">
        <v>3</v>
      </c>
      <c r="D26" s="645">
        <v>3</v>
      </c>
      <c r="E26" s="645">
        <v>2</v>
      </c>
      <c r="F26" s="650">
        <v>2</v>
      </c>
      <c r="G26" s="645">
        <v>2</v>
      </c>
      <c r="H26" s="645">
        <v>2</v>
      </c>
      <c r="I26" s="645">
        <v>2</v>
      </c>
      <c r="J26" s="653">
        <v>2</v>
      </c>
    </row>
    <row r="27" spans="1:10" ht="14.4">
      <c r="A27" s="645">
        <v>2018</v>
      </c>
      <c r="B27" s="646" t="s">
        <v>328</v>
      </c>
      <c r="C27" s="645">
        <v>56</v>
      </c>
      <c r="D27" s="645">
        <v>47</v>
      </c>
      <c r="E27" s="645">
        <v>43</v>
      </c>
      <c r="F27" s="650">
        <v>40</v>
      </c>
      <c r="G27" s="645">
        <v>36</v>
      </c>
      <c r="H27" s="645">
        <v>36</v>
      </c>
      <c r="I27" s="645">
        <v>34</v>
      </c>
      <c r="J27" s="653">
        <v>35</v>
      </c>
    </row>
    <row r="28" spans="1:10" ht="14.4">
      <c r="A28" s="645">
        <v>2019</v>
      </c>
      <c r="B28" s="646" t="s">
        <v>335</v>
      </c>
      <c r="C28" s="645">
        <v>72</v>
      </c>
      <c r="D28" s="645">
        <v>64</v>
      </c>
      <c r="E28" s="645">
        <v>59</v>
      </c>
      <c r="F28" s="650">
        <v>55</v>
      </c>
      <c r="G28" s="645">
        <v>51</v>
      </c>
      <c r="H28" s="645">
        <v>54</v>
      </c>
      <c r="I28" s="645">
        <v>54</v>
      </c>
      <c r="J28" s="653">
        <v>54</v>
      </c>
    </row>
    <row r="29" spans="1:10" ht="14.4">
      <c r="A29" s="645">
        <v>2019</v>
      </c>
      <c r="B29" s="646" t="s">
        <v>401</v>
      </c>
      <c r="C29" s="645">
        <v>4</v>
      </c>
      <c r="D29" s="645">
        <v>4</v>
      </c>
      <c r="E29" s="645">
        <v>2</v>
      </c>
      <c r="F29" s="650">
        <v>1</v>
      </c>
      <c r="G29" s="645">
        <v>1</v>
      </c>
      <c r="H29" s="645">
        <v>1</v>
      </c>
      <c r="I29" s="645">
        <v>1</v>
      </c>
      <c r="J29" s="653">
        <v>1</v>
      </c>
    </row>
    <row r="30" spans="1:10" ht="14.4">
      <c r="A30" s="645">
        <v>2019</v>
      </c>
      <c r="B30" s="646" t="s">
        <v>328</v>
      </c>
      <c r="C30" s="645">
        <v>44</v>
      </c>
      <c r="D30" s="645">
        <v>38</v>
      </c>
      <c r="E30" s="645">
        <v>35</v>
      </c>
      <c r="F30" s="650">
        <v>33</v>
      </c>
      <c r="G30" s="645">
        <v>28</v>
      </c>
      <c r="H30" s="645">
        <v>28</v>
      </c>
      <c r="I30" s="645">
        <v>27</v>
      </c>
      <c r="J30" s="653">
        <v>27</v>
      </c>
    </row>
    <row r="31" spans="1:10" ht="14.4">
      <c r="A31" s="645">
        <v>2020</v>
      </c>
      <c r="B31" s="646" t="s">
        <v>335</v>
      </c>
      <c r="C31" s="645">
        <v>546</v>
      </c>
      <c r="D31" s="645">
        <v>484</v>
      </c>
      <c r="E31" s="645">
        <v>454</v>
      </c>
      <c r="F31" s="650">
        <v>444</v>
      </c>
      <c r="G31" s="645">
        <v>412</v>
      </c>
      <c r="H31" s="645">
        <v>436</v>
      </c>
      <c r="I31" s="645">
        <v>427</v>
      </c>
      <c r="J31" s="653">
        <v>424</v>
      </c>
    </row>
    <row r="32" spans="1:10" ht="14.4">
      <c r="A32" s="645">
        <v>2020</v>
      </c>
      <c r="B32" s="646" t="s">
        <v>401</v>
      </c>
      <c r="C32" s="645">
        <v>9</v>
      </c>
      <c r="D32" s="645">
        <v>9</v>
      </c>
      <c r="E32" s="645">
        <v>9</v>
      </c>
      <c r="F32" s="650">
        <v>8</v>
      </c>
      <c r="G32" s="645">
        <v>7</v>
      </c>
      <c r="H32" s="645">
        <v>7</v>
      </c>
      <c r="I32" s="645">
        <v>7</v>
      </c>
      <c r="J32" s="653">
        <v>7</v>
      </c>
    </row>
    <row r="33" spans="1:10" ht="14.4">
      <c r="A33" s="645">
        <v>2020</v>
      </c>
      <c r="B33" s="646" t="s">
        <v>328</v>
      </c>
      <c r="C33" s="645">
        <v>303</v>
      </c>
      <c r="D33" s="645">
        <v>264</v>
      </c>
      <c r="E33" s="645">
        <v>239</v>
      </c>
      <c r="F33" s="650">
        <v>227</v>
      </c>
      <c r="G33" s="645">
        <v>214</v>
      </c>
      <c r="H33" s="645">
        <v>206</v>
      </c>
      <c r="I33" s="645">
        <v>200</v>
      </c>
      <c r="J33" s="653">
        <v>200</v>
      </c>
    </row>
    <row r="34" spans="1:10" ht="14.4">
      <c r="A34" s="645">
        <v>2021</v>
      </c>
      <c r="B34" s="646" t="s">
        <v>335</v>
      </c>
      <c r="C34" s="645">
        <v>286</v>
      </c>
      <c r="D34" s="645">
        <v>261</v>
      </c>
      <c r="E34" s="645">
        <v>250</v>
      </c>
      <c r="F34" s="650">
        <v>240</v>
      </c>
      <c r="G34" s="645">
        <v>220</v>
      </c>
      <c r="H34" s="645">
        <v>234</v>
      </c>
      <c r="I34" s="645">
        <v>234</v>
      </c>
      <c r="J34" s="653">
        <v>235</v>
      </c>
    </row>
    <row r="35" spans="1:10" ht="14.4">
      <c r="A35" s="645">
        <v>2021</v>
      </c>
      <c r="B35" s="646" t="s">
        <v>401</v>
      </c>
      <c r="C35" s="645">
        <v>3</v>
      </c>
      <c r="D35" s="645">
        <v>2</v>
      </c>
      <c r="E35" s="645">
        <v>1</v>
      </c>
      <c r="F35" s="650">
        <v>1</v>
      </c>
      <c r="G35" s="645">
        <v>1</v>
      </c>
      <c r="H35" s="645">
        <v>1</v>
      </c>
      <c r="I35" s="645">
        <v>1</v>
      </c>
      <c r="J35" s="653">
        <v>1</v>
      </c>
    </row>
    <row r="36" spans="1:10" ht="14.4">
      <c r="A36" s="645">
        <v>2021</v>
      </c>
      <c r="B36" s="646" t="s">
        <v>328</v>
      </c>
      <c r="C36" s="645">
        <v>122</v>
      </c>
      <c r="D36" s="645">
        <v>109</v>
      </c>
      <c r="E36" s="645">
        <v>96</v>
      </c>
      <c r="F36" s="650">
        <v>86</v>
      </c>
      <c r="G36" s="645">
        <v>83</v>
      </c>
      <c r="H36" s="645">
        <v>78</v>
      </c>
      <c r="I36" s="645">
        <v>77</v>
      </c>
      <c r="J36" s="653">
        <v>77</v>
      </c>
    </row>
    <row r="37" spans="1:10" ht="14.4">
      <c r="A37" s="645">
        <v>2022</v>
      </c>
      <c r="B37" s="646" t="s">
        <v>335</v>
      </c>
      <c r="C37" s="645">
        <v>446</v>
      </c>
      <c r="D37" s="645">
        <v>382</v>
      </c>
      <c r="E37" s="645">
        <v>354</v>
      </c>
      <c r="F37" s="650">
        <v>336</v>
      </c>
      <c r="G37" s="645">
        <v>321</v>
      </c>
      <c r="H37" s="645">
        <v>328</v>
      </c>
      <c r="I37" s="645">
        <v>326</v>
      </c>
      <c r="J37" s="653">
        <v>325</v>
      </c>
    </row>
    <row r="38" spans="1:10" ht="14.4">
      <c r="A38" s="645">
        <v>2022</v>
      </c>
      <c r="B38" s="646" t="s">
        <v>401</v>
      </c>
      <c r="C38" s="645">
        <v>5</v>
      </c>
      <c r="D38" s="645">
        <v>2</v>
      </c>
      <c r="E38" s="645">
        <v>1</v>
      </c>
      <c r="F38" s="650">
        <v>1</v>
      </c>
      <c r="G38" s="645">
        <v>1</v>
      </c>
      <c r="H38" s="645">
        <v>1</v>
      </c>
      <c r="I38" s="645">
        <v>1</v>
      </c>
      <c r="J38" s="653">
        <v>1</v>
      </c>
    </row>
    <row r="39" spans="1:10" ht="14.4">
      <c r="A39" s="645">
        <v>2022</v>
      </c>
      <c r="B39" s="646" t="s">
        <v>328</v>
      </c>
      <c r="C39" s="645">
        <v>112</v>
      </c>
      <c r="D39" s="645">
        <v>99</v>
      </c>
      <c r="E39" s="645">
        <v>80</v>
      </c>
      <c r="F39" s="650">
        <v>73</v>
      </c>
      <c r="G39" s="645">
        <v>66</v>
      </c>
      <c r="H39" s="645">
        <v>65</v>
      </c>
      <c r="I39" s="645">
        <v>64</v>
      </c>
      <c r="J39" s="653">
        <v>62</v>
      </c>
    </row>
    <row r="40" spans="1:10" ht="14.4">
      <c r="A40" s="645">
        <v>2023</v>
      </c>
      <c r="B40" s="646" t="s">
        <v>335</v>
      </c>
      <c r="C40" s="645">
        <v>441</v>
      </c>
      <c r="D40" s="645">
        <v>377</v>
      </c>
      <c r="E40" s="645">
        <v>350</v>
      </c>
      <c r="F40" s="650">
        <v>328</v>
      </c>
      <c r="G40" s="645">
        <v>317</v>
      </c>
      <c r="H40" s="645">
        <v>321</v>
      </c>
      <c r="I40" s="645">
        <v>320</v>
      </c>
      <c r="J40" s="653">
        <v>320</v>
      </c>
    </row>
    <row r="41" spans="1:10" ht="14.4">
      <c r="A41" s="645">
        <v>2023</v>
      </c>
      <c r="B41" s="646" t="s">
        <v>401</v>
      </c>
      <c r="C41" s="645">
        <v>9</v>
      </c>
      <c r="D41" s="645">
        <v>8</v>
      </c>
      <c r="E41" s="645">
        <v>7</v>
      </c>
      <c r="F41" s="650">
        <v>7</v>
      </c>
      <c r="G41" s="645">
        <v>5</v>
      </c>
      <c r="H41" s="645">
        <v>5</v>
      </c>
      <c r="I41" s="645">
        <v>5</v>
      </c>
      <c r="J41" s="653">
        <v>5</v>
      </c>
    </row>
    <row r="42" spans="1:10" ht="14.4">
      <c r="A42" s="645">
        <v>2023</v>
      </c>
      <c r="B42" s="646" t="s">
        <v>328</v>
      </c>
      <c r="C42" s="645">
        <v>90</v>
      </c>
      <c r="D42" s="645">
        <v>79</v>
      </c>
      <c r="E42" s="645">
        <v>69</v>
      </c>
      <c r="F42" s="650">
        <v>64</v>
      </c>
      <c r="G42" s="645">
        <v>62</v>
      </c>
      <c r="H42" s="645">
        <v>58</v>
      </c>
      <c r="I42" s="645">
        <v>59</v>
      </c>
      <c r="J42" s="653">
        <v>59</v>
      </c>
    </row>
    <row r="43" spans="1:10" ht="14.4">
      <c r="A43" s="645"/>
      <c r="B43" s="646"/>
      <c r="C43" s="645"/>
      <c r="D43" s="645"/>
      <c r="E43" s="645"/>
      <c r="F43" s="650"/>
      <c r="G43" s="645"/>
      <c r="H43" s="645"/>
      <c r="I43" s="645"/>
      <c r="J43" s="653"/>
    </row>
    <row r="44" spans="1:10" ht="14.4">
      <c r="A44" s="645"/>
      <c r="B44" s="646"/>
      <c r="C44" s="645"/>
      <c r="D44" s="645"/>
      <c r="E44" s="645"/>
      <c r="F44" s="650"/>
      <c r="G44" s="645"/>
      <c r="H44" s="645"/>
      <c r="I44" s="645"/>
      <c r="J44" s="653"/>
    </row>
    <row r="45" spans="1:10" ht="14.4">
      <c r="A45" s="645"/>
      <c r="B45" s="646"/>
      <c r="C45" s="645"/>
      <c r="D45" s="645"/>
      <c r="E45" s="645"/>
      <c r="F45" s="650"/>
      <c r="G45" s="645"/>
      <c r="H45" s="645"/>
      <c r="I45" s="645"/>
      <c r="J45" s="6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3" tint="0.79998168889431442"/>
  </sheetPr>
  <dimension ref="A1:AR194"/>
  <sheetViews>
    <sheetView topLeftCell="A45" zoomScaleNormal="100" zoomScaleSheetLayoutView="80" workbookViewId="0">
      <selection activeCell="K60" sqref="K60:M63"/>
    </sheetView>
  </sheetViews>
  <sheetFormatPr defaultRowHeight="13.2"/>
  <cols>
    <col min="1" max="1" width="9.6640625" customWidth="1"/>
    <col min="2" max="2" width="14.109375" customWidth="1"/>
    <col min="3" max="3" width="17.33203125" bestFit="1" customWidth="1"/>
    <col min="4" max="4" width="22.109375" customWidth="1"/>
    <col min="5" max="5" width="18" bestFit="1" customWidth="1"/>
    <col min="6" max="6" width="19" bestFit="1" customWidth="1"/>
    <col min="7" max="7" width="9.6640625" customWidth="1"/>
    <col min="8" max="8" width="19.88671875" bestFit="1" customWidth="1"/>
    <col min="9" max="9" width="9.6640625" customWidth="1"/>
    <col min="10" max="10" width="16.6640625" bestFit="1" customWidth="1"/>
    <col min="11" max="23" width="9.6640625" customWidth="1"/>
    <col min="24" max="25" width="10.33203125" bestFit="1" customWidth="1"/>
    <col min="26" max="30" width="9.33203125" bestFit="1" customWidth="1"/>
    <col min="31" max="32" width="10.33203125" bestFit="1" customWidth="1"/>
    <col min="33" max="37" width="9.33203125" bestFit="1" customWidth="1"/>
    <col min="38" max="39" width="10.33203125" bestFit="1" customWidth="1"/>
    <col min="40" max="44" width="9.33203125" bestFit="1" customWidth="1"/>
  </cols>
  <sheetData>
    <row r="1" spans="1:44" ht="15" customHeight="1">
      <c r="A1" s="33" t="s">
        <v>43</v>
      </c>
      <c r="B1" s="34"/>
      <c r="C1" s="34"/>
      <c r="D1" s="34"/>
      <c r="E1" s="34"/>
      <c r="F1" s="34"/>
      <c r="G1" s="34"/>
      <c r="H1" s="34"/>
      <c r="I1" s="34"/>
      <c r="J1" s="34"/>
      <c r="K1" s="34"/>
      <c r="L1" s="34"/>
      <c r="M1" s="34"/>
      <c r="N1" s="34"/>
      <c r="O1" s="11"/>
      <c r="P1" s="60">
        <v>39562</v>
      </c>
      <c r="Q1" s="54" t="s">
        <v>44</v>
      </c>
      <c r="W1" s="60">
        <f>P1</f>
        <v>39562</v>
      </c>
    </row>
    <row r="2" spans="1:44" ht="15" customHeight="1">
      <c r="A2" s="117" t="s">
        <v>87</v>
      </c>
      <c r="B2" s="11"/>
      <c r="C2" s="11"/>
      <c r="D2" s="11"/>
      <c r="E2" s="11"/>
      <c r="F2" s="11"/>
      <c r="G2" s="11"/>
      <c r="H2" s="11"/>
      <c r="I2" s="11"/>
      <c r="J2" s="11"/>
      <c r="K2" s="11"/>
      <c r="L2" s="11"/>
      <c r="M2" s="11"/>
      <c r="N2" s="11"/>
      <c r="O2" s="11"/>
      <c r="P2" s="11"/>
      <c r="Q2" s="11"/>
    </row>
    <row r="3" spans="1:44" ht="15" customHeight="1">
      <c r="A3" s="35" t="s">
        <v>19</v>
      </c>
    </row>
    <row r="4" spans="1:44" ht="15" customHeight="1" thickBot="1">
      <c r="A4" s="10" t="s">
        <v>20</v>
      </c>
      <c r="B4" s="9"/>
      <c r="C4" s="9"/>
      <c r="D4" s="9"/>
      <c r="E4" s="9"/>
      <c r="F4" s="9"/>
      <c r="G4" s="9"/>
      <c r="H4" s="9"/>
      <c r="I4" s="9"/>
      <c r="J4" s="9"/>
      <c r="K4" s="9"/>
      <c r="L4" s="9"/>
      <c r="M4" s="9"/>
      <c r="N4" s="9"/>
      <c r="O4" s="9"/>
      <c r="P4" s="9"/>
      <c r="Q4" s="9"/>
      <c r="R4" s="35" t="s">
        <v>36</v>
      </c>
      <c r="S4" s="35"/>
    </row>
    <row r="5" spans="1:44" ht="15" customHeight="1">
      <c r="A5" s="32"/>
      <c r="B5" s="15"/>
      <c r="C5" s="15"/>
      <c r="D5" s="15"/>
      <c r="E5" s="15"/>
      <c r="F5" s="15"/>
      <c r="G5" s="15"/>
      <c r="H5" s="15"/>
      <c r="I5" s="15"/>
      <c r="J5" s="15"/>
      <c r="K5" s="15"/>
      <c r="L5" s="15"/>
      <c r="M5" s="15"/>
      <c r="N5" s="15"/>
      <c r="O5" s="15"/>
      <c r="P5" s="16"/>
      <c r="Q5" s="38"/>
      <c r="R5" s="39"/>
      <c r="S5" s="39"/>
      <c r="T5" s="39"/>
      <c r="U5" s="39"/>
      <c r="V5" s="39"/>
      <c r="W5" s="40"/>
    </row>
    <row r="6" spans="1:44" ht="15" customHeight="1">
      <c r="A6" s="105"/>
      <c r="B6" s="664" t="s">
        <v>2</v>
      </c>
      <c r="C6" s="665"/>
      <c r="D6" s="665"/>
      <c r="E6" s="665"/>
      <c r="F6" s="665"/>
      <c r="G6" s="665"/>
      <c r="H6" s="665"/>
      <c r="I6" s="665"/>
      <c r="J6" s="665"/>
      <c r="K6" s="665"/>
      <c r="L6" s="665"/>
      <c r="M6" s="665"/>
      <c r="N6" s="665"/>
      <c r="O6" s="665"/>
      <c r="P6" s="666"/>
      <c r="Q6" s="679" t="s">
        <v>39</v>
      </c>
      <c r="R6" s="680"/>
      <c r="S6" s="680"/>
      <c r="T6" s="680"/>
      <c r="U6" s="680"/>
      <c r="V6" s="680"/>
      <c r="W6" s="680"/>
      <c r="X6" s="434"/>
      <c r="Y6" s="434"/>
      <c r="Z6" s="434"/>
      <c r="AA6" s="434"/>
      <c r="AB6" s="434"/>
      <c r="AC6" s="434"/>
      <c r="AD6" s="435"/>
    </row>
    <row r="7" spans="1:44" ht="30" customHeight="1">
      <c r="A7" s="104"/>
      <c r="B7" s="667" t="s">
        <v>15</v>
      </c>
      <c r="C7" s="668"/>
      <c r="D7" s="668"/>
      <c r="E7" s="667" t="s">
        <v>11</v>
      </c>
      <c r="F7" s="669"/>
      <c r="G7" s="670"/>
      <c r="H7" s="671" t="s">
        <v>23</v>
      </c>
      <c r="I7" s="681"/>
      <c r="J7" s="672"/>
      <c r="K7" s="673" t="s">
        <v>12</v>
      </c>
      <c r="L7" s="660"/>
      <c r="M7" s="674"/>
      <c r="N7" s="667" t="s">
        <v>16</v>
      </c>
      <c r="O7" s="669"/>
      <c r="P7" s="675"/>
      <c r="Q7" s="107"/>
      <c r="R7" s="676" t="s">
        <v>30</v>
      </c>
      <c r="S7" s="656"/>
      <c r="T7" s="657"/>
      <c r="U7" s="676" t="s">
        <v>46</v>
      </c>
      <c r="V7" s="656"/>
      <c r="W7" s="677"/>
      <c r="AE7" t="s">
        <v>177</v>
      </c>
    </row>
    <row r="8" spans="1:44" ht="57" customHeight="1">
      <c r="A8" s="106" t="s">
        <v>0</v>
      </c>
      <c r="B8" s="30" t="s">
        <v>1</v>
      </c>
      <c r="C8" s="18" t="s">
        <v>27</v>
      </c>
      <c r="D8" s="22" t="s">
        <v>24</v>
      </c>
      <c r="E8" s="30" t="s">
        <v>13</v>
      </c>
      <c r="F8" s="18" t="s">
        <v>29</v>
      </c>
      <c r="G8" s="22" t="s">
        <v>14</v>
      </c>
      <c r="H8" s="30" t="s">
        <v>32</v>
      </c>
      <c r="I8" s="71" t="s">
        <v>62</v>
      </c>
      <c r="J8" s="22" t="s">
        <v>17</v>
      </c>
      <c r="K8" s="30" t="s">
        <v>13</v>
      </c>
      <c r="L8" s="18" t="s">
        <v>29</v>
      </c>
      <c r="M8" s="18" t="s">
        <v>14</v>
      </c>
      <c r="N8" s="30" t="s">
        <v>25</v>
      </c>
      <c r="O8" s="18" t="s">
        <v>59</v>
      </c>
      <c r="P8" s="28" t="s">
        <v>26</v>
      </c>
      <c r="Q8" s="106" t="s">
        <v>0</v>
      </c>
      <c r="R8" s="30" t="s">
        <v>13</v>
      </c>
      <c r="S8" s="18" t="s">
        <v>29</v>
      </c>
      <c r="T8" s="18" t="s">
        <v>14</v>
      </c>
      <c r="U8" s="30" t="s">
        <v>21</v>
      </c>
      <c r="V8" s="18" t="s">
        <v>31</v>
      </c>
      <c r="W8" s="28" t="s">
        <v>22</v>
      </c>
      <c r="X8" s="433" t="s">
        <v>172</v>
      </c>
      <c r="Y8" s="433" t="s">
        <v>173</v>
      </c>
      <c r="Z8" s="283" t="s">
        <v>174</v>
      </c>
      <c r="AA8" s="283" t="s">
        <v>175</v>
      </c>
      <c r="AB8" s="283" t="s">
        <v>176</v>
      </c>
      <c r="AC8" s="437" t="s">
        <v>179</v>
      </c>
      <c r="AD8" s="437" t="s">
        <v>180</v>
      </c>
      <c r="AE8" s="283" t="s">
        <v>170</v>
      </c>
      <c r="AF8" s="283" t="s">
        <v>172</v>
      </c>
      <c r="AG8" s="283" t="s">
        <v>174</v>
      </c>
      <c r="AH8" s="283" t="s">
        <v>175</v>
      </c>
      <c r="AI8" s="283" t="s">
        <v>176</v>
      </c>
      <c r="AJ8" s="437" t="s">
        <v>181</v>
      </c>
      <c r="AK8" s="437" t="s">
        <v>182</v>
      </c>
      <c r="AL8" s="283" t="s">
        <v>170</v>
      </c>
      <c r="AM8" s="283" t="s">
        <v>171</v>
      </c>
      <c r="AN8" s="283" t="s">
        <v>174</v>
      </c>
      <c r="AO8" s="283" t="s">
        <v>175</v>
      </c>
      <c r="AP8" s="283" t="s">
        <v>176</v>
      </c>
      <c r="AQ8" s="437" t="s">
        <v>183</v>
      </c>
      <c r="AR8" s="437" t="s">
        <v>184</v>
      </c>
    </row>
    <row r="9" spans="1:44" ht="15" customHeight="1">
      <c r="A9" s="125" t="s">
        <v>60</v>
      </c>
      <c r="B9" s="126">
        <v>52</v>
      </c>
      <c r="C9" s="127">
        <v>32</v>
      </c>
      <c r="D9" s="128">
        <v>31</v>
      </c>
      <c r="E9" s="129">
        <f t="shared" ref="E9:E14" si="0">C9/B9</f>
        <v>0.61538461538461542</v>
      </c>
      <c r="F9" s="129">
        <f t="shared" ref="F9:F14" si="1">G9/E9</f>
        <v>0.96874999999999989</v>
      </c>
      <c r="G9" s="129">
        <f t="shared" ref="G9:G14" si="2">D9/B9</f>
        <v>0.59615384615384615</v>
      </c>
      <c r="H9" s="124">
        <v>0.2239108548110636</v>
      </c>
      <c r="I9" s="124">
        <v>2.2021145946556375E-3</v>
      </c>
      <c r="J9" s="130">
        <v>3.3000000000000002E-2</v>
      </c>
      <c r="K9" s="129">
        <f t="shared" ref="K9:K14" si="3">(C9/B9)/((1-H9)*(1-J9))</f>
        <v>0.81998999117966942</v>
      </c>
      <c r="L9" s="129">
        <f t="shared" ref="L9:L14" si="4">M9/K9</f>
        <v>0.97088800664921837</v>
      </c>
      <c r="M9" s="129">
        <f t="shared" ref="M9:M14" si="5">(D9/B9)/((1-H9)*(1-I9)*(1-J9))</f>
        <v>0.79611844800873943</v>
      </c>
      <c r="N9" s="131">
        <f t="shared" ref="N9:N14" si="6">K9^(1/3)</f>
        <v>0.93598635410457032</v>
      </c>
      <c r="O9" s="132">
        <f t="shared" ref="O9:O14" si="7">L9^(1/4)</f>
        <v>0.99264117087812576</v>
      </c>
      <c r="P9" s="130">
        <f t="shared" ref="P9:P14" si="8">M9^(1/7)</f>
        <v>0.9679522983790344</v>
      </c>
      <c r="Q9" s="133" t="s">
        <v>60</v>
      </c>
      <c r="R9" s="134">
        <f t="shared" ref="R9:W14" si="9">1-K9</f>
        <v>0.18001000882033058</v>
      </c>
      <c r="S9" s="135">
        <f t="shared" si="9"/>
        <v>2.9111993350781629E-2</v>
      </c>
      <c r="T9" s="136">
        <f t="shared" si="9"/>
        <v>0.20388155199126057</v>
      </c>
      <c r="U9" s="134">
        <f t="shared" si="9"/>
        <v>6.4013645895429683E-2</v>
      </c>
      <c r="V9" s="135">
        <f t="shared" si="9"/>
        <v>7.3588291218742441E-3</v>
      </c>
      <c r="W9" s="136">
        <f t="shared" si="9"/>
        <v>3.2047701620965596E-2</v>
      </c>
      <c r="X9" s="283">
        <f t="shared" ref="X9:X14" si="10">C9</f>
        <v>32</v>
      </c>
      <c r="Y9" s="283">
        <f t="shared" ref="Y9:Y14" si="11">B9</f>
        <v>52</v>
      </c>
      <c r="Z9" s="283">
        <f>X9/Y9</f>
        <v>0.61538461538461542</v>
      </c>
      <c r="AA9" s="283">
        <f t="shared" ref="AA9:AA22" si="12">_xlfn.F.INV(0.05/2, 2*X9, 2*(Y9-X9+1))</f>
        <v>0.58238948609756302</v>
      </c>
      <c r="AB9" s="283">
        <f>_xlfn.F.INV(1-0.05/2, 2*(X9+1), 2*(Y9-X9))</f>
        <v>1.7889953881349185</v>
      </c>
      <c r="AC9" s="436">
        <f>IF(X9=0, 0, 1/(1 +(Y9-X9+1)/(X9*AA9)))</f>
        <v>0.47018482184225346</v>
      </c>
      <c r="AD9" s="436">
        <f>IF(X9=Y9, 1, 1/(1 + (Y9-X9)/(AB9*(X9+1))))</f>
        <v>0.74695347101303333</v>
      </c>
      <c r="AE9" s="283">
        <f t="shared" ref="AE9:AE14" si="13">D9</f>
        <v>31</v>
      </c>
      <c r="AF9" s="283">
        <f t="shared" ref="AF9:AF14" si="14">C9</f>
        <v>32</v>
      </c>
      <c r="AG9" s="283">
        <f>AE9/AF9</f>
        <v>0.96875</v>
      </c>
      <c r="AH9" s="283">
        <f t="shared" ref="AH9:AH22" si="15">_xlfn.F.INV(0.05/2, 2*AE9, 2*(AF9-AE9+1))</f>
        <v>0.33331166599283563</v>
      </c>
      <c r="AI9" s="283">
        <f>_xlfn.F.INV(1-0.05/2, 2*(AE9+1), 2*(AF9-AE9))</f>
        <v>39.482267265575643</v>
      </c>
      <c r="AJ9" s="436">
        <f>IF(AE9=0, 0, 1/(1 +(AF9-AE9+1)/(AE9*AH9)))</f>
        <v>0.83782900581848829</v>
      </c>
      <c r="AK9" s="436">
        <f>IF(AE9=AF9, 1, 1/(1 + (AF9-AE9)/(AI9*(AE9+1))))</f>
        <v>0.99920913140204737</v>
      </c>
      <c r="AL9" s="283">
        <f t="shared" ref="AL9:AL14" si="16">D9</f>
        <v>31</v>
      </c>
      <c r="AM9" s="283">
        <f t="shared" ref="AM9:AM14" si="17">B9</f>
        <v>52</v>
      </c>
      <c r="AN9" s="283">
        <f>AL9/AM9</f>
        <v>0.59615384615384615</v>
      </c>
      <c r="AO9" s="283">
        <f t="shared" ref="AO9:AO22" si="18">_xlfn.F.INV(0.05/2, 2*AL9, 2*(AM9-AL9+1))</f>
        <v>0.58303260939162782</v>
      </c>
      <c r="AP9" s="283">
        <f>_xlfn.F.INV(1-0.05/2, 2*(AL9+1), 2*(AM9-AL9))</f>
        <v>1.7737678952708837</v>
      </c>
      <c r="AQ9" s="436">
        <f>IF(AL9=0, 0, 1/(1 +(AM9-AL9+1)/(AL9*AO9)))</f>
        <v>0.45101577030155116</v>
      </c>
      <c r="AR9" s="436">
        <f>IF(AL9=AM9, 1, 1/(1 + (AM9-AL9)/(AP9*(AL9+1))))</f>
        <v>0.72994026040831061</v>
      </c>
    </row>
    <row r="10" spans="1:44" ht="15" customHeight="1">
      <c r="A10" s="137">
        <v>2003</v>
      </c>
      <c r="B10" s="138">
        <v>146</v>
      </c>
      <c r="C10" s="139">
        <v>126</v>
      </c>
      <c r="D10" s="140">
        <v>119</v>
      </c>
      <c r="E10" s="129">
        <f t="shared" si="0"/>
        <v>0.86301369863013699</v>
      </c>
      <c r="F10" s="129">
        <f t="shared" si="1"/>
        <v>0.94444444444444453</v>
      </c>
      <c r="G10" s="129">
        <f t="shared" si="2"/>
        <v>0.81506849315068497</v>
      </c>
      <c r="H10" s="124">
        <v>0.14412394205036716</v>
      </c>
      <c r="I10" s="124">
        <v>1.3780074456853919E-3</v>
      </c>
      <c r="J10" s="141">
        <v>3.3000000000000002E-2</v>
      </c>
      <c r="K10" s="129">
        <f t="shared" si="3"/>
        <v>1.0427503338007693</v>
      </c>
      <c r="L10" s="129">
        <f t="shared" si="4"/>
        <v>0.94574769180549223</v>
      </c>
      <c r="M10" s="129">
        <f t="shared" si="5"/>
        <v>0.9861787213214841</v>
      </c>
      <c r="N10" s="142">
        <f t="shared" si="6"/>
        <v>1.0140517351615956</v>
      </c>
      <c r="O10" s="129">
        <f t="shared" si="7"/>
        <v>0.98615191521896961</v>
      </c>
      <c r="P10" s="141">
        <f t="shared" si="8"/>
        <v>0.99801373497492107</v>
      </c>
      <c r="Q10" s="143">
        <v>2003</v>
      </c>
      <c r="R10" s="144">
        <f t="shared" si="9"/>
        <v>-4.2750333800769313E-2</v>
      </c>
      <c r="S10" s="145">
        <f t="shared" si="9"/>
        <v>5.425230819450777E-2</v>
      </c>
      <c r="T10" s="146">
        <f t="shared" si="9"/>
        <v>1.3821278678515903E-2</v>
      </c>
      <c r="U10" s="144">
        <f t="shared" si="9"/>
        <v>-1.4051735161595635E-2</v>
      </c>
      <c r="V10" s="145">
        <f t="shared" si="9"/>
        <v>1.384808478103039E-2</v>
      </c>
      <c r="W10" s="146">
        <f t="shared" si="9"/>
        <v>1.986265025078926E-3</v>
      </c>
      <c r="X10" s="283">
        <f t="shared" si="10"/>
        <v>126</v>
      </c>
      <c r="Y10" s="283">
        <f t="shared" si="11"/>
        <v>146</v>
      </c>
      <c r="Z10" s="283">
        <f t="shared" ref="Z10:Z22" si="19">X10/Y10</f>
        <v>0.86301369863013699</v>
      </c>
      <c r="AA10" s="283">
        <f t="shared" si="12"/>
        <v>0.65189951795314593</v>
      </c>
      <c r="AB10" s="283">
        <f t="shared" ref="AB10:AB22" si="20">_xlfn.F.INV(1-0.05/2, 2*(X10+1), 2*(Y10-X10))</f>
        <v>1.6795390938418095</v>
      </c>
      <c r="AC10" s="436">
        <f t="shared" ref="AC10:AC22" si="21">IF(X10=0, 0, 1/(1 +(Y10-X10+1)/(X10*AA10)))</f>
        <v>0.79639194753192022</v>
      </c>
      <c r="AD10" s="436">
        <f t="shared" ref="AD10:AD22" si="22">IF(X10=Y10, 1, 1/(1 + (Y10-X10)/(AB10*(X10+1))))</f>
        <v>0.91427400592174901</v>
      </c>
      <c r="AE10" s="283">
        <f t="shared" si="13"/>
        <v>119</v>
      </c>
      <c r="AF10" s="283">
        <f t="shared" si="14"/>
        <v>126</v>
      </c>
      <c r="AG10" s="283">
        <f t="shared" ref="AG10:AG22" si="23">AE10/AF10</f>
        <v>0.94444444444444442</v>
      </c>
      <c r="AH10" s="283">
        <f t="shared" si="15"/>
        <v>0.53778256186106843</v>
      </c>
      <c r="AI10" s="283">
        <f t="shared" ref="AI10:AI22" si="24">_xlfn.F.INV(1-0.05/2, 2*(AE10+1), 2*(AF10-AE10))</f>
        <v>2.5199112396715</v>
      </c>
      <c r="AJ10" s="436">
        <f t="shared" ref="AJ10:AJ22" si="25">IF(AE10=0, 0, 1/(1 +(AF10-AE10+1)/(AE10*AH10)))</f>
        <v>0.88888290841495476</v>
      </c>
      <c r="AK10" s="436">
        <f t="shared" ref="AK10:AK22" si="26">IF(AE10=AF10, 1, 1/(1 + (AF10-AE10)/(AI10*(AE10+1))))</f>
        <v>0.97737478672733202</v>
      </c>
      <c r="AL10" s="283">
        <f t="shared" si="16"/>
        <v>119</v>
      </c>
      <c r="AM10" s="283">
        <f t="shared" si="17"/>
        <v>146</v>
      </c>
      <c r="AN10" s="283">
        <f t="shared" ref="AN10:AN22" si="27">AL10/AM10</f>
        <v>0.81506849315068497</v>
      </c>
      <c r="AO10" s="283">
        <f t="shared" si="18"/>
        <v>0.67832581267053149</v>
      </c>
      <c r="AP10" s="283">
        <f t="shared" ref="AP10:AP22" si="28">_xlfn.F.INV(1-0.05/2, 2*(AL10+1), 2*(AM10-AL10))</f>
        <v>1.5671113135536308</v>
      </c>
      <c r="AQ10" s="436">
        <f t="shared" ref="AQ10:AQ22" si="29">IF(AL10=0, 0, 1/(1 +(AM10-AL10+1)/(AL10*AO10)))</f>
        <v>0.74245951753124906</v>
      </c>
      <c r="AR10" s="436">
        <f t="shared" ref="AR10:AR22" si="30">IF(AL10=AM10, 1, 1/(1 + (AM10-AL10)/(AP10*(AL10+1))))</f>
        <v>0.87444976308204825</v>
      </c>
    </row>
    <row r="11" spans="1:44" ht="15" customHeight="1">
      <c r="A11" s="137">
        <v>2004</v>
      </c>
      <c r="B11" s="138">
        <v>308</v>
      </c>
      <c r="C11" s="139">
        <v>254</v>
      </c>
      <c r="D11" s="140">
        <v>239</v>
      </c>
      <c r="E11" s="129">
        <f t="shared" si="0"/>
        <v>0.82467532467532467</v>
      </c>
      <c r="F11" s="129">
        <f t="shared" si="1"/>
        <v>0.94094488188976377</v>
      </c>
      <c r="G11" s="129">
        <f t="shared" si="2"/>
        <v>0.77597402597402598</v>
      </c>
      <c r="H11" s="124">
        <v>0.14275718053419309</v>
      </c>
      <c r="I11" s="124">
        <v>8.4183567604740369E-4</v>
      </c>
      <c r="J11" s="141">
        <v>3.3000000000000002E-2</v>
      </c>
      <c r="K11" s="129">
        <f t="shared" si="3"/>
        <v>0.99483869702393868</v>
      </c>
      <c r="L11" s="129">
        <f t="shared" si="4"/>
        <v>0.94173767025806487</v>
      </c>
      <c r="M11" s="129">
        <f t="shared" si="5"/>
        <v>0.9368770768178929</v>
      </c>
      <c r="N11" s="142">
        <f t="shared" si="6"/>
        <v>0.99827659726389129</v>
      </c>
      <c r="O11" s="129">
        <f t="shared" si="7"/>
        <v>0.98510491458101834</v>
      </c>
      <c r="P11" s="141">
        <f t="shared" si="8"/>
        <v>0.99072850591242734</v>
      </c>
      <c r="Q11" s="143">
        <v>2004</v>
      </c>
      <c r="R11" s="144">
        <f t="shared" si="9"/>
        <v>5.1613029760613216E-3</v>
      </c>
      <c r="S11" s="145">
        <f t="shared" si="9"/>
        <v>5.8262329741935126E-2</v>
      </c>
      <c r="T11" s="146">
        <f t="shared" si="9"/>
        <v>6.3122923182107105E-2</v>
      </c>
      <c r="U11" s="144">
        <f t="shared" si="9"/>
        <v>1.7234027361087145E-3</v>
      </c>
      <c r="V11" s="145">
        <f t="shared" si="9"/>
        <v>1.4895085418981657E-2</v>
      </c>
      <c r="W11" s="146">
        <f t="shared" si="9"/>
        <v>9.2714940875726626E-3</v>
      </c>
      <c r="X11" s="283">
        <f t="shared" si="10"/>
        <v>254</v>
      </c>
      <c r="Y11" s="283">
        <f t="shared" si="11"/>
        <v>308</v>
      </c>
      <c r="Z11" s="283">
        <f t="shared" si="19"/>
        <v>0.82467532467532467</v>
      </c>
      <c r="AA11" s="283">
        <f t="shared" si="12"/>
        <v>0.75672952655531545</v>
      </c>
      <c r="AB11" s="283">
        <f t="shared" si="20"/>
        <v>1.3622279645127946</v>
      </c>
      <c r="AC11" s="436">
        <f t="shared" si="21"/>
        <v>0.77751646051858825</v>
      </c>
      <c r="AD11" s="436">
        <f t="shared" si="22"/>
        <v>0.86546017026293409</v>
      </c>
      <c r="AE11" s="283">
        <f t="shared" si="13"/>
        <v>239</v>
      </c>
      <c r="AF11" s="283">
        <f t="shared" si="14"/>
        <v>254</v>
      </c>
      <c r="AG11" s="283">
        <f t="shared" si="23"/>
        <v>0.94094488188976377</v>
      </c>
      <c r="AH11" s="283">
        <f t="shared" si="15"/>
        <v>0.63381560277545101</v>
      </c>
      <c r="AI11" s="283">
        <f t="shared" si="24"/>
        <v>1.8073056841383979</v>
      </c>
      <c r="AJ11" s="436">
        <f t="shared" si="25"/>
        <v>0.90446730528193497</v>
      </c>
      <c r="AK11" s="436">
        <f t="shared" si="26"/>
        <v>0.96657406674383928</v>
      </c>
      <c r="AL11" s="283">
        <f t="shared" si="16"/>
        <v>239</v>
      </c>
      <c r="AM11" s="283">
        <f t="shared" si="17"/>
        <v>308</v>
      </c>
      <c r="AN11" s="283">
        <f t="shared" si="27"/>
        <v>0.77597402597402598</v>
      </c>
      <c r="AO11" s="283">
        <f t="shared" si="18"/>
        <v>0.77310336886596442</v>
      </c>
      <c r="AP11" s="283">
        <f t="shared" si="28"/>
        <v>1.3214118377267636</v>
      </c>
      <c r="AQ11" s="436">
        <f t="shared" si="29"/>
        <v>0.72524421439844233</v>
      </c>
      <c r="AR11" s="436">
        <f t="shared" si="30"/>
        <v>0.82130779744512938</v>
      </c>
    </row>
    <row r="12" spans="1:44" ht="15" customHeight="1">
      <c r="A12" s="137">
        <v>2005</v>
      </c>
      <c r="B12" s="138">
        <v>251</v>
      </c>
      <c r="C12" s="139">
        <v>173</v>
      </c>
      <c r="D12" s="140">
        <v>142</v>
      </c>
      <c r="E12" s="129">
        <f t="shared" si="0"/>
        <v>0.68924302788844627</v>
      </c>
      <c r="F12" s="129">
        <f t="shared" si="1"/>
        <v>0.82080924855491333</v>
      </c>
      <c r="G12" s="129">
        <f t="shared" si="2"/>
        <v>0.56573705179282874</v>
      </c>
      <c r="H12" s="124">
        <v>0.17778432143836448</v>
      </c>
      <c r="I12" s="124">
        <v>0</v>
      </c>
      <c r="J12" s="141">
        <v>3.3000000000000002E-2</v>
      </c>
      <c r="K12" s="129">
        <f t="shared" si="3"/>
        <v>0.86688233593624897</v>
      </c>
      <c r="L12" s="129">
        <f t="shared" si="4"/>
        <v>0.82080924855491333</v>
      </c>
      <c r="M12" s="129">
        <f t="shared" si="5"/>
        <v>0.71154503874536046</v>
      </c>
      <c r="N12" s="142">
        <f t="shared" si="6"/>
        <v>0.95349858131501164</v>
      </c>
      <c r="O12" s="129">
        <f t="shared" si="7"/>
        <v>0.95183256741353661</v>
      </c>
      <c r="P12" s="141">
        <f t="shared" si="8"/>
        <v>0.95254621662955996</v>
      </c>
      <c r="Q12" s="143">
        <v>2005</v>
      </c>
      <c r="R12" s="144">
        <f t="shared" si="9"/>
        <v>0.13311766406375103</v>
      </c>
      <c r="S12" s="145">
        <f t="shared" si="9"/>
        <v>0.17919075144508667</v>
      </c>
      <c r="T12" s="146">
        <f t="shared" si="9"/>
        <v>0.28845496125463954</v>
      </c>
      <c r="U12" s="144">
        <f t="shared" si="9"/>
        <v>4.650141868498836E-2</v>
      </c>
      <c r="V12" s="145">
        <f t="shared" si="9"/>
        <v>4.8167432586463388E-2</v>
      </c>
      <c r="W12" s="146">
        <f t="shared" si="9"/>
        <v>4.7453783370440039E-2</v>
      </c>
      <c r="X12" s="283">
        <f t="shared" si="10"/>
        <v>173</v>
      </c>
      <c r="Y12" s="283">
        <f t="shared" si="11"/>
        <v>251</v>
      </c>
      <c r="Z12" s="283">
        <f t="shared" si="19"/>
        <v>0.68924302788844627</v>
      </c>
      <c r="AA12" s="283">
        <f t="shared" si="12"/>
        <v>0.77090807843318199</v>
      </c>
      <c r="AB12" s="283">
        <f t="shared" si="20"/>
        <v>1.3162294605256177</v>
      </c>
      <c r="AC12" s="436">
        <f t="shared" si="21"/>
        <v>0.62800263833546854</v>
      </c>
      <c r="AD12" s="436">
        <f t="shared" si="22"/>
        <v>0.7459481383655977</v>
      </c>
      <c r="AE12" s="283">
        <f t="shared" si="13"/>
        <v>142</v>
      </c>
      <c r="AF12" s="283">
        <f t="shared" si="14"/>
        <v>173</v>
      </c>
      <c r="AG12" s="283">
        <f t="shared" si="23"/>
        <v>0.82080924855491333</v>
      </c>
      <c r="AH12" s="283">
        <f t="shared" si="15"/>
        <v>0.69596226732198641</v>
      </c>
      <c r="AI12" s="283">
        <f t="shared" si="24"/>
        <v>1.5158490203994401</v>
      </c>
      <c r="AJ12" s="436">
        <f t="shared" si="25"/>
        <v>0.75540150293048169</v>
      </c>
      <c r="AK12" s="436">
        <f t="shared" si="26"/>
        <v>0.8748821520626231</v>
      </c>
      <c r="AL12" s="283">
        <f t="shared" si="16"/>
        <v>142</v>
      </c>
      <c r="AM12" s="283">
        <f t="shared" si="17"/>
        <v>251</v>
      </c>
      <c r="AN12" s="283">
        <f t="shared" si="27"/>
        <v>0.56573705179282874</v>
      </c>
      <c r="AO12" s="283">
        <f t="shared" si="18"/>
        <v>0.78073056284776798</v>
      </c>
      <c r="AP12" s="283">
        <f t="shared" si="28"/>
        <v>1.2865005610006273</v>
      </c>
      <c r="AQ12" s="436">
        <f t="shared" si="29"/>
        <v>0.50195536832953835</v>
      </c>
      <c r="AR12" s="436">
        <f t="shared" si="30"/>
        <v>0.62794772099888674</v>
      </c>
    </row>
    <row r="13" spans="1:44" ht="15" customHeight="1">
      <c r="A13" s="137">
        <v>2006</v>
      </c>
      <c r="B13" s="138">
        <v>193</v>
      </c>
      <c r="C13" s="139">
        <v>98</v>
      </c>
      <c r="D13" s="140">
        <v>87</v>
      </c>
      <c r="E13" s="129">
        <f t="shared" si="0"/>
        <v>0.50777202072538863</v>
      </c>
      <c r="F13" s="129">
        <f t="shared" si="1"/>
        <v>0.88775510204081631</v>
      </c>
      <c r="G13" s="129">
        <f t="shared" si="2"/>
        <v>0.45077720207253885</v>
      </c>
      <c r="H13" s="124">
        <v>0.20716416508115473</v>
      </c>
      <c r="I13" s="124">
        <v>0</v>
      </c>
      <c r="J13" s="141">
        <v>3.3000000000000002E-2</v>
      </c>
      <c r="K13" s="129">
        <f t="shared" si="3"/>
        <v>0.66230650601743424</v>
      </c>
      <c r="L13" s="129">
        <f t="shared" si="4"/>
        <v>0.8877551020408162</v>
      </c>
      <c r="M13" s="129">
        <f t="shared" si="5"/>
        <v>0.58796597983180376</v>
      </c>
      <c r="N13" s="142">
        <f t="shared" si="6"/>
        <v>0.87167182209148908</v>
      </c>
      <c r="O13" s="129">
        <f t="shared" si="7"/>
        <v>0.97067377035132951</v>
      </c>
      <c r="P13" s="141">
        <f t="shared" si="8"/>
        <v>0.92693720499205345</v>
      </c>
      <c r="Q13" s="143">
        <v>2006</v>
      </c>
      <c r="R13" s="144">
        <f t="shared" si="9"/>
        <v>0.33769349398256576</v>
      </c>
      <c r="S13" s="145">
        <f t="shared" si="9"/>
        <v>0.1122448979591838</v>
      </c>
      <c r="T13" s="146">
        <f t="shared" si="9"/>
        <v>0.41203402016819624</v>
      </c>
      <c r="U13" s="144">
        <f t="shared" si="9"/>
        <v>0.12832817790851092</v>
      </c>
      <c r="V13" s="145">
        <f t="shared" si="9"/>
        <v>2.9326229648670488E-2</v>
      </c>
      <c r="W13" s="146">
        <f t="shared" si="9"/>
        <v>7.3062795007946546E-2</v>
      </c>
      <c r="X13" s="283">
        <f t="shared" si="10"/>
        <v>98</v>
      </c>
      <c r="Y13" s="283">
        <f t="shared" si="11"/>
        <v>193</v>
      </c>
      <c r="Z13" s="283">
        <f t="shared" si="19"/>
        <v>0.50777202072538863</v>
      </c>
      <c r="AA13" s="283">
        <f t="shared" si="12"/>
        <v>0.75422066721343983</v>
      </c>
      <c r="AB13" s="283">
        <f t="shared" si="20"/>
        <v>1.3267600873660261</v>
      </c>
      <c r="AC13" s="436">
        <f t="shared" si="21"/>
        <v>0.43500705266340728</v>
      </c>
      <c r="AD13" s="436">
        <f t="shared" si="22"/>
        <v>0.58029460858861837</v>
      </c>
      <c r="AE13" s="283">
        <f t="shared" si="13"/>
        <v>87</v>
      </c>
      <c r="AF13" s="283">
        <f t="shared" si="14"/>
        <v>98</v>
      </c>
      <c r="AG13" s="283">
        <f t="shared" si="23"/>
        <v>0.88775510204081631</v>
      </c>
      <c r="AH13" s="283">
        <f t="shared" si="15"/>
        <v>0.58058326838817997</v>
      </c>
      <c r="AI13" s="283">
        <f t="shared" si="24"/>
        <v>2.053369101863296</v>
      </c>
      <c r="AJ13" s="436">
        <f t="shared" si="25"/>
        <v>0.80803300096931518</v>
      </c>
      <c r="AK13" s="436">
        <f t="shared" si="26"/>
        <v>0.9426176216449822</v>
      </c>
      <c r="AL13" s="283">
        <f t="shared" si="16"/>
        <v>87</v>
      </c>
      <c r="AM13" s="283">
        <f t="shared" si="17"/>
        <v>193</v>
      </c>
      <c r="AN13" s="283">
        <f t="shared" si="27"/>
        <v>0.45077720207253885</v>
      </c>
      <c r="AO13" s="283">
        <f t="shared" si="18"/>
        <v>0.75134297794886884</v>
      </c>
      <c r="AP13" s="283">
        <f t="shared" si="28"/>
        <v>1.32526208759816</v>
      </c>
      <c r="AQ13" s="436">
        <f t="shared" si="29"/>
        <v>0.37923094389765249</v>
      </c>
      <c r="AR13" s="436">
        <f t="shared" si="30"/>
        <v>0.52385885705566693</v>
      </c>
    </row>
    <row r="14" spans="1:44" ht="15" customHeight="1" thickBot="1">
      <c r="A14" s="143">
        <v>2007</v>
      </c>
      <c r="B14" s="138">
        <v>247</v>
      </c>
      <c r="C14" s="139">
        <v>176</v>
      </c>
      <c r="D14" s="140">
        <v>165</v>
      </c>
      <c r="E14" s="129">
        <f t="shared" si="0"/>
        <v>0.71255060728744934</v>
      </c>
      <c r="F14" s="129">
        <f t="shared" si="1"/>
        <v>0.9375</v>
      </c>
      <c r="G14" s="129">
        <f t="shared" si="2"/>
        <v>0.66801619433198378</v>
      </c>
      <c r="H14" s="122">
        <v>0.17313058561785891</v>
      </c>
      <c r="I14" s="147"/>
      <c r="J14" s="141">
        <v>3.3000000000000002E-2</v>
      </c>
      <c r="K14" s="129">
        <f t="shared" si="3"/>
        <v>0.89115308042609043</v>
      </c>
      <c r="L14" s="129">
        <f t="shared" si="4"/>
        <v>0.9375</v>
      </c>
      <c r="M14" s="129">
        <f t="shared" si="5"/>
        <v>0.83545601289945981</v>
      </c>
      <c r="N14" s="142">
        <f t="shared" si="6"/>
        <v>0.96231540366820412</v>
      </c>
      <c r="O14" s="129">
        <f t="shared" si="7"/>
        <v>0.98399483563271517</v>
      </c>
      <c r="P14" s="141">
        <f t="shared" si="8"/>
        <v>0.97464447897989537</v>
      </c>
      <c r="Q14" s="143">
        <v>2007</v>
      </c>
      <c r="R14" s="144">
        <f t="shared" si="9"/>
        <v>0.10884691957390957</v>
      </c>
      <c r="S14" s="145">
        <f t="shared" si="9"/>
        <v>6.25E-2</v>
      </c>
      <c r="T14" s="146">
        <f t="shared" si="9"/>
        <v>0.16454398710054019</v>
      </c>
      <c r="U14" s="144">
        <f t="shared" si="9"/>
        <v>3.7684596331795883E-2</v>
      </c>
      <c r="V14" s="145">
        <f t="shared" si="9"/>
        <v>1.600516436728483E-2</v>
      </c>
      <c r="W14" s="146">
        <f t="shared" si="9"/>
        <v>2.5355521020104632E-2</v>
      </c>
      <c r="X14" s="283">
        <f t="shared" si="10"/>
        <v>176</v>
      </c>
      <c r="Y14" s="283">
        <f t="shared" si="11"/>
        <v>247</v>
      </c>
      <c r="Z14" s="283">
        <f t="shared" si="19"/>
        <v>0.71255060728744934</v>
      </c>
      <c r="AA14" s="283">
        <f t="shared" si="12"/>
        <v>0.7656534769556288</v>
      </c>
      <c r="AB14" s="283">
        <f t="shared" si="20"/>
        <v>1.3290483754942262</v>
      </c>
      <c r="AC14" s="436">
        <f t="shared" si="21"/>
        <v>0.6517617671128817</v>
      </c>
      <c r="AD14" s="436">
        <f t="shared" si="22"/>
        <v>0.76815687776312458</v>
      </c>
      <c r="AE14" s="283">
        <f t="shared" si="13"/>
        <v>165</v>
      </c>
      <c r="AF14" s="283">
        <f t="shared" si="14"/>
        <v>176</v>
      </c>
      <c r="AG14" s="283">
        <f t="shared" si="23"/>
        <v>0.9375</v>
      </c>
      <c r="AH14" s="283">
        <f t="shared" si="15"/>
        <v>0.59402748855477239</v>
      </c>
      <c r="AI14" s="283">
        <f t="shared" si="24"/>
        <v>2.0300879240697278</v>
      </c>
      <c r="AJ14" s="436">
        <f t="shared" si="25"/>
        <v>0.89092350448696944</v>
      </c>
      <c r="AK14" s="436">
        <f t="shared" si="26"/>
        <v>0.96839031368433748</v>
      </c>
      <c r="AL14" s="283">
        <f t="shared" si="16"/>
        <v>165</v>
      </c>
      <c r="AM14" s="283">
        <f t="shared" si="17"/>
        <v>247</v>
      </c>
      <c r="AN14" s="283">
        <f t="shared" si="27"/>
        <v>0.66801619433198378</v>
      </c>
      <c r="AO14" s="283">
        <f t="shared" si="18"/>
        <v>0.77210776494563327</v>
      </c>
      <c r="AP14" s="283">
        <f t="shared" si="28"/>
        <v>1.3117123267781754</v>
      </c>
      <c r="AQ14" s="436">
        <f t="shared" si="29"/>
        <v>0.60550914786131538</v>
      </c>
      <c r="AR14" s="436">
        <f t="shared" si="30"/>
        <v>0.72643344775689955</v>
      </c>
    </row>
    <row r="15" spans="1:44" ht="15" customHeight="1" thickBot="1">
      <c r="A15" s="155" t="s">
        <v>82</v>
      </c>
      <c r="B15" s="156"/>
      <c r="C15" s="157"/>
      <c r="D15" s="157"/>
      <c r="E15" s="158">
        <f t="shared" ref="E15:P15" si="31">AVERAGE(E9:E14)</f>
        <v>0.70210654909856018</v>
      </c>
      <c r="F15" s="158">
        <f t="shared" si="31"/>
        <v>0.91670061282165627</v>
      </c>
      <c r="G15" s="158">
        <f t="shared" si="31"/>
        <v>0.64528780224598459</v>
      </c>
      <c r="H15" s="158">
        <f t="shared" si="31"/>
        <v>0.178145174922167</v>
      </c>
      <c r="I15" s="158">
        <f t="shared" si="31"/>
        <v>8.8439154327768651E-4</v>
      </c>
      <c r="J15" s="158">
        <f t="shared" si="31"/>
        <v>3.3000000000000002E-2</v>
      </c>
      <c r="K15" s="158">
        <f t="shared" si="31"/>
        <v>0.87965349073069188</v>
      </c>
      <c r="L15" s="158">
        <f t="shared" si="31"/>
        <v>0.91740628655141743</v>
      </c>
      <c r="M15" s="158">
        <f t="shared" si="31"/>
        <v>0.80902354627079009</v>
      </c>
      <c r="N15" s="158">
        <f t="shared" si="31"/>
        <v>0.95596674893412692</v>
      </c>
      <c r="O15" s="158">
        <f t="shared" si="31"/>
        <v>0.978399862345949</v>
      </c>
      <c r="P15" s="158">
        <f t="shared" si="31"/>
        <v>0.96847040664464856</v>
      </c>
      <c r="Q15" s="143" t="s">
        <v>81</v>
      </c>
      <c r="R15" s="158">
        <f t="shared" ref="R15:W15" si="32">AVERAGE(R9:R14)</f>
        <v>0.12034650926930816</v>
      </c>
      <c r="S15" s="158">
        <f t="shared" si="32"/>
        <v>8.2593713448582504E-2</v>
      </c>
      <c r="T15" s="158">
        <f t="shared" si="32"/>
        <v>0.19097645372920993</v>
      </c>
      <c r="U15" s="158">
        <f t="shared" si="32"/>
        <v>4.403325106587299E-2</v>
      </c>
      <c r="V15" s="158">
        <f t="shared" si="32"/>
        <v>2.1600137654050833E-2</v>
      </c>
      <c r="W15" s="159">
        <f t="shared" si="32"/>
        <v>3.1529593355351403E-2</v>
      </c>
      <c r="X15" s="283"/>
      <c r="Y15" s="283"/>
      <c r="Z15" s="283"/>
      <c r="AA15" s="283"/>
      <c r="AB15" s="283"/>
      <c r="AC15" s="436"/>
      <c r="AD15" s="436"/>
      <c r="AE15" s="283"/>
      <c r="AF15" s="283"/>
      <c r="AG15" s="283"/>
      <c r="AH15" s="283"/>
      <c r="AI15" s="283"/>
      <c r="AJ15" s="436"/>
      <c r="AK15" s="436"/>
      <c r="AL15" s="283"/>
      <c r="AM15" s="283"/>
      <c r="AN15" s="283"/>
      <c r="AO15" s="283"/>
      <c r="AP15" s="283"/>
      <c r="AQ15" s="436"/>
      <c r="AR15" s="436"/>
    </row>
    <row r="16" spans="1:44" ht="15" customHeight="1">
      <c r="A16" s="148">
        <v>2008</v>
      </c>
      <c r="B16" s="277">
        <v>1027</v>
      </c>
      <c r="C16" s="277">
        <v>715</v>
      </c>
      <c r="D16" s="277">
        <v>687</v>
      </c>
      <c r="E16" s="149">
        <f t="shared" ref="E16:E31" si="33">C16/B16</f>
        <v>0.69620253164556967</v>
      </c>
      <c r="F16" s="149">
        <f t="shared" ref="F16:F31" si="34">G16/E16</f>
        <v>0.96083916083916088</v>
      </c>
      <c r="G16" s="149">
        <f t="shared" ref="G16:G31" si="35">D16/B16</f>
        <v>0.66893865628042848</v>
      </c>
      <c r="H16" s="124">
        <v>0.24737232730487552</v>
      </c>
      <c r="I16" s="147">
        <v>0</v>
      </c>
      <c r="J16" s="150">
        <v>3.3000000000000002E-2</v>
      </c>
      <c r="K16" s="149">
        <f t="shared" ref="K16:K26" si="36">(C16/B16)/((1-H16)*(1-J16))</f>
        <v>0.95659683946543828</v>
      </c>
      <c r="L16" s="149">
        <f t="shared" ref="L16:L32" si="37">M16/K16</f>
        <v>0.96083916083916077</v>
      </c>
      <c r="M16" s="149">
        <f t="shared" ref="M16:M26" si="38">(D16/B16)/((1-H16)*(1-I16)*(1-J16))</f>
        <v>0.91913570449336512</v>
      </c>
      <c r="N16" s="151">
        <f t="shared" ref="N16:N32" si="39">K16^(1/3)</f>
        <v>0.98531776685817996</v>
      </c>
      <c r="O16" s="149">
        <f t="shared" ref="O16:O32" si="40">L16^(1/4)</f>
        <v>0.99006264248500642</v>
      </c>
      <c r="P16" s="150">
        <f t="shared" ref="P16:P32" si="41">M16^(1/7)</f>
        <v>0.98802633288004404</v>
      </c>
      <c r="Q16" s="148">
        <v>2008</v>
      </c>
      <c r="R16" s="152">
        <f t="shared" ref="R16:R32" si="42">1-K16</f>
        <v>4.3403160534561724E-2</v>
      </c>
      <c r="S16" s="153">
        <f t="shared" ref="S16:S32" si="43">1-L16</f>
        <v>3.9160839160839234E-2</v>
      </c>
      <c r="T16" s="154">
        <f t="shared" ref="T16:T32" si="44">1-M16</f>
        <v>8.0864295506634876E-2</v>
      </c>
      <c r="U16" s="152">
        <f t="shared" ref="U16:U32" si="45">1-N16</f>
        <v>1.4682233141820045E-2</v>
      </c>
      <c r="V16" s="153">
        <f t="shared" ref="V16:V32" si="46">1-O16</f>
        <v>9.9373575149935833E-3</v>
      </c>
      <c r="W16" s="154">
        <f t="shared" ref="W16:W32" si="47">1-P16</f>
        <v>1.1973667119955955E-2</v>
      </c>
      <c r="X16" s="283">
        <f t="shared" ref="X16:X33" si="48">C16</f>
        <v>715</v>
      </c>
      <c r="Y16" s="283">
        <f t="shared" ref="Y16:Y33" si="49">B16</f>
        <v>1027</v>
      </c>
      <c r="Z16" s="283">
        <f t="shared" si="19"/>
        <v>0.69620253164556967</v>
      </c>
      <c r="AA16" s="283">
        <f t="shared" si="12"/>
        <v>0.87705727704641201</v>
      </c>
      <c r="AB16" s="283">
        <f t="shared" si="20"/>
        <v>1.1443268452366757</v>
      </c>
      <c r="AC16" s="436">
        <f t="shared" si="21"/>
        <v>0.66705526284651562</v>
      </c>
      <c r="AD16" s="436">
        <f t="shared" si="22"/>
        <v>0.7242203531072251</v>
      </c>
      <c r="AE16" s="283">
        <f t="shared" ref="AE16:AE33" si="50">D16</f>
        <v>687</v>
      </c>
      <c r="AF16" s="283">
        <f t="shared" ref="AF16:AF33" si="51">C16</f>
        <v>715</v>
      </c>
      <c r="AG16" s="283">
        <f t="shared" si="23"/>
        <v>0.96083916083916088</v>
      </c>
      <c r="AH16" s="283">
        <f t="shared" si="15"/>
        <v>0.71019729144380306</v>
      </c>
      <c r="AI16" s="283">
        <f t="shared" si="24"/>
        <v>1.5140108853838625</v>
      </c>
      <c r="AJ16" s="436">
        <f t="shared" si="25"/>
        <v>0.94389690610850441</v>
      </c>
      <c r="AK16" s="436">
        <f t="shared" si="26"/>
        <v>0.97382295597332047</v>
      </c>
      <c r="AL16" s="283">
        <f t="shared" ref="AL16:AL33" si="52">D16</f>
        <v>687</v>
      </c>
      <c r="AM16" s="283">
        <f t="shared" ref="AM16:AM33" si="53">B16</f>
        <v>1027</v>
      </c>
      <c r="AN16" s="283">
        <f t="shared" si="27"/>
        <v>0.66893865628042848</v>
      </c>
      <c r="AO16" s="283">
        <f t="shared" si="18"/>
        <v>0.87942883640426162</v>
      </c>
      <c r="AP16" s="283">
        <f t="shared" si="28"/>
        <v>1.1405020554595997</v>
      </c>
      <c r="AQ16" s="436">
        <f t="shared" si="29"/>
        <v>0.63921742961545114</v>
      </c>
      <c r="AR16" s="436">
        <f t="shared" si="30"/>
        <v>0.69768786723552834</v>
      </c>
    </row>
    <row r="17" spans="1:44" ht="15" customHeight="1">
      <c r="A17" s="143">
        <v>2009</v>
      </c>
      <c r="B17" s="277">
        <v>527</v>
      </c>
      <c r="C17" s="277">
        <v>316</v>
      </c>
      <c r="D17" s="277">
        <v>313</v>
      </c>
      <c r="E17" s="149">
        <f t="shared" si="33"/>
        <v>0.59962049335863377</v>
      </c>
      <c r="F17" s="149">
        <f t="shared" si="34"/>
        <v>0.990506329113924</v>
      </c>
      <c r="G17" s="149">
        <f t="shared" si="35"/>
        <v>0.59392789373814037</v>
      </c>
      <c r="H17" s="124">
        <v>0.308</v>
      </c>
      <c r="I17" s="147">
        <v>0</v>
      </c>
      <c r="J17" s="150">
        <v>3.3000000000000002E-2</v>
      </c>
      <c r="K17" s="149">
        <f t="shared" si="36"/>
        <v>0.89607404665916546</v>
      </c>
      <c r="L17" s="149">
        <f t="shared" si="37"/>
        <v>0.990506329113924</v>
      </c>
      <c r="M17" s="149">
        <f t="shared" si="38"/>
        <v>0.88756701457062903</v>
      </c>
      <c r="N17" s="151">
        <f t="shared" si="39"/>
        <v>0.96408346193004146</v>
      </c>
      <c r="O17" s="149">
        <f t="shared" si="40"/>
        <v>0.99761808550930386</v>
      </c>
      <c r="P17" s="150">
        <f t="shared" si="41"/>
        <v>0.98310558839964901</v>
      </c>
      <c r="Q17" s="143">
        <v>2009</v>
      </c>
      <c r="R17" s="152">
        <f t="shared" si="42"/>
        <v>0.10392595334083454</v>
      </c>
      <c r="S17" s="153">
        <f t="shared" si="43"/>
        <v>9.493670886076E-3</v>
      </c>
      <c r="T17" s="154">
        <f t="shared" si="44"/>
        <v>0.11243298542937097</v>
      </c>
      <c r="U17" s="152">
        <f t="shared" si="45"/>
        <v>3.5916538069958537E-2</v>
      </c>
      <c r="V17" s="153">
        <f t="shared" si="46"/>
        <v>2.3819144906961354E-3</v>
      </c>
      <c r="W17" s="154">
        <f t="shared" si="47"/>
        <v>1.6894411600350989E-2</v>
      </c>
      <c r="X17" s="283">
        <f t="shared" si="48"/>
        <v>316</v>
      </c>
      <c r="Y17" s="283">
        <f t="shared" si="49"/>
        <v>527</v>
      </c>
      <c r="Z17" s="283">
        <f t="shared" si="19"/>
        <v>0.59962049335863377</v>
      </c>
      <c r="AA17" s="283">
        <f t="shared" si="12"/>
        <v>0.84139964825814062</v>
      </c>
      <c r="AB17" s="283">
        <f t="shared" si="20"/>
        <v>1.1923020455390692</v>
      </c>
      <c r="AC17" s="436">
        <f t="shared" si="21"/>
        <v>0.55637610987769159</v>
      </c>
      <c r="AD17" s="436">
        <f t="shared" si="22"/>
        <v>0.64174122160239655</v>
      </c>
      <c r="AE17" s="283">
        <f t="shared" si="50"/>
        <v>313</v>
      </c>
      <c r="AF17" s="283">
        <f t="shared" si="51"/>
        <v>316</v>
      </c>
      <c r="AG17" s="283">
        <f t="shared" si="23"/>
        <v>0.990506329113924</v>
      </c>
      <c r="AH17" s="283">
        <f t="shared" si="15"/>
        <v>0.45206060504332912</v>
      </c>
      <c r="AI17" s="283">
        <f t="shared" si="24"/>
        <v>4.8597437677470037</v>
      </c>
      <c r="AJ17" s="436">
        <f t="shared" si="25"/>
        <v>0.97250764052472205</v>
      </c>
      <c r="AK17" s="436">
        <f t="shared" si="26"/>
        <v>0.9980378813726023</v>
      </c>
      <c r="AL17" s="283">
        <f t="shared" si="52"/>
        <v>313</v>
      </c>
      <c r="AM17" s="283">
        <f t="shared" si="53"/>
        <v>527</v>
      </c>
      <c r="AN17" s="283">
        <f t="shared" si="27"/>
        <v>0.59392789373814037</v>
      </c>
      <c r="AO17" s="283">
        <f t="shared" si="18"/>
        <v>0.84165238921540431</v>
      </c>
      <c r="AP17" s="283">
        <f t="shared" si="28"/>
        <v>1.191709517289089</v>
      </c>
      <c r="AQ17" s="436">
        <f t="shared" si="29"/>
        <v>0.55062022564787827</v>
      </c>
      <c r="AR17" s="436">
        <f t="shared" si="30"/>
        <v>0.63617618421268596</v>
      </c>
    </row>
    <row r="18" spans="1:44" s="546" customFormat="1" ht="15" customHeight="1">
      <c r="A18" s="547">
        <v>2010</v>
      </c>
      <c r="B18" s="548">
        <v>1391</v>
      </c>
      <c r="C18" s="548">
        <v>991</v>
      </c>
      <c r="D18" s="548">
        <v>974</v>
      </c>
      <c r="E18" s="549">
        <f t="shared" si="33"/>
        <v>0.71243709561466573</v>
      </c>
      <c r="F18" s="549">
        <f t="shared" si="34"/>
        <v>0.98284561049444996</v>
      </c>
      <c r="G18" s="549">
        <f t="shared" si="35"/>
        <v>0.70021567217828895</v>
      </c>
      <c r="H18" s="550">
        <v>0.20100000000000001</v>
      </c>
      <c r="I18" s="551">
        <v>0</v>
      </c>
      <c r="J18" s="552">
        <v>3.3000000000000002E-2</v>
      </c>
      <c r="K18" s="549">
        <f t="shared" si="36"/>
        <v>0.92208991282363795</v>
      </c>
      <c r="L18" s="549">
        <f t="shared" si="37"/>
        <v>0.98284561049444985</v>
      </c>
      <c r="M18" s="549">
        <f t="shared" si="38"/>
        <v>0.90627202329992251</v>
      </c>
      <c r="N18" s="553">
        <f t="shared" si="39"/>
        <v>0.97332472790913294</v>
      </c>
      <c r="O18" s="549">
        <f t="shared" si="40"/>
        <v>0.99568353515752772</v>
      </c>
      <c r="P18" s="552">
        <f t="shared" si="41"/>
        <v>0.9860389758178395</v>
      </c>
      <c r="Q18" s="547">
        <v>2010</v>
      </c>
      <c r="R18" s="553">
        <f t="shared" si="42"/>
        <v>7.7910087176362053E-2</v>
      </c>
      <c r="S18" s="549">
        <f t="shared" si="43"/>
        <v>1.7154389505550149E-2</v>
      </c>
      <c r="T18" s="552">
        <f t="shared" si="44"/>
        <v>9.3727976700077487E-2</v>
      </c>
      <c r="U18" s="553">
        <f t="shared" si="45"/>
        <v>2.6675272090867064E-2</v>
      </c>
      <c r="V18" s="549">
        <f t="shared" si="46"/>
        <v>4.3164648424722785E-3</v>
      </c>
      <c r="W18" s="552">
        <f t="shared" si="47"/>
        <v>1.3961024182160497E-2</v>
      </c>
      <c r="X18" s="545">
        <f t="shared" si="48"/>
        <v>991</v>
      </c>
      <c r="Y18" s="545">
        <f t="shared" si="49"/>
        <v>1391</v>
      </c>
      <c r="Z18" s="545">
        <f t="shared" si="19"/>
        <v>0.71243709561466573</v>
      </c>
      <c r="AA18" s="545">
        <f t="shared" si="12"/>
        <v>0.89170584897978478</v>
      </c>
      <c r="AB18" s="545">
        <f t="shared" si="20"/>
        <v>1.1248008092267683</v>
      </c>
      <c r="AC18" s="545">
        <f t="shared" si="21"/>
        <v>0.68786013242767008</v>
      </c>
      <c r="AD18" s="545">
        <f t="shared" si="22"/>
        <v>0.73611336195698573</v>
      </c>
      <c r="AE18" s="545">
        <f t="shared" si="50"/>
        <v>974</v>
      </c>
      <c r="AF18" s="545">
        <f t="shared" si="51"/>
        <v>991</v>
      </c>
      <c r="AG18" s="545">
        <f t="shared" si="23"/>
        <v>0.98284561049445007</v>
      </c>
      <c r="AH18" s="545">
        <f t="shared" si="15"/>
        <v>0.65786233941687844</v>
      </c>
      <c r="AI18" s="545">
        <f t="shared" si="24"/>
        <v>1.7219781337371061</v>
      </c>
      <c r="AJ18" s="545">
        <f t="shared" si="25"/>
        <v>0.97267585027520986</v>
      </c>
      <c r="AK18" s="545">
        <f t="shared" si="26"/>
        <v>0.9899759935682827</v>
      </c>
      <c r="AL18" s="545">
        <f t="shared" si="52"/>
        <v>974</v>
      </c>
      <c r="AM18" s="545">
        <f t="shared" si="53"/>
        <v>1391</v>
      </c>
      <c r="AN18" s="545">
        <f t="shared" si="27"/>
        <v>0.70021567217828895</v>
      </c>
      <c r="AO18" s="545">
        <f t="shared" si="18"/>
        <v>0.89285085727550728</v>
      </c>
      <c r="AP18" s="545">
        <f t="shared" si="28"/>
        <v>1.1230883455774459</v>
      </c>
      <c r="AQ18" s="545">
        <f t="shared" si="29"/>
        <v>0.67537428170342384</v>
      </c>
      <c r="AR18" s="545">
        <f t="shared" si="30"/>
        <v>0.72420838060460901</v>
      </c>
    </row>
    <row r="19" spans="1:44" ht="15" customHeight="1">
      <c r="A19" s="143">
        <v>2011</v>
      </c>
      <c r="B19" s="280">
        <v>2353</v>
      </c>
      <c r="C19" s="280">
        <v>1551</v>
      </c>
      <c r="D19" s="280">
        <v>1470</v>
      </c>
      <c r="E19" s="149">
        <f t="shared" si="33"/>
        <v>0.65915852103697403</v>
      </c>
      <c r="F19" s="149">
        <f t="shared" si="34"/>
        <v>0.94777562862669262</v>
      </c>
      <c r="G19" s="149">
        <f t="shared" si="35"/>
        <v>0.62473438164045902</v>
      </c>
      <c r="H19" s="285">
        <v>0.19800000000000001</v>
      </c>
      <c r="I19" s="147">
        <v>0</v>
      </c>
      <c r="J19" s="150">
        <v>3.3000000000000002E-2</v>
      </c>
      <c r="K19" s="149">
        <f t="shared" si="36"/>
        <v>0.84994148681679205</v>
      </c>
      <c r="L19" s="149">
        <f t="shared" si="37"/>
        <v>0.94777562862669262</v>
      </c>
      <c r="M19" s="149">
        <f t="shared" si="38"/>
        <v>0.80555382696369082</v>
      </c>
      <c r="N19" s="151">
        <f t="shared" si="39"/>
        <v>0.94724650034205826</v>
      </c>
      <c r="O19" s="149">
        <f t="shared" si="40"/>
        <v>0.98668013424669798</v>
      </c>
      <c r="P19" s="150">
        <f t="shared" si="41"/>
        <v>0.9695828785886208</v>
      </c>
      <c r="Q19" s="143">
        <v>2011</v>
      </c>
      <c r="R19" s="152">
        <f t="shared" si="42"/>
        <v>0.15005851318320795</v>
      </c>
      <c r="S19" s="153">
        <f t="shared" si="43"/>
        <v>5.2224371373307377E-2</v>
      </c>
      <c r="T19" s="154">
        <f t="shared" si="44"/>
        <v>0.19444617303630918</v>
      </c>
      <c r="U19" s="152">
        <f t="shared" si="45"/>
        <v>5.2753499657941738E-2</v>
      </c>
      <c r="V19" s="153">
        <f t="shared" si="46"/>
        <v>1.3319865753302018E-2</v>
      </c>
      <c r="W19" s="154">
        <f t="shared" si="47"/>
        <v>3.04171214113792E-2</v>
      </c>
      <c r="X19" s="283">
        <f t="shared" si="48"/>
        <v>1551</v>
      </c>
      <c r="Y19" s="283">
        <f t="shared" si="49"/>
        <v>2353</v>
      </c>
      <c r="Z19" s="283">
        <f t="shared" si="19"/>
        <v>0.65915852103697403</v>
      </c>
      <c r="AA19" s="283">
        <f t="shared" si="12"/>
        <v>0.91883466671056135</v>
      </c>
      <c r="AB19" s="283">
        <f t="shared" si="20"/>
        <v>1.0896391987030034</v>
      </c>
      <c r="AC19" s="436">
        <f t="shared" si="21"/>
        <v>0.63960528228775548</v>
      </c>
      <c r="AD19" s="436">
        <f t="shared" si="22"/>
        <v>0.67831472681025462</v>
      </c>
      <c r="AE19" s="283">
        <f t="shared" si="50"/>
        <v>1470</v>
      </c>
      <c r="AF19" s="283">
        <f t="shared" si="51"/>
        <v>1551</v>
      </c>
      <c r="AG19" s="283">
        <f t="shared" si="23"/>
        <v>0.9477756286266924</v>
      </c>
      <c r="AH19" s="283">
        <f t="shared" si="15"/>
        <v>0.80912874458368811</v>
      </c>
      <c r="AI19" s="283">
        <f t="shared" si="24"/>
        <v>1.2658447537314494</v>
      </c>
      <c r="AJ19" s="436">
        <f t="shared" si="25"/>
        <v>0.93550514536623475</v>
      </c>
      <c r="AK19" s="436">
        <f t="shared" si="26"/>
        <v>0.95831312533647228</v>
      </c>
      <c r="AL19" s="283">
        <f t="shared" si="52"/>
        <v>1470</v>
      </c>
      <c r="AM19" s="283">
        <f t="shared" si="53"/>
        <v>2353</v>
      </c>
      <c r="AN19" s="283">
        <f t="shared" si="27"/>
        <v>0.62473438164045902</v>
      </c>
      <c r="AO19" s="283">
        <f t="shared" si="18"/>
        <v>0.92034877720566755</v>
      </c>
      <c r="AP19" s="283">
        <f t="shared" si="28"/>
        <v>1.0875218764443892</v>
      </c>
      <c r="AQ19" s="436">
        <f t="shared" si="29"/>
        <v>0.60481247255869142</v>
      </c>
      <c r="AR19" s="436">
        <f t="shared" si="30"/>
        <v>0.64434522525643101</v>
      </c>
    </row>
    <row r="20" spans="1:44" ht="15" customHeight="1">
      <c r="A20" s="143">
        <v>2012</v>
      </c>
      <c r="B20" s="277">
        <v>2430</v>
      </c>
      <c r="C20" s="277">
        <v>1949</v>
      </c>
      <c r="D20" s="277">
        <v>1875</v>
      </c>
      <c r="E20" s="149">
        <f t="shared" si="33"/>
        <v>0.80205761316872426</v>
      </c>
      <c r="F20" s="149">
        <f t="shared" si="34"/>
        <v>0.96203181118522318</v>
      </c>
      <c r="G20" s="149">
        <f t="shared" si="35"/>
        <v>0.77160493827160492</v>
      </c>
      <c r="H20" s="285">
        <v>0.20899999999999999</v>
      </c>
      <c r="I20" s="287"/>
      <c r="J20" s="150">
        <v>3.3000000000000002E-2</v>
      </c>
      <c r="K20" s="149">
        <f t="shared" si="36"/>
        <v>1.0485825061004608</v>
      </c>
      <c r="L20" s="149">
        <f t="shared" si="37"/>
        <v>0.96203181118522318</v>
      </c>
      <c r="M20" s="149">
        <f t="shared" si="38"/>
        <v>1.0087697275209666</v>
      </c>
      <c r="N20" s="151">
        <f t="shared" si="39"/>
        <v>1.0159387744497022</v>
      </c>
      <c r="O20" s="149">
        <f t="shared" si="40"/>
        <v>0.99036973064555989</v>
      </c>
      <c r="P20" s="150">
        <f t="shared" si="41"/>
        <v>1.0012481349605202</v>
      </c>
      <c r="Q20" s="143">
        <v>2012</v>
      </c>
      <c r="R20" s="152">
        <f t="shared" si="42"/>
        <v>-4.8582506100460776E-2</v>
      </c>
      <c r="S20" s="153">
        <f t="shared" si="43"/>
        <v>3.7968188814776815E-2</v>
      </c>
      <c r="T20" s="154">
        <f t="shared" si="44"/>
        <v>-8.7697275209666081E-3</v>
      </c>
      <c r="U20" s="152">
        <f t="shared" si="45"/>
        <v>-1.5938774449702153E-2</v>
      </c>
      <c r="V20" s="153">
        <f t="shared" si="46"/>
        <v>9.630269354440113E-3</v>
      </c>
      <c r="W20" s="154">
        <f t="shared" si="47"/>
        <v>-1.2481349605202308E-3</v>
      </c>
      <c r="X20" s="283">
        <f t="shared" si="48"/>
        <v>1949</v>
      </c>
      <c r="Y20" s="283">
        <f t="shared" si="49"/>
        <v>2430</v>
      </c>
      <c r="Z20" s="283">
        <f t="shared" si="19"/>
        <v>0.80205761316872426</v>
      </c>
      <c r="AA20" s="283">
        <f t="shared" si="12"/>
        <v>0.90644144375689806</v>
      </c>
      <c r="AB20" s="283">
        <f t="shared" si="20"/>
        <v>1.1066683611348387</v>
      </c>
      <c r="AC20" s="436">
        <f t="shared" si="21"/>
        <v>0.78564958421429165</v>
      </c>
      <c r="AD20" s="436">
        <f t="shared" si="22"/>
        <v>0.81773421835731464</v>
      </c>
      <c r="AE20" s="283">
        <f t="shared" si="50"/>
        <v>1875</v>
      </c>
      <c r="AF20" s="283">
        <f t="shared" si="51"/>
        <v>1949</v>
      </c>
      <c r="AG20" s="283">
        <f t="shared" si="23"/>
        <v>0.96203181118522318</v>
      </c>
      <c r="AH20" s="283">
        <f t="shared" si="15"/>
        <v>0.80329351571135821</v>
      </c>
      <c r="AI20" s="283">
        <f t="shared" si="24"/>
        <v>1.2785480462888628</v>
      </c>
      <c r="AJ20" s="436">
        <f t="shared" si="25"/>
        <v>0.95256693042841889</v>
      </c>
      <c r="AK20" s="436">
        <f t="shared" si="26"/>
        <v>0.97007145805211359</v>
      </c>
      <c r="AL20" s="283">
        <f t="shared" si="52"/>
        <v>1875</v>
      </c>
      <c r="AM20" s="283">
        <f t="shared" si="53"/>
        <v>2430</v>
      </c>
      <c r="AN20" s="283">
        <f t="shared" si="27"/>
        <v>0.77160493827160492</v>
      </c>
      <c r="AO20" s="283">
        <f t="shared" si="18"/>
        <v>0.91078197825689411</v>
      </c>
      <c r="AP20" s="283">
        <f t="shared" si="28"/>
        <v>1.1007372944833611</v>
      </c>
      <c r="AQ20" s="436">
        <f t="shared" si="29"/>
        <v>0.75438617361461979</v>
      </c>
      <c r="AR20" s="436">
        <f t="shared" si="30"/>
        <v>0.78816657773587562</v>
      </c>
    </row>
    <row r="21" spans="1:44" ht="15" customHeight="1">
      <c r="A21" s="143">
        <v>2013</v>
      </c>
      <c r="B21" s="277">
        <v>4192</v>
      </c>
      <c r="C21" s="277">
        <v>2895</v>
      </c>
      <c r="D21" s="277">
        <v>2639</v>
      </c>
      <c r="E21" s="149">
        <f t="shared" si="33"/>
        <v>0.69060114503816794</v>
      </c>
      <c r="F21" s="149">
        <f t="shared" si="34"/>
        <v>0.91157167530224525</v>
      </c>
      <c r="G21" s="149">
        <f t="shared" si="35"/>
        <v>0.62953244274809161</v>
      </c>
      <c r="H21" s="285">
        <v>0.21099999999999999</v>
      </c>
      <c r="I21" s="287"/>
      <c r="J21" s="150">
        <v>3.3000000000000002E-2</v>
      </c>
      <c r="K21" s="149">
        <f t="shared" si="36"/>
        <v>0.90515679664435611</v>
      </c>
      <c r="L21" s="149">
        <f t="shared" si="37"/>
        <v>0.91157167530224537</v>
      </c>
      <c r="M21" s="149">
        <f t="shared" si="38"/>
        <v>0.82511529752830948</v>
      </c>
      <c r="N21" s="151">
        <f t="shared" si="39"/>
        <v>0.96732988585687707</v>
      </c>
      <c r="O21" s="149">
        <f t="shared" si="40"/>
        <v>0.97711955651598448</v>
      </c>
      <c r="P21" s="150">
        <f t="shared" si="41"/>
        <v>0.9729119099217628</v>
      </c>
      <c r="Q21" s="143">
        <v>2013</v>
      </c>
      <c r="R21" s="152">
        <f t="shared" si="42"/>
        <v>9.484320335564389E-2</v>
      </c>
      <c r="S21" s="153">
        <f t="shared" si="43"/>
        <v>8.8428324697754634E-2</v>
      </c>
      <c r="T21" s="154">
        <f t="shared" si="44"/>
        <v>0.17488470247169052</v>
      </c>
      <c r="U21" s="152">
        <f t="shared" si="45"/>
        <v>3.267011414312293E-2</v>
      </c>
      <c r="V21" s="153">
        <f t="shared" si="46"/>
        <v>2.2880443484015522E-2</v>
      </c>
      <c r="W21" s="154">
        <f t="shared" si="47"/>
        <v>2.7088090078237204E-2</v>
      </c>
      <c r="X21" s="283">
        <f t="shared" si="48"/>
        <v>2895</v>
      </c>
      <c r="Y21" s="283">
        <f t="shared" si="49"/>
        <v>4192</v>
      </c>
      <c r="Z21" s="283">
        <f t="shared" si="19"/>
        <v>0.69060114503816794</v>
      </c>
      <c r="AA21" s="283">
        <f t="shared" si="12"/>
        <v>0.93700316575830811</v>
      </c>
      <c r="AB21" s="283">
        <f t="shared" si="20"/>
        <v>1.0681316491395703</v>
      </c>
      <c r="AC21" s="436">
        <f t="shared" si="21"/>
        <v>0.67635960223613334</v>
      </c>
      <c r="AD21" s="436">
        <f t="shared" si="22"/>
        <v>0.70457661991474052</v>
      </c>
      <c r="AE21" s="283">
        <f t="shared" si="50"/>
        <v>2639</v>
      </c>
      <c r="AF21" s="283">
        <f t="shared" si="51"/>
        <v>2895</v>
      </c>
      <c r="AG21" s="283">
        <f t="shared" si="23"/>
        <v>0.91157167530224525</v>
      </c>
      <c r="AH21" s="283">
        <f t="shared" si="15"/>
        <v>0.88270220885243023</v>
      </c>
      <c r="AI21" s="283">
        <f t="shared" si="24"/>
        <v>1.1409420145647571</v>
      </c>
      <c r="AJ21" s="436">
        <f t="shared" si="25"/>
        <v>0.90063605026115046</v>
      </c>
      <c r="AK21" s="436">
        <f t="shared" si="26"/>
        <v>0.92166671010043344</v>
      </c>
      <c r="AL21" s="283">
        <f t="shared" si="52"/>
        <v>2639</v>
      </c>
      <c r="AM21" s="283">
        <f t="shared" si="53"/>
        <v>4192</v>
      </c>
      <c r="AN21" s="283">
        <f t="shared" si="27"/>
        <v>0.62953244274809161</v>
      </c>
      <c r="AO21" s="283">
        <f t="shared" si="18"/>
        <v>0.93948563995791923</v>
      </c>
      <c r="AP21" s="283">
        <f t="shared" si="28"/>
        <v>1.0649702655672273</v>
      </c>
      <c r="AQ21" s="436">
        <f t="shared" si="29"/>
        <v>0.61470780830651539</v>
      </c>
      <c r="AR21" s="436">
        <f t="shared" si="30"/>
        <v>0.64417634336100982</v>
      </c>
    </row>
    <row r="22" spans="1:44" ht="15" customHeight="1">
      <c r="A22" s="143">
        <v>2014</v>
      </c>
      <c r="B22" s="139">
        <v>3206</v>
      </c>
      <c r="C22" s="139">
        <v>2290</v>
      </c>
      <c r="D22" s="139">
        <v>2198</v>
      </c>
      <c r="E22" s="129">
        <f t="shared" si="33"/>
        <v>0.7142857142857143</v>
      </c>
      <c r="F22" s="129">
        <f t="shared" si="34"/>
        <v>0.95982532751091709</v>
      </c>
      <c r="G22" s="129">
        <f t="shared" si="35"/>
        <v>0.68558951965065507</v>
      </c>
      <c r="H22" s="285">
        <v>0.22600000000000001</v>
      </c>
      <c r="I22" s="287"/>
      <c r="J22" s="150">
        <v>3.3000000000000002E-2</v>
      </c>
      <c r="K22" s="149">
        <f t="shared" si="36"/>
        <v>0.95434308175704496</v>
      </c>
      <c r="L22" s="149">
        <f t="shared" si="37"/>
        <v>0.95982532751091698</v>
      </c>
      <c r="M22" s="149">
        <f t="shared" si="38"/>
        <v>0.91600266100523353</v>
      </c>
      <c r="N22" s="151">
        <f t="shared" si="39"/>
        <v>0.98454335013313976</v>
      </c>
      <c r="O22" s="149">
        <f t="shared" si="40"/>
        <v>0.98980137193122708</v>
      </c>
      <c r="P22" s="150">
        <f t="shared" si="41"/>
        <v>0.98754450426514895</v>
      </c>
      <c r="Q22" s="143">
        <v>2014</v>
      </c>
      <c r="R22" s="152">
        <f t="shared" si="42"/>
        <v>4.5656918242955036E-2</v>
      </c>
      <c r="S22" s="153">
        <f t="shared" si="43"/>
        <v>4.0174672489083019E-2</v>
      </c>
      <c r="T22" s="154">
        <f t="shared" si="44"/>
        <v>8.3997338994766468E-2</v>
      </c>
      <c r="U22" s="152">
        <f t="shared" si="45"/>
        <v>1.5456649866860239E-2</v>
      </c>
      <c r="V22" s="153">
        <f t="shared" si="46"/>
        <v>1.0198628068772919E-2</v>
      </c>
      <c r="W22" s="154">
        <f t="shared" si="47"/>
        <v>1.2455495734851052E-2</v>
      </c>
      <c r="X22" s="451">
        <f t="shared" si="48"/>
        <v>2290</v>
      </c>
      <c r="Y22" s="451">
        <f t="shared" si="49"/>
        <v>3206</v>
      </c>
      <c r="Z22" s="451">
        <f t="shared" si="19"/>
        <v>0.7142857142857143</v>
      </c>
      <c r="AA22" s="451">
        <f t="shared" si="12"/>
        <v>0.92683829616276758</v>
      </c>
      <c r="AB22" s="451">
        <f t="shared" si="20"/>
        <v>1.0803404150385494</v>
      </c>
      <c r="AC22" s="445">
        <f t="shared" si="21"/>
        <v>0.69830164205196932</v>
      </c>
      <c r="AD22" s="445">
        <f t="shared" si="22"/>
        <v>0.72987796456478959</v>
      </c>
      <c r="AE22" s="451">
        <f t="shared" si="50"/>
        <v>2198</v>
      </c>
      <c r="AF22" s="451">
        <f t="shared" si="51"/>
        <v>2290</v>
      </c>
      <c r="AG22" s="451">
        <f t="shared" si="23"/>
        <v>0.95982532751091698</v>
      </c>
      <c r="AH22" s="451">
        <f t="shared" si="15"/>
        <v>0.82038929221838219</v>
      </c>
      <c r="AI22" s="451">
        <f t="shared" si="24"/>
        <v>1.2451818641016383</v>
      </c>
      <c r="AJ22" s="445">
        <f t="shared" si="25"/>
        <v>0.95095494581597195</v>
      </c>
      <c r="AK22" s="445">
        <f t="shared" si="26"/>
        <v>0.96749294557086563</v>
      </c>
      <c r="AL22" s="451">
        <f t="shared" si="52"/>
        <v>2198</v>
      </c>
      <c r="AM22" s="451">
        <f t="shared" si="53"/>
        <v>3206</v>
      </c>
      <c r="AN22" s="451">
        <f t="shared" si="27"/>
        <v>0.68558951965065507</v>
      </c>
      <c r="AO22" s="451">
        <f t="shared" si="18"/>
        <v>0.92864758882712939</v>
      </c>
      <c r="AP22" s="451">
        <f t="shared" si="28"/>
        <v>1.0779826923553597</v>
      </c>
      <c r="AQ22" s="445">
        <f t="shared" si="29"/>
        <v>0.66919848401765236</v>
      </c>
      <c r="AR22" s="445">
        <f t="shared" si="30"/>
        <v>0.7016413226300634</v>
      </c>
    </row>
    <row r="23" spans="1:44">
      <c r="A23" s="143">
        <v>2015</v>
      </c>
      <c r="B23">
        <v>1348</v>
      </c>
      <c r="C23">
        <v>929</v>
      </c>
      <c r="D23">
        <v>891</v>
      </c>
      <c r="E23" s="129">
        <f t="shared" si="33"/>
        <v>0.68916913946587532</v>
      </c>
      <c r="F23" s="129">
        <f t="shared" si="34"/>
        <v>0.95909580193756738</v>
      </c>
      <c r="G23" s="129">
        <f t="shared" si="35"/>
        <v>0.66097922848664692</v>
      </c>
      <c r="H23" s="285">
        <v>0.315</v>
      </c>
      <c r="J23" s="150">
        <v>3.3000000000000002E-2</v>
      </c>
      <c r="K23" s="149">
        <f t="shared" si="36"/>
        <v>1.0404202016408264</v>
      </c>
      <c r="L23" s="149">
        <f t="shared" si="37"/>
        <v>0.95909580193756749</v>
      </c>
      <c r="M23" s="149">
        <f t="shared" si="38"/>
        <v>0.99786264764475407</v>
      </c>
      <c r="N23" s="151">
        <f t="shared" si="39"/>
        <v>1.0132958377686649</v>
      </c>
      <c r="O23" s="149">
        <f t="shared" si="40"/>
        <v>0.98961324100397596</v>
      </c>
      <c r="P23" s="150">
        <f t="shared" si="41"/>
        <v>0.99969438388830834</v>
      </c>
      <c r="Q23" s="143">
        <v>2015</v>
      </c>
      <c r="R23" s="152">
        <f t="shared" si="42"/>
        <v>-4.0420201640826381E-2</v>
      </c>
      <c r="S23" s="153">
        <f t="shared" si="43"/>
        <v>4.0904198062432506E-2</v>
      </c>
      <c r="T23" s="154">
        <f t="shared" si="44"/>
        <v>2.137352355245925E-3</v>
      </c>
      <c r="U23" s="152">
        <f t="shared" si="45"/>
        <v>-1.3295837768664942E-2</v>
      </c>
      <c r="V23" s="153">
        <f t="shared" si="46"/>
        <v>1.0386758996024037E-2</v>
      </c>
      <c r="W23" s="154">
        <f t="shared" si="47"/>
        <v>3.0561611169166447E-4</v>
      </c>
      <c r="X23" s="451">
        <f t="shared" si="48"/>
        <v>929</v>
      </c>
      <c r="Y23" s="451">
        <f t="shared" si="49"/>
        <v>1348</v>
      </c>
      <c r="Z23" s="451">
        <f t="shared" ref="Z23" si="54">X23/Y23</f>
        <v>0.68916913946587532</v>
      </c>
      <c r="AA23" s="451">
        <f t="shared" ref="AA23" si="55">_xlfn.F.INV(0.05/2, 2*X23, 2*(Y23-X23+1))</f>
        <v>0.89222548361182952</v>
      </c>
      <c r="AB23" s="451">
        <f t="shared" ref="AB23" si="56">_xlfn.F.INV(1-0.05/2, 2*(X23+1), 2*(Y23-X23))</f>
        <v>1.1237382794999915</v>
      </c>
      <c r="AC23" s="445">
        <f t="shared" ref="AC23" si="57">IF(X23=0, 0, 1/(1 +(Y23-X23+1)/(X23*AA23)))</f>
        <v>0.66369799387751161</v>
      </c>
      <c r="AD23" s="445">
        <f t="shared" ref="AD23" si="58">IF(X23=Y23, 1, 1/(1 + (Y23-X23)/(AB23*(X23+1))))</f>
        <v>0.71381278819796423</v>
      </c>
      <c r="AE23" s="451">
        <f t="shared" si="50"/>
        <v>891</v>
      </c>
      <c r="AF23" s="451">
        <f t="shared" si="51"/>
        <v>929</v>
      </c>
      <c r="AG23" s="451">
        <f t="shared" ref="AG23" si="59">AE23/AF23</f>
        <v>0.95909580193756727</v>
      </c>
      <c r="AH23" s="451">
        <f t="shared" ref="AH23" si="60">_xlfn.F.INV(0.05/2, 2*AE23, 2*(AF23-AE23+1))</f>
        <v>0.74186231908020384</v>
      </c>
      <c r="AI23" s="451">
        <f t="shared" ref="AI23" si="61">_xlfn.F.INV(1-0.05/2, 2*(AE23+1), 2*(AF23-AE23))</f>
        <v>1.4210443551928504</v>
      </c>
      <c r="AJ23" s="445">
        <f t="shared" ref="AJ23" si="62">IF(AE23=0, 0, 1/(1 +(AF23-AE23+1)/(AE23*AH23)))</f>
        <v>0.94428566066467901</v>
      </c>
      <c r="AK23" s="445">
        <f t="shared" ref="AK23" si="63">IF(AE23=AF23, 1, 1/(1 + (AF23-AE23)/(AI23*(AE23+1))))</f>
        <v>0.9708939739317245</v>
      </c>
      <c r="AL23" s="451">
        <f t="shared" si="52"/>
        <v>891</v>
      </c>
      <c r="AM23" s="451">
        <f t="shared" si="53"/>
        <v>1348</v>
      </c>
      <c r="AN23" s="451">
        <f t="shared" ref="AN23" si="64">AL23/AM23</f>
        <v>0.66097922848664692</v>
      </c>
      <c r="AO23" s="451">
        <f t="shared" ref="AO23" si="65">_xlfn.F.INV(0.05/2, 2*AL23, 2*(AM23-AL23+1))</f>
        <v>0.89430137733320669</v>
      </c>
      <c r="AP23" s="451">
        <f t="shared" ref="AP23" si="66">_xlfn.F.INV(1-0.05/2, 2*(AL23+1), 2*(AM23-AL23))</f>
        <v>1.1205797324383644</v>
      </c>
      <c r="AQ23" s="445">
        <f t="shared" ref="AQ23" si="67">IF(AL23=0, 0, 1/(1 +(AM23-AL23+1)/(AL23*AO23)))</f>
        <v>0.63500814651410642</v>
      </c>
      <c r="AR23" s="445">
        <f t="shared" ref="AR23" si="68">IF(AL23=AM23, 1, 1/(1 + (AM23-AL23)/(AP23*(AL23+1))))</f>
        <v>0.68624642775346001</v>
      </c>
    </row>
    <row r="24" spans="1:44">
      <c r="A24" s="143">
        <v>2016</v>
      </c>
      <c r="B24">
        <v>351</v>
      </c>
      <c r="C24">
        <v>220</v>
      </c>
      <c r="D24">
        <v>209</v>
      </c>
      <c r="E24" s="129">
        <f t="shared" si="33"/>
        <v>0.62678062678062674</v>
      </c>
      <c r="F24" s="129">
        <f t="shared" si="34"/>
        <v>0.95000000000000007</v>
      </c>
      <c r="G24" s="129">
        <f t="shared" si="35"/>
        <v>0.59544159544159547</v>
      </c>
      <c r="H24" s="302">
        <v>0.23200000000000001</v>
      </c>
      <c r="J24" s="150">
        <v>3.3000000000000002E-2</v>
      </c>
      <c r="K24" s="149">
        <f t="shared" si="36"/>
        <v>0.84397167299614728</v>
      </c>
      <c r="L24" s="149">
        <f t="shared" si="37"/>
        <v>0.95000000000000018</v>
      </c>
      <c r="M24" s="149">
        <f t="shared" si="38"/>
        <v>0.80177308934634006</v>
      </c>
      <c r="N24" s="151">
        <f t="shared" si="39"/>
        <v>0.94502353290823049</v>
      </c>
      <c r="O24" s="149">
        <f t="shared" si="40"/>
        <v>0.98725854490143383</v>
      </c>
      <c r="P24" s="150">
        <f t="shared" si="41"/>
        <v>0.96893148408660534</v>
      </c>
      <c r="Q24" s="143">
        <v>2016</v>
      </c>
      <c r="R24" s="152">
        <f t="shared" si="42"/>
        <v>0.15602832700385272</v>
      </c>
      <c r="S24" s="153">
        <f t="shared" si="43"/>
        <v>4.9999999999999822E-2</v>
      </c>
      <c r="T24" s="154">
        <f t="shared" si="44"/>
        <v>0.19822691065365994</v>
      </c>
      <c r="U24" s="152">
        <f t="shared" si="45"/>
        <v>5.497646709176951E-2</v>
      </c>
      <c r="V24" s="153">
        <f t="shared" si="46"/>
        <v>1.2741455098566168E-2</v>
      </c>
      <c r="W24" s="154">
        <f t="shared" si="47"/>
        <v>3.1068515913394656E-2</v>
      </c>
      <c r="X24" s="451">
        <f t="shared" si="48"/>
        <v>220</v>
      </c>
      <c r="Y24" s="451">
        <f t="shared" si="49"/>
        <v>351</v>
      </c>
      <c r="Z24" s="451">
        <f t="shared" ref="Z24" si="69">X24/Y24</f>
        <v>0.62678062678062674</v>
      </c>
      <c r="AA24" s="451">
        <f t="shared" ref="AA24" si="70">_xlfn.F.INV(0.05/2, 2*X24, 2*(Y24-X24+1))</f>
        <v>0.80798151971588184</v>
      </c>
      <c r="AB24" s="451">
        <f t="shared" ref="AB24" si="71">_xlfn.F.INV(1-0.05/2, 2*(X24+1), 2*(Y24-X24))</f>
        <v>1.2455094689592829</v>
      </c>
      <c r="AC24" s="445">
        <f t="shared" ref="AC24" si="72">IF(X24=0, 0, 1/(1 +(Y24-X24+1)/(X24*AA24)))</f>
        <v>0.57385804316446243</v>
      </c>
      <c r="AD24" s="445">
        <f t="shared" ref="AD24" si="73">IF(X24=Y24, 1, 1/(1 + (Y24-X24)/(AB24*(X24+1))))</f>
        <v>0.67754448809506074</v>
      </c>
      <c r="AE24" s="451">
        <f t="shared" si="50"/>
        <v>209</v>
      </c>
      <c r="AF24" s="451">
        <f t="shared" si="51"/>
        <v>220</v>
      </c>
      <c r="AG24" s="451">
        <f t="shared" ref="AG24" si="74">AE24/AF24</f>
        <v>0.95</v>
      </c>
      <c r="AH24" s="451">
        <f t="shared" ref="AH24" si="75">_xlfn.F.INV(0.05/2, 2*AE24, 2*(AF24-AE24+1))</f>
        <v>0.59726471442190698</v>
      </c>
      <c r="AI24" s="451">
        <f t="shared" ref="AI24" si="76">_xlfn.F.INV(1-0.05/2, 2*(AE24+1), 2*(AF24-AE24))</f>
        <v>2.0245129146150114</v>
      </c>
      <c r="AJ24" s="445">
        <f t="shared" ref="AJ24" si="77">IF(AE24=0, 0, 1/(1 +(AF24-AE24+1)/(AE24*AH24)))</f>
        <v>0.91229886083567724</v>
      </c>
      <c r="AK24" s="445">
        <f t="shared" ref="AK24" si="78">IF(AE24=AF24, 1, 1/(1 + (AF24-AE24)/(AI24*(AE24+1))))</f>
        <v>0.97477918673970732</v>
      </c>
      <c r="AL24" s="451">
        <f t="shared" si="52"/>
        <v>209</v>
      </c>
      <c r="AM24" s="451">
        <f t="shared" si="53"/>
        <v>351</v>
      </c>
      <c r="AN24" s="451">
        <f t="shared" ref="AN24" si="79">AL24/AM24</f>
        <v>0.59544159544159547</v>
      </c>
      <c r="AO24" s="451">
        <f t="shared" ref="AO24" si="80">_xlfn.F.INV(0.05/2, 2*AL24, 2*(AM24-AL24+1))</f>
        <v>0.80984234633341567</v>
      </c>
      <c r="AP24" s="451">
        <f t="shared" ref="AP24" si="81">_xlfn.F.INV(1-0.05/2, 2*(AL24+1), 2*(AM24-AL24))</f>
        <v>1.2405303576610376</v>
      </c>
      <c r="AQ24" s="445">
        <f t="shared" ref="AQ24" si="82">IF(AL24=0, 0, 1/(1 +(AM24-AL24+1)/(AL24*AO24)))</f>
        <v>0.54204396722415182</v>
      </c>
      <c r="AR24" s="445">
        <f t="shared" ref="AR24" si="83">IF(AL24=AM24, 1, 1/(1 + (AM24-AL24)/(AP24*(AL24+1))))</f>
        <v>0.64721493905206862</v>
      </c>
    </row>
    <row r="25" spans="1:44">
      <c r="A25" s="143">
        <v>2017</v>
      </c>
      <c r="B25">
        <v>120</v>
      </c>
      <c r="C25">
        <v>81</v>
      </c>
      <c r="D25">
        <v>77</v>
      </c>
      <c r="E25" s="129">
        <f t="shared" si="33"/>
        <v>0.67500000000000004</v>
      </c>
      <c r="F25" s="129">
        <f t="shared" si="34"/>
        <v>0.95061728395061729</v>
      </c>
      <c r="G25" s="129">
        <f t="shared" si="35"/>
        <v>0.64166666666666672</v>
      </c>
      <c r="H25" s="302">
        <v>0.26300000000000001</v>
      </c>
      <c r="J25" s="150">
        <v>3.3000000000000002E-2</v>
      </c>
      <c r="K25" s="149">
        <f t="shared" si="36"/>
        <v>0.94713047529111993</v>
      </c>
      <c r="L25" s="149">
        <f t="shared" si="37"/>
        <v>0.9506172839506174</v>
      </c>
      <c r="M25" s="149">
        <f t="shared" si="38"/>
        <v>0.90035859996810175</v>
      </c>
      <c r="N25" s="151">
        <f t="shared" si="39"/>
        <v>0.98205679204261109</v>
      </c>
      <c r="O25" s="149">
        <f t="shared" si="40"/>
        <v>0.9874188792217663</v>
      </c>
      <c r="P25" s="150">
        <f t="shared" si="41"/>
        <v>0.98511726617306716</v>
      </c>
      <c r="Q25" s="143">
        <v>2017</v>
      </c>
      <c r="R25" s="152">
        <f t="shared" si="42"/>
        <v>5.2869524708880067E-2</v>
      </c>
      <c r="S25" s="153">
        <f t="shared" si="43"/>
        <v>4.9382716049382602E-2</v>
      </c>
      <c r="T25" s="154">
        <f t="shared" si="44"/>
        <v>9.9641400031898253E-2</v>
      </c>
      <c r="U25" s="152">
        <f t="shared" si="45"/>
        <v>1.7943207957388907E-2</v>
      </c>
      <c r="V25" s="153">
        <f t="shared" si="46"/>
        <v>1.2581120778233701E-2</v>
      </c>
      <c r="W25" s="154">
        <f t="shared" si="47"/>
        <v>1.4882733826932837E-2</v>
      </c>
      <c r="X25" s="451">
        <f t="shared" si="48"/>
        <v>81</v>
      </c>
      <c r="Y25" s="451">
        <f t="shared" si="49"/>
        <v>120</v>
      </c>
      <c r="Z25" s="451">
        <f t="shared" ref="Z25:Z32" si="84">X25/Y25</f>
        <v>0.67500000000000004</v>
      </c>
      <c r="AA25" s="451">
        <f t="shared" ref="AA25:AA32" si="85">_xlfn.F.INV(0.05/2, 2*X25, 2*(Y25-X25+1))</f>
        <v>0.69175473257314557</v>
      </c>
      <c r="AB25" s="451">
        <f t="shared" ref="AB25:AB32" si="86">_xlfn.F.INV(1-0.05/2, 2*(X25+1), 2*(Y25-X25))</f>
        <v>1.4869214229646099</v>
      </c>
      <c r="AC25" s="445">
        <f t="shared" ref="AC25:AC32" si="87">IF(X25=0, 0, 1/(1 +(Y25-X25+1)/(X25*AA25)))</f>
        <v>0.58347275428072753</v>
      </c>
      <c r="AD25" s="445">
        <f t="shared" ref="AD25:AD32" si="88">IF(X25=Y25, 1, 1/(1 + (Y25-X25)/(AB25*(X25+1))))</f>
        <v>0.75765492993347539</v>
      </c>
      <c r="AE25" s="451">
        <f t="shared" si="50"/>
        <v>77</v>
      </c>
      <c r="AF25" s="451">
        <f t="shared" si="51"/>
        <v>81</v>
      </c>
      <c r="AG25" s="451">
        <f t="shared" ref="AG25:AG32" si="89">AE25/AF25</f>
        <v>0.95061728395061729</v>
      </c>
      <c r="AH25" s="451">
        <f t="shared" ref="AH25:AH32" si="90">_xlfn.F.INV(0.05/2, 2*AE25, 2*(AF25-AE25+1))</f>
        <v>0.46890296653421604</v>
      </c>
      <c r="AI25" s="451">
        <f t="shared" ref="AI25:AI32" si="91">_xlfn.F.INV(1-0.05/2, 2*(AE25+1), 2*(AF25-AE25))</f>
        <v>3.7147253885179969</v>
      </c>
      <c r="AJ25" s="445">
        <f t="shared" ref="AJ25:AJ32" si="92">IF(AE25=0, 0, 1/(1 +(AF25-AE25+1)/(AE25*AH25)))</f>
        <v>0.87836186051348875</v>
      </c>
      <c r="AK25" s="445">
        <f t="shared" ref="AK25:AK32" si="93">IF(AE25=AF25, 1, 1/(1 + (AF25-AE25)/(AI25*(AE25+1))))</f>
        <v>0.9863829129119368</v>
      </c>
      <c r="AL25" s="451">
        <f t="shared" si="52"/>
        <v>77</v>
      </c>
      <c r="AM25" s="451">
        <f t="shared" si="53"/>
        <v>120</v>
      </c>
      <c r="AN25" s="451">
        <f t="shared" ref="AN25:AN32" si="94">AL25/AM25</f>
        <v>0.64166666666666672</v>
      </c>
      <c r="AO25" s="451">
        <f t="shared" ref="AO25:AO32" si="95">_xlfn.F.INV(0.05/2, 2*AL25, 2*(AM25-AL25+1))</f>
        <v>0.69570676239109575</v>
      </c>
      <c r="AP25" s="451">
        <f t="shared" ref="AP25:AP32" si="96">_xlfn.F.INV(1-0.05/2, 2*(AL25+1), 2*(AM25-AL25))</f>
        <v>1.4689653823799771</v>
      </c>
      <c r="AQ25" s="445">
        <f t="shared" ref="AQ25:AQ32" si="97">IF(AL25=0, 0, 1/(1 +(AM25-AL25+1)/(AL25*AO25)))</f>
        <v>0.54903903618088634</v>
      </c>
      <c r="AR25" s="445">
        <f t="shared" ref="AR25:AR32" si="98">IF(AL25=AM25, 1, 1/(1 + (AM25-AL25)/(AP25*(AL25+1))))</f>
        <v>0.72712151883160048</v>
      </c>
    </row>
    <row r="26" spans="1:44">
      <c r="A26" s="143">
        <v>2018</v>
      </c>
      <c r="B26">
        <v>42</v>
      </c>
      <c r="C26">
        <v>28</v>
      </c>
      <c r="D26">
        <v>27</v>
      </c>
      <c r="E26" s="129">
        <f t="shared" si="33"/>
        <v>0.66666666666666663</v>
      </c>
      <c r="F26" s="129">
        <f t="shared" si="34"/>
        <v>0.96428571428571441</v>
      </c>
      <c r="G26" s="129">
        <f t="shared" si="35"/>
        <v>0.6428571428571429</v>
      </c>
      <c r="H26" s="302">
        <v>0.29570000000000002</v>
      </c>
      <c r="J26" s="150">
        <v>3.3000000000000002E-2</v>
      </c>
      <c r="K26" s="149">
        <f t="shared" si="36"/>
        <v>0.9788690078961938</v>
      </c>
      <c r="L26" s="149">
        <f t="shared" si="37"/>
        <v>0.96428571428571441</v>
      </c>
      <c r="M26" s="149">
        <f t="shared" si="38"/>
        <v>0.94390940047132987</v>
      </c>
      <c r="N26" s="151">
        <f t="shared" si="39"/>
        <v>0.9929061319969732</v>
      </c>
      <c r="O26" s="149">
        <f t="shared" si="40"/>
        <v>0.99094929540414212</v>
      </c>
      <c r="P26" s="150">
        <f t="shared" si="41"/>
        <v>0.9917874669817518</v>
      </c>
      <c r="Q26" s="143">
        <v>2018</v>
      </c>
      <c r="R26" s="152">
        <f t="shared" si="42"/>
        <v>2.1130992103806201E-2</v>
      </c>
      <c r="S26" s="153">
        <f t="shared" si="43"/>
        <v>3.5714285714285587E-2</v>
      </c>
      <c r="T26" s="154">
        <f t="shared" si="44"/>
        <v>5.6090599528670126E-2</v>
      </c>
      <c r="U26" s="152">
        <f t="shared" si="45"/>
        <v>7.0938680030268042E-3</v>
      </c>
      <c r="V26" s="153">
        <f t="shared" si="46"/>
        <v>9.0507045958578836E-3</v>
      </c>
      <c r="W26" s="154">
        <f t="shared" si="47"/>
        <v>8.2125330182482026E-3</v>
      </c>
      <c r="X26" s="451">
        <f t="shared" si="48"/>
        <v>28</v>
      </c>
      <c r="Y26" s="451">
        <f t="shared" si="49"/>
        <v>42</v>
      </c>
      <c r="Z26" s="451">
        <f t="shared" si="84"/>
        <v>0.66666666666666663</v>
      </c>
      <c r="AA26" s="451">
        <f t="shared" si="85"/>
        <v>0.54547206984946306</v>
      </c>
      <c r="AB26" s="451">
        <f t="shared" si="86"/>
        <v>1.984474152029353</v>
      </c>
      <c r="AC26" s="445">
        <f t="shared" si="87"/>
        <v>0.50451253573676913</v>
      </c>
      <c r="AD26" s="445">
        <f t="shared" si="88"/>
        <v>0.80433195196348173</v>
      </c>
      <c r="AE26" s="451">
        <f t="shared" si="50"/>
        <v>27</v>
      </c>
      <c r="AF26" s="451">
        <f t="shared" si="51"/>
        <v>28</v>
      </c>
      <c r="AG26" s="451">
        <f t="shared" si="89"/>
        <v>0.9642857142857143</v>
      </c>
      <c r="AH26" s="451">
        <f t="shared" si="90"/>
        <v>0.32964864229765334</v>
      </c>
      <c r="AI26" s="451">
        <f t="shared" si="91"/>
        <v>39.480035753443516</v>
      </c>
      <c r="AJ26" s="445">
        <f t="shared" si="92"/>
        <v>0.81652240245537633</v>
      </c>
      <c r="AK26" s="445">
        <f t="shared" si="93"/>
        <v>0.99909620124434184</v>
      </c>
      <c r="AL26" s="451">
        <f t="shared" si="52"/>
        <v>27</v>
      </c>
      <c r="AM26" s="451">
        <f t="shared" si="53"/>
        <v>42</v>
      </c>
      <c r="AN26" s="451">
        <f t="shared" si="94"/>
        <v>0.6428571428571429</v>
      </c>
      <c r="AO26" s="451">
        <f t="shared" si="95"/>
        <v>0.54757985757155325</v>
      </c>
      <c r="AP26" s="451">
        <f t="shared" si="96"/>
        <v>1.9501095745796821</v>
      </c>
      <c r="AQ26" s="445">
        <f t="shared" si="97"/>
        <v>0.48026055838546222</v>
      </c>
      <c r="AR26" s="445">
        <f t="shared" si="98"/>
        <v>0.78449225857421234</v>
      </c>
    </row>
    <row r="27" spans="1:44" ht="14.25" customHeight="1">
      <c r="A27" s="143">
        <v>2019</v>
      </c>
      <c r="B27">
        <v>72</v>
      </c>
      <c r="C27">
        <v>55</v>
      </c>
      <c r="D27">
        <v>54</v>
      </c>
      <c r="E27" s="129">
        <f t="shared" si="33"/>
        <v>0.76388888888888884</v>
      </c>
      <c r="F27" s="129">
        <f t="shared" si="34"/>
        <v>0.98181818181818192</v>
      </c>
      <c r="G27" s="129">
        <f t="shared" si="35"/>
        <v>0.75</v>
      </c>
      <c r="H27" s="302">
        <v>0.29570000000000002</v>
      </c>
      <c r="J27" s="150">
        <v>3.3000000000000002E-2</v>
      </c>
      <c r="K27" s="149">
        <f>(C27/B27)/((1-H28)*(1-J27))</f>
        <v>1.0024841191933931</v>
      </c>
      <c r="L27" s="149">
        <f t="shared" si="37"/>
        <v>0.98181818181818192</v>
      </c>
      <c r="M27" s="149">
        <f>(D27/B27)/((1-H28)*(1-I27)*(1-J27))</f>
        <v>0.9842571352080588</v>
      </c>
      <c r="N27" s="151">
        <f t="shared" si="39"/>
        <v>1.0008273550260127</v>
      </c>
      <c r="O27" s="149">
        <f t="shared" si="40"/>
        <v>0.99542322085318291</v>
      </c>
      <c r="P27" s="150">
        <f t="shared" si="41"/>
        <v>0.99773569601279566</v>
      </c>
      <c r="Q27" s="143">
        <v>2019</v>
      </c>
      <c r="R27" s="152">
        <f t="shared" si="42"/>
        <v>-2.4841191933930862E-3</v>
      </c>
      <c r="S27" s="153">
        <f t="shared" si="43"/>
        <v>1.8181818181818077E-2</v>
      </c>
      <c r="T27" s="154">
        <f t="shared" si="44"/>
        <v>1.5742864791941202E-2</v>
      </c>
      <c r="U27" s="152">
        <f t="shared" si="45"/>
        <v>-8.2735502601272159E-4</v>
      </c>
      <c r="V27" s="153">
        <f t="shared" si="46"/>
        <v>4.5767791468170893E-3</v>
      </c>
      <c r="W27" s="154">
        <f t="shared" si="47"/>
        <v>2.2643039872043413E-3</v>
      </c>
      <c r="X27" s="451">
        <f t="shared" si="48"/>
        <v>55</v>
      </c>
      <c r="Y27" s="451">
        <f t="shared" si="49"/>
        <v>72</v>
      </c>
      <c r="Z27" s="451">
        <f t="shared" si="84"/>
        <v>0.76388888888888884</v>
      </c>
      <c r="AA27" s="451">
        <f t="shared" si="85"/>
        <v>0.60539383171846817</v>
      </c>
      <c r="AB27" s="451">
        <f t="shared" si="86"/>
        <v>1.805060431497582</v>
      </c>
      <c r="AC27" s="445">
        <f t="shared" si="87"/>
        <v>0.64909996598707598</v>
      </c>
      <c r="AD27" s="445">
        <f t="shared" si="88"/>
        <v>0.85603393635459279</v>
      </c>
      <c r="AE27" s="451">
        <f t="shared" si="50"/>
        <v>54</v>
      </c>
      <c r="AF27" s="451">
        <f t="shared" si="51"/>
        <v>55</v>
      </c>
      <c r="AG27" s="451">
        <f t="shared" si="89"/>
        <v>0.98181818181818181</v>
      </c>
      <c r="AH27" s="451">
        <f t="shared" si="90"/>
        <v>0.34403766160167487</v>
      </c>
      <c r="AI27" s="451">
        <f t="shared" si="91"/>
        <v>39.488799993576514</v>
      </c>
      <c r="AJ27" s="445">
        <f t="shared" si="92"/>
        <v>0.90280898425074674</v>
      </c>
      <c r="AK27" s="445">
        <f t="shared" si="93"/>
        <v>0.99953978215120443</v>
      </c>
      <c r="AL27" s="451">
        <f t="shared" si="52"/>
        <v>54</v>
      </c>
      <c r="AM27" s="451">
        <f t="shared" si="53"/>
        <v>72</v>
      </c>
      <c r="AN27" s="451">
        <f t="shared" si="94"/>
        <v>0.75</v>
      </c>
      <c r="AO27" s="451">
        <f t="shared" si="95"/>
        <v>0.60941827641112967</v>
      </c>
      <c r="AP27" s="451">
        <f t="shared" si="96"/>
        <v>1.7788288919715933</v>
      </c>
      <c r="AQ27" s="445">
        <f t="shared" si="97"/>
        <v>0.6339719278620991</v>
      </c>
      <c r="AR27" s="445">
        <f t="shared" si="98"/>
        <v>0.84460734264562487</v>
      </c>
    </row>
    <row r="28" spans="1:44" ht="14.25" customHeight="1">
      <c r="A28" s="143">
        <v>2020</v>
      </c>
      <c r="B28" s="631">
        <v>538</v>
      </c>
      <c r="C28" s="631">
        <v>436</v>
      </c>
      <c r="D28" s="631">
        <v>416</v>
      </c>
      <c r="E28" s="129">
        <f t="shared" si="33"/>
        <v>0.81040892193308545</v>
      </c>
      <c r="F28" s="129">
        <f t="shared" si="34"/>
        <v>0.95412844036697264</v>
      </c>
      <c r="G28" s="129">
        <f t="shared" si="35"/>
        <v>0.77323420074349447</v>
      </c>
      <c r="H28" s="455">
        <v>0.21199999999999999</v>
      </c>
      <c r="J28" s="150">
        <v>3.3000000000000002E-2</v>
      </c>
      <c r="K28" s="149">
        <f>(C28/B28)/((1-H29)*(1-J28))</f>
        <v>1.0983814799701899</v>
      </c>
      <c r="L28" s="149">
        <f t="shared" si="37"/>
        <v>0.95412844036697275</v>
      </c>
      <c r="M28" s="149">
        <f>(D28/B28)/((1-H29)*(1-I28)*(1-J28))</f>
        <v>1.0479970084119246</v>
      </c>
      <c r="N28" s="151">
        <f t="shared" si="39"/>
        <v>1.0317735741961604</v>
      </c>
      <c r="O28" s="149">
        <f t="shared" si="40"/>
        <v>0.98832939033246803</v>
      </c>
      <c r="P28" s="150">
        <f t="shared" si="41"/>
        <v>1.0067197240425467</v>
      </c>
      <c r="Q28" s="143"/>
      <c r="R28" s="152">
        <f t="shared" si="42"/>
        <v>-9.8381479970189867E-2</v>
      </c>
      <c r="S28" s="153">
        <f t="shared" si="43"/>
        <v>4.5871559633027248E-2</v>
      </c>
      <c r="T28" s="154">
        <f t="shared" si="44"/>
        <v>-4.7997008411924558E-2</v>
      </c>
      <c r="U28" s="152">
        <f t="shared" si="45"/>
        <v>-3.1773574196160448E-2</v>
      </c>
      <c r="V28" s="153">
        <f t="shared" si="46"/>
        <v>1.1670609667531973E-2</v>
      </c>
      <c r="W28" s="154">
        <f t="shared" si="47"/>
        <v>-6.7197240425467264E-3</v>
      </c>
      <c r="X28" s="451">
        <f t="shared" si="48"/>
        <v>436</v>
      </c>
      <c r="Y28" s="451">
        <f t="shared" si="49"/>
        <v>538</v>
      </c>
      <c r="Z28" s="451">
        <f t="shared" ref="Z28:Z29" si="99">X28/Y28</f>
        <v>0.81040892193308545</v>
      </c>
      <c r="AA28" s="451">
        <f t="shared" ref="AA28:AA29" si="100">_xlfn.F.INV(0.05/2, 2*X28, 2*(Y28-X28+1))</f>
        <v>0.8122449608444573</v>
      </c>
      <c r="AB28" s="451">
        <f t="shared" ref="AB28:AB29" si="101">_xlfn.F.INV(1-0.05/2, 2*(X28+1), 2*(Y28-X28))</f>
        <v>1.2502473879268883</v>
      </c>
      <c r="AC28" s="445">
        <f t="shared" ref="AC28:AC29" si="102">IF(X28=0, 0, 1/(1 +(Y28-X28+1)/(X28*AA28)))</f>
        <v>0.77468550177705808</v>
      </c>
      <c r="AD28" s="445">
        <f t="shared" ref="AD28:AD29" si="103">IF(X28=Y28, 1, 1/(1 + (Y28-X28)/(AB28*(X28+1))))</f>
        <v>0.84267953364199133</v>
      </c>
      <c r="AE28" s="451">
        <f t="shared" si="50"/>
        <v>416</v>
      </c>
      <c r="AF28" s="451">
        <f t="shared" si="51"/>
        <v>436</v>
      </c>
      <c r="AG28" s="451">
        <f t="shared" ref="AG28:AG29" si="104">AE28/AF28</f>
        <v>0.95412844036697253</v>
      </c>
      <c r="AH28" s="451">
        <f t="shared" ref="AH28:AH29" si="105">_xlfn.F.INV(0.05/2, 2*AE28, 2*(AF28-AE28+1))</f>
        <v>0.67110589991736935</v>
      </c>
      <c r="AI28" s="451">
        <f t="shared" ref="AI28:AI29" si="106">_xlfn.F.INV(1-0.05/2, 2*(AE28+1), 2*(AF28-AE28))</f>
        <v>1.6503157462214417</v>
      </c>
      <c r="AJ28" s="445">
        <f t="shared" ref="AJ28:AJ29" si="107">IF(AE28=0, 0, 1/(1 +(AF28-AE28+1)/(AE28*AH28)))</f>
        <v>0.93004198748521261</v>
      </c>
      <c r="AK28" s="445">
        <f t="shared" ref="AK28:AK29" si="108">IF(AE28=AF28, 1, 1/(1 + (AF28-AE28)/(AI28*(AE28+1))))</f>
        <v>0.97175865889321622</v>
      </c>
      <c r="AL28" s="451">
        <f t="shared" si="52"/>
        <v>416</v>
      </c>
      <c r="AM28" s="451">
        <f t="shared" si="53"/>
        <v>538</v>
      </c>
      <c r="AN28" s="451">
        <f t="shared" ref="AN28:AN29" si="109">AL28/AM28</f>
        <v>0.77323420074349447</v>
      </c>
      <c r="AO28" s="451">
        <f t="shared" ref="AO28:AO29" si="110">_xlfn.F.INV(0.05/2, 2*AL28, 2*(AM28-AL28+1))</f>
        <v>0.82206267888609386</v>
      </c>
      <c r="AP28" s="451">
        <f t="shared" ref="AP28:AP29" si="111">_xlfn.F.INV(1-0.05/2, 2*(AL28+1), 2*(AM28-AL28))</f>
        <v>1.2309328113229749</v>
      </c>
      <c r="AQ28" s="445">
        <f t="shared" ref="AQ28:AQ29" si="112">IF(AL28=0, 0, 1/(1 +(AM28-AL28+1)/(AL28*AO28)))</f>
        <v>0.73547139797006134</v>
      </c>
      <c r="AR28" s="445">
        <f t="shared" ref="AR28:AR29" si="113">IF(AL28=AM28, 1, 1/(1 + (AM28-AL28)/(AP28*(AL28+1))))</f>
        <v>0.80796443344808333</v>
      </c>
    </row>
    <row r="29" spans="1:44" ht="14.25" customHeight="1">
      <c r="A29" s="143">
        <v>2021</v>
      </c>
      <c r="B29" s="631">
        <v>286</v>
      </c>
      <c r="C29" s="631">
        <v>240</v>
      </c>
      <c r="D29" s="631">
        <v>235</v>
      </c>
      <c r="E29" s="129">
        <f t="shared" si="33"/>
        <v>0.83916083916083917</v>
      </c>
      <c r="F29" s="129">
        <f t="shared" si="34"/>
        <v>0.97916666666666663</v>
      </c>
      <c r="G29" s="129">
        <f t="shared" si="35"/>
        <v>0.82167832167832167</v>
      </c>
      <c r="H29" s="455">
        <v>0.23699999999999999</v>
      </c>
      <c r="J29" s="150">
        <v>3.3000000000000002E-2</v>
      </c>
      <c r="K29" s="149">
        <f>(C29/B29)/((1-H30)*(1-J29))</f>
        <v>1.2009385262526353</v>
      </c>
      <c r="L29" s="149">
        <f t="shared" si="37"/>
        <v>0.97916666666666663</v>
      </c>
      <c r="M29" s="149">
        <f>(D29/B29)/((1-H30)*(1-I29)*(1-J29))</f>
        <v>1.1759189736223721</v>
      </c>
      <c r="N29" s="151">
        <f t="shared" si="39"/>
        <v>1.0629355339246234</v>
      </c>
      <c r="O29" s="149">
        <f t="shared" si="40"/>
        <v>0.99475047486953216</v>
      </c>
      <c r="P29" s="150">
        <f t="shared" si="41"/>
        <v>1.0234200333095216</v>
      </c>
      <c r="Q29" s="143"/>
      <c r="R29" s="152">
        <f t="shared" si="42"/>
        <v>-0.20093852625263531</v>
      </c>
      <c r="S29" s="153">
        <f t="shared" si="43"/>
        <v>2.083333333333337E-2</v>
      </c>
      <c r="T29" s="154">
        <f t="shared" si="44"/>
        <v>-0.17591897362237208</v>
      </c>
      <c r="U29" s="152">
        <f t="shared" si="45"/>
        <v>-6.2935533924623366E-2</v>
      </c>
      <c r="V29" s="153">
        <f t="shared" si="46"/>
        <v>5.2495251304678359E-3</v>
      </c>
      <c r="W29" s="154">
        <f t="shared" si="47"/>
        <v>-2.3420033309521582E-2</v>
      </c>
      <c r="X29" s="451">
        <f t="shared" si="48"/>
        <v>240</v>
      </c>
      <c r="Y29" s="451">
        <f t="shared" si="49"/>
        <v>286</v>
      </c>
      <c r="Z29" s="451">
        <f t="shared" si="99"/>
        <v>0.83916083916083917</v>
      </c>
      <c r="AA29" s="451">
        <f t="shared" si="100"/>
        <v>0.74275979669962189</v>
      </c>
      <c r="AB29" s="451">
        <f t="shared" si="101"/>
        <v>1.3967474571857252</v>
      </c>
      <c r="AC29" s="445">
        <f t="shared" si="102"/>
        <v>0.79135439300897359</v>
      </c>
      <c r="AD29" s="445">
        <f t="shared" si="103"/>
        <v>0.87977506558185781</v>
      </c>
      <c r="AE29" s="451">
        <f t="shared" si="50"/>
        <v>235</v>
      </c>
      <c r="AF29" s="451">
        <f t="shared" si="51"/>
        <v>240</v>
      </c>
      <c r="AG29" s="451">
        <f t="shared" si="104"/>
        <v>0.97916666666666663</v>
      </c>
      <c r="AH29" s="451">
        <f t="shared" si="105"/>
        <v>0.50698539781484997</v>
      </c>
      <c r="AI29" s="451">
        <f t="shared" si="106"/>
        <v>3.095240839532758</v>
      </c>
      <c r="AJ29" s="445">
        <f t="shared" si="107"/>
        <v>0.95205430080055486</v>
      </c>
      <c r="AK29" s="445">
        <f t="shared" si="108"/>
        <v>0.99320168937921327</v>
      </c>
      <c r="AL29" s="451">
        <f t="shared" si="52"/>
        <v>235</v>
      </c>
      <c r="AM29" s="451">
        <f t="shared" si="53"/>
        <v>286</v>
      </c>
      <c r="AN29" s="451">
        <f t="shared" si="109"/>
        <v>0.82167832167832167</v>
      </c>
      <c r="AO29" s="451">
        <f t="shared" si="110"/>
        <v>0.75050373733657061</v>
      </c>
      <c r="AP29" s="451">
        <f t="shared" si="111"/>
        <v>1.3758173395693096</v>
      </c>
      <c r="AQ29" s="445">
        <f t="shared" si="112"/>
        <v>0.77229772180810363</v>
      </c>
      <c r="AR29" s="445">
        <f t="shared" si="113"/>
        <v>0.86425082542892995</v>
      </c>
    </row>
    <row r="30" spans="1:44" ht="14.25" customHeight="1">
      <c r="A30" s="143">
        <v>2022</v>
      </c>
      <c r="B30" s="631">
        <v>443</v>
      </c>
      <c r="C30" s="631">
        <v>333</v>
      </c>
      <c r="D30" s="631">
        <v>322</v>
      </c>
      <c r="E30" s="129">
        <f t="shared" si="33"/>
        <v>0.75169300225733637</v>
      </c>
      <c r="F30" s="129">
        <f t="shared" si="34"/>
        <v>0.96696696696696682</v>
      </c>
      <c r="G30" s="129">
        <f t="shared" si="35"/>
        <v>0.72686230248306993</v>
      </c>
      <c r="H30" s="302">
        <v>0.27739999999999998</v>
      </c>
      <c r="J30" s="150">
        <v>3.3000000000000002E-2</v>
      </c>
      <c r="K30" s="149">
        <f>(C30/B30)/((1-H31)*(1-J30))</f>
        <v>1.0959331742181637</v>
      </c>
      <c r="L30" s="149">
        <f t="shared" si="37"/>
        <v>0.96696696696696682</v>
      </c>
      <c r="M30" s="149">
        <f>(D30/B30)/((1-H31)*(1-I30)*(1-J30))</f>
        <v>1.0597311774722182</v>
      </c>
      <c r="N30" s="151">
        <f t="shared" si="39"/>
        <v>1.0310063919221224</v>
      </c>
      <c r="O30" s="149">
        <f t="shared" si="40"/>
        <v>0.99163742637959318</v>
      </c>
      <c r="P30" s="150">
        <f t="shared" si="41"/>
        <v>1.0083223353719077</v>
      </c>
      <c r="Q30" s="143"/>
      <c r="R30" s="152">
        <f t="shared" si="42"/>
        <v>-9.5933174218163719E-2</v>
      </c>
      <c r="S30" s="153">
        <f t="shared" si="43"/>
        <v>3.3033033033033177E-2</v>
      </c>
      <c r="T30" s="154">
        <f t="shared" si="44"/>
        <v>-5.9731177472218233E-2</v>
      </c>
      <c r="U30" s="152">
        <f t="shared" si="45"/>
        <v>-3.10063919221224E-2</v>
      </c>
      <c r="V30" s="153">
        <f t="shared" si="46"/>
        <v>8.3625736204068213E-3</v>
      </c>
      <c r="W30" s="154">
        <f t="shared" si="47"/>
        <v>-8.3223353719077409E-3</v>
      </c>
      <c r="X30" s="451">
        <f t="shared" si="48"/>
        <v>333</v>
      </c>
      <c r="Y30" s="451">
        <f t="shared" si="49"/>
        <v>443</v>
      </c>
      <c r="Z30" s="451">
        <f t="shared" ref="Z30:Z31" si="114">X30/Y30</f>
        <v>0.75169300225733637</v>
      </c>
      <c r="AA30" s="451">
        <f t="shared" ref="AA30:AA31" si="115">_xlfn.F.INV(0.05/2, 2*X30, 2*(Y30-X30+1))</f>
        <v>0.8110859394944987</v>
      </c>
      <c r="AB30" s="451">
        <f t="shared" ref="AB30:AB31" si="116">_xlfn.F.INV(1-0.05/2, 2*(X30+1), 2*(Y30-X30))</f>
        <v>1.248390367154578</v>
      </c>
      <c r="AC30" s="445">
        <f t="shared" ref="AC30:AC31" si="117">IF(X30=0, 0, 1/(1 +(Y30-X30+1)/(X30*AA30)))</f>
        <v>0.70873145773779667</v>
      </c>
      <c r="AD30" s="445">
        <f t="shared" ref="AD30:AD31" si="118">IF(X30=Y30, 1, 1/(1 + (Y30-X30)/(AB30*(X30+1))))</f>
        <v>0.79125644709005249</v>
      </c>
      <c r="AE30" s="451">
        <f t="shared" si="50"/>
        <v>322</v>
      </c>
      <c r="AF30" s="451">
        <f t="shared" si="51"/>
        <v>333</v>
      </c>
      <c r="AG30" s="451">
        <f t="shared" ref="AG30:AG31" si="119">AE30/AF30</f>
        <v>0.96696696696696693</v>
      </c>
      <c r="AH30" s="451">
        <f t="shared" ref="AH30:AH31" si="120">_xlfn.F.INV(0.05/2, 2*AE30, 2*(AF30-AE30+1))</f>
        <v>0.60157345620425429</v>
      </c>
      <c r="AI30" s="451">
        <f t="shared" ref="AI30:AI31" si="121">_xlfn.F.INV(1-0.05/2, 2*(AE30+1), 2*(AF30-AE30))</f>
        <v>2.0171110162984345</v>
      </c>
      <c r="AJ30" s="445">
        <f t="shared" ref="AJ30:AJ31" si="122">IF(AE30=0, 0, 1/(1 +(AF30-AE30+1)/(AE30*AH30)))</f>
        <v>0.94166450218815412</v>
      </c>
      <c r="AK30" s="445">
        <f t="shared" ref="AK30:AK31" si="123">IF(AE30=AF30, 1, 1/(1 + (AF30-AE30)/(AI30*(AE30+1))))</f>
        <v>0.98339689951767939</v>
      </c>
      <c r="AL30" s="451">
        <f t="shared" si="52"/>
        <v>322</v>
      </c>
      <c r="AM30" s="451">
        <f t="shared" si="53"/>
        <v>443</v>
      </c>
      <c r="AN30" s="451">
        <f t="shared" ref="AN30:AN31" si="124">AL30/AM30</f>
        <v>0.72686230248306993</v>
      </c>
      <c r="AO30" s="451">
        <f t="shared" ref="AO30:AO31" si="125">_xlfn.F.INV(0.05/2, 2*AL30, 2*(AM30-AL30+1))</f>
        <v>0.81563891168723757</v>
      </c>
      <c r="AP30" s="451">
        <f t="shared" ref="AP30:AP31" si="126">_xlfn.F.INV(1-0.05/2, 2*(AL30+1), 2*(AM30-AL30))</f>
        <v>1.2390422912309536</v>
      </c>
      <c r="AQ30" s="445">
        <f t="shared" ref="AQ30:AQ31" si="127">IF(AL30=0, 0, 1/(1 +(AM30-AL30+1)/(AL30*AO30)))</f>
        <v>0.68281677799793339</v>
      </c>
      <c r="AR30" s="445">
        <f t="shared" ref="AR30:AR31" si="128">IF(AL30=AM30, 1, 1/(1 + (AM30-AL30)/(AP30*(AL30+1))))</f>
        <v>0.76784818640450092</v>
      </c>
    </row>
    <row r="31" spans="1:44" ht="14.25" customHeight="1">
      <c r="A31" s="143">
        <v>2023</v>
      </c>
      <c r="B31" s="647">
        <v>441</v>
      </c>
      <c r="C31" s="647">
        <v>328</v>
      </c>
      <c r="D31" s="647">
        <v>320</v>
      </c>
      <c r="E31" s="129">
        <f t="shared" si="33"/>
        <v>0.74376417233560088</v>
      </c>
      <c r="F31" s="129">
        <f t="shared" si="34"/>
        <v>0.97560975609756095</v>
      </c>
      <c r="G31" s="129">
        <f t="shared" si="35"/>
        <v>0.7256235827664399</v>
      </c>
      <c r="H31" s="302">
        <v>0.29070000000000001</v>
      </c>
      <c r="J31" s="150">
        <v>3.3000000000000002E-2</v>
      </c>
      <c r="K31" s="149">
        <f>(C31/B31)/((1-H32)*(1-J31))</f>
        <v>0.76914599000579209</v>
      </c>
      <c r="L31" s="149">
        <f t="shared" si="37"/>
        <v>0.97560975609756095</v>
      </c>
      <c r="M31" s="149">
        <f>(D31/B31)/((1-H32)*(1-I31)*(1-J31))</f>
        <v>0.75038633171296787</v>
      </c>
      <c r="N31" s="151">
        <f t="shared" si="39"/>
        <v>0.91622666457329083</v>
      </c>
      <c r="O31" s="149">
        <f t="shared" si="40"/>
        <v>0.99384586161516497</v>
      </c>
      <c r="P31" s="150">
        <f t="shared" si="41"/>
        <v>0.95980621826018409</v>
      </c>
      <c r="Q31" s="143"/>
      <c r="R31" s="152">
        <f t="shared" si="42"/>
        <v>0.23085400999420791</v>
      </c>
      <c r="S31" s="153">
        <f t="shared" si="43"/>
        <v>2.4390243902439046E-2</v>
      </c>
      <c r="T31" s="154">
        <f t="shared" si="44"/>
        <v>0.24961366828703213</v>
      </c>
      <c r="U31" s="152">
        <f t="shared" si="45"/>
        <v>8.3773335426709172E-2</v>
      </c>
      <c r="V31" s="153">
        <f t="shared" si="46"/>
        <v>6.1541383848350284E-3</v>
      </c>
      <c r="W31" s="154">
        <f t="shared" si="47"/>
        <v>4.0193781739815915E-2</v>
      </c>
      <c r="X31" s="451">
        <f t="shared" si="48"/>
        <v>328</v>
      </c>
      <c r="Y31" s="451">
        <f t="shared" si="49"/>
        <v>441</v>
      </c>
      <c r="Z31" s="451">
        <f t="shared" si="114"/>
        <v>0.74376417233560088</v>
      </c>
      <c r="AA31" s="451">
        <f t="shared" si="115"/>
        <v>0.81226722906507121</v>
      </c>
      <c r="AB31" s="451">
        <f t="shared" si="116"/>
        <v>1.2458360550805563</v>
      </c>
      <c r="AC31" s="445">
        <f t="shared" si="117"/>
        <v>0.70033408895483862</v>
      </c>
      <c r="AD31" s="445">
        <f t="shared" si="118"/>
        <v>0.78388925456151382</v>
      </c>
      <c r="AE31" s="451">
        <f t="shared" si="50"/>
        <v>320</v>
      </c>
      <c r="AF31" s="451">
        <f t="shared" si="51"/>
        <v>328</v>
      </c>
      <c r="AG31" s="451">
        <f t="shared" si="119"/>
        <v>0.97560975609756095</v>
      </c>
      <c r="AH31" s="451">
        <f t="shared" si="120"/>
        <v>0.56409157081279637</v>
      </c>
      <c r="AI31" s="451">
        <f t="shared" si="121"/>
        <v>2.3290032532102827</v>
      </c>
      <c r="AJ31" s="445">
        <f t="shared" si="122"/>
        <v>0.95250892766914741</v>
      </c>
      <c r="AK31" s="445">
        <f t="shared" si="123"/>
        <v>0.9894125282471361</v>
      </c>
      <c r="AL31" s="451">
        <f t="shared" si="52"/>
        <v>320</v>
      </c>
      <c r="AM31" s="451">
        <f t="shared" si="53"/>
        <v>441</v>
      </c>
      <c r="AN31" s="451">
        <f t="shared" si="124"/>
        <v>0.7256235827664399</v>
      </c>
      <c r="AO31" s="451">
        <f t="shared" si="125"/>
        <v>0.81547725453941311</v>
      </c>
      <c r="AP31" s="451">
        <f t="shared" si="126"/>
        <v>1.2392392093114317</v>
      </c>
      <c r="AQ31" s="445">
        <f t="shared" si="127"/>
        <v>0.68142281496987178</v>
      </c>
      <c r="AR31" s="445">
        <f t="shared" si="128"/>
        <v>0.76676757363652492</v>
      </c>
    </row>
    <row r="32" spans="1:44">
      <c r="A32" s="143"/>
      <c r="E32" s="129"/>
      <c r="F32" s="129"/>
      <c r="G32" s="129"/>
      <c r="H32" s="302"/>
      <c r="J32" s="150">
        <v>3.3000000000000002E-2</v>
      </c>
      <c r="K32" s="149" t="e">
        <f>(C32/B32)/((1-H32)*(1-J32))</f>
        <v>#DIV/0!</v>
      </c>
      <c r="L32" s="149" t="e">
        <f t="shared" si="37"/>
        <v>#DIV/0!</v>
      </c>
      <c r="M32" s="149">
        <f>AVERAGE(M22:M26)</f>
        <v>0.91198127968715181</v>
      </c>
      <c r="N32" s="151" t="e">
        <f t="shared" si="39"/>
        <v>#DIV/0!</v>
      </c>
      <c r="O32" s="149" t="e">
        <f t="shared" si="40"/>
        <v>#DIV/0!</v>
      </c>
      <c r="P32" s="150">
        <f t="shared" si="41"/>
        <v>0.98692398433731787</v>
      </c>
      <c r="Q32" s="143">
        <v>2020</v>
      </c>
      <c r="R32" s="152" t="e">
        <f t="shared" si="42"/>
        <v>#DIV/0!</v>
      </c>
      <c r="S32" s="153" t="e">
        <f t="shared" si="43"/>
        <v>#DIV/0!</v>
      </c>
      <c r="T32" s="154">
        <f t="shared" si="44"/>
        <v>8.8018720312848187E-2</v>
      </c>
      <c r="U32" s="152" t="e">
        <f t="shared" si="45"/>
        <v>#DIV/0!</v>
      </c>
      <c r="V32" s="153" t="e">
        <f t="shared" si="46"/>
        <v>#DIV/0!</v>
      </c>
      <c r="W32" s="154">
        <f t="shared" si="47"/>
        <v>1.3076015662682128E-2</v>
      </c>
      <c r="X32" s="451">
        <f t="shared" si="48"/>
        <v>0</v>
      </c>
      <c r="Y32" s="451">
        <f t="shared" si="49"/>
        <v>0</v>
      </c>
      <c r="Z32" s="451" t="e">
        <f t="shared" si="84"/>
        <v>#DIV/0!</v>
      </c>
      <c r="AA32" s="451" t="e">
        <f t="shared" si="85"/>
        <v>#NUM!</v>
      </c>
      <c r="AB32" s="451" t="e">
        <f t="shared" si="86"/>
        <v>#NUM!</v>
      </c>
      <c r="AC32" s="445">
        <f t="shared" si="87"/>
        <v>0</v>
      </c>
      <c r="AD32" s="445">
        <f t="shared" si="88"/>
        <v>1</v>
      </c>
      <c r="AE32" s="451">
        <f t="shared" si="50"/>
        <v>0</v>
      </c>
      <c r="AF32" s="451">
        <f t="shared" si="51"/>
        <v>0</v>
      </c>
      <c r="AG32" s="451" t="e">
        <f t="shared" si="89"/>
        <v>#DIV/0!</v>
      </c>
      <c r="AH32" s="451" t="e">
        <f t="shared" si="90"/>
        <v>#NUM!</v>
      </c>
      <c r="AI32" s="451" t="e">
        <f t="shared" si="91"/>
        <v>#NUM!</v>
      </c>
      <c r="AJ32" s="445">
        <f t="shared" si="92"/>
        <v>0</v>
      </c>
      <c r="AK32" s="445">
        <f t="shared" si="93"/>
        <v>1</v>
      </c>
      <c r="AL32" s="451">
        <f t="shared" si="52"/>
        <v>0</v>
      </c>
      <c r="AM32" s="451">
        <f t="shared" si="53"/>
        <v>0</v>
      </c>
      <c r="AN32" s="451" t="e">
        <f t="shared" si="94"/>
        <v>#DIV/0!</v>
      </c>
      <c r="AO32" s="451" t="e">
        <f t="shared" si="95"/>
        <v>#NUM!</v>
      </c>
      <c r="AP32" s="451" t="e">
        <f t="shared" si="96"/>
        <v>#NUM!</v>
      </c>
      <c r="AQ32" s="445">
        <f t="shared" si="97"/>
        <v>0</v>
      </c>
      <c r="AR32" s="445">
        <f t="shared" si="98"/>
        <v>1</v>
      </c>
    </row>
    <row r="33" spans="1:44" ht="26.4" customHeight="1">
      <c r="A33" s="264" t="s">
        <v>112</v>
      </c>
      <c r="B33" s="526">
        <f t="shared" ref="B33:G33" si="129">AVERAGE(B23:B27)</f>
        <v>386.6</v>
      </c>
      <c r="C33" s="526">
        <f t="shared" si="129"/>
        <v>262.60000000000002</v>
      </c>
      <c r="D33" s="526">
        <f t="shared" si="129"/>
        <v>251.6</v>
      </c>
      <c r="E33" s="141">
        <f t="shared" si="129"/>
        <v>0.68430106436041149</v>
      </c>
      <c r="F33" s="141">
        <f t="shared" si="129"/>
        <v>0.96116339639841608</v>
      </c>
      <c r="G33" s="141">
        <f t="shared" si="129"/>
        <v>0.6581889266904104</v>
      </c>
      <c r="H33" s="141">
        <f>AVERAGE(H23:H28)</f>
        <v>0.26890000000000003</v>
      </c>
      <c r="I33" s="141" t="e">
        <f>AVERAGE(I23:I27)</f>
        <v>#DIV/0!</v>
      </c>
      <c r="J33" s="141">
        <f>AVERAGE(J23:J27)</f>
        <v>3.3000000000000002E-2</v>
      </c>
      <c r="K33" s="141">
        <f>AVERAGE(K23:K27)</f>
        <v>0.96257509540353614</v>
      </c>
      <c r="L33" s="141">
        <f>AVERAGE(L23:L27)</f>
        <v>0.9611633963984163</v>
      </c>
      <c r="M33" s="141">
        <f>AVERAGE(M23:M27)</f>
        <v>0.92563217452771696</v>
      </c>
      <c r="N33" s="141">
        <f>AVERAGE(N23:N27)</f>
        <v>0.98682192994849838</v>
      </c>
      <c r="O33" s="141">
        <f>AVERAGE(O23:O27)</f>
        <v>0.99013263627690018</v>
      </c>
      <c r="P33" s="141">
        <f>AVERAGE(P17:P26)</f>
        <v>0.98459625930832728</v>
      </c>
      <c r="Q33" s="264" t="s">
        <v>112</v>
      </c>
      <c r="R33" s="460">
        <f t="shared" ref="R33:W33" si="130">AVERAGE(R20:R24)</f>
        <v>4.15051481722329E-2</v>
      </c>
      <c r="S33" s="460">
        <f t="shared" si="130"/>
        <v>5.1495076812809362E-2</v>
      </c>
      <c r="T33" s="460">
        <f t="shared" si="130"/>
        <v>9.0095315390879255E-2</v>
      </c>
      <c r="U33" s="527">
        <f>1-N33</f>
        <v>1.3178070051501622E-2</v>
      </c>
      <c r="V33" s="460">
        <f t="shared" si="130"/>
        <v>1.3167511000363752E-2</v>
      </c>
      <c r="W33" s="460">
        <f t="shared" si="130"/>
        <v>1.3933916575530869E-2</v>
      </c>
      <c r="X33" s="451">
        <f t="shared" si="48"/>
        <v>262.60000000000002</v>
      </c>
      <c r="Y33" s="451">
        <f t="shared" si="49"/>
        <v>386.6</v>
      </c>
      <c r="Z33" s="451">
        <f t="shared" ref="Z33" si="131">X33/Y33</f>
        <v>0.67925504397309888</v>
      </c>
      <c r="AA33" s="451">
        <f t="shared" ref="AA33" si="132">_xlfn.F.INV(0.05/2, 2*X33, 2*(Y33-X33+1))</f>
        <v>0.81115781734986414</v>
      </c>
      <c r="AB33" s="451">
        <f t="shared" ref="AB33" si="133">_xlfn.F.INV(1-0.05/2, 2*(X33+1), 2*(Y33-X33))</f>
        <v>1.2435960879718524</v>
      </c>
      <c r="AC33" s="445">
        <f t="shared" ref="AC33" si="134">IF(X33=0, 0, 1/(1 +(Y33-X33+1)/(X33*AA33)))</f>
        <v>0.63018850282912564</v>
      </c>
      <c r="AD33" s="445">
        <f t="shared" ref="AD33" si="135">IF(X33=Y33, 1, 1/(1 + (Y33-X33)/(AB33*(X33+1))))</f>
        <v>0.72554952160679964</v>
      </c>
      <c r="AE33" s="451">
        <f t="shared" si="50"/>
        <v>251.6</v>
      </c>
      <c r="AF33" s="451">
        <f t="shared" si="51"/>
        <v>262.60000000000002</v>
      </c>
      <c r="AG33" s="451">
        <f t="shared" ref="AG33" si="136">AE33/AF33</f>
        <v>0.95811119573495795</v>
      </c>
      <c r="AH33" s="451">
        <f t="shared" ref="AH33" si="137">_xlfn.F.INV(0.05/2, 2*AE33, 2*(AF33-AE33+1))</f>
        <v>0.59933256076269559</v>
      </c>
      <c r="AI33" s="451">
        <f t="shared" ref="AI33" si="138">_xlfn.F.INV(1-0.05/2, 2*(AE33+1), 2*(AF33-AE33))</f>
        <v>2.0209579828257667</v>
      </c>
      <c r="AJ33" s="445">
        <f t="shared" ref="AJ33" si="139">IF(AE33=0, 0, 1/(1 +(AF33-AE33+1)/(AE33*AH33)))</f>
        <v>0.92628633672788252</v>
      </c>
      <c r="AK33" s="445">
        <f t="shared" ref="AK33" si="140">IF(AE33=AF33, 1, 1/(1 + (AF33-AE33)/(AI33*(AE33+1))))</f>
        <v>0.97890675581010556</v>
      </c>
      <c r="AL33" s="451">
        <f t="shared" si="52"/>
        <v>251.6</v>
      </c>
      <c r="AM33" s="451">
        <f t="shared" si="53"/>
        <v>386.6</v>
      </c>
      <c r="AN33" s="451">
        <f t="shared" ref="AN33" si="141">AL33/AM33</f>
        <v>0.65080186239006721</v>
      </c>
      <c r="AO33" s="451">
        <f t="shared" ref="AO33" si="142">_xlfn.F.INV(0.05/2, 2*AL33, 2*(AM33-AL33+1))</f>
        <v>0.81409578819617034</v>
      </c>
      <c r="AP33" s="451">
        <f t="shared" ref="AP33" si="143">_xlfn.F.INV(1-0.05/2, 2*(AL33+1), 2*(AM33-AL33))</f>
        <v>1.2370109932906699</v>
      </c>
      <c r="AQ33" s="445">
        <f t="shared" ref="AQ33" si="144">IF(AL33=0, 0, 1/(1 +(AM33-AL33+1)/(AL33*AO33)))</f>
        <v>0.60096999536057705</v>
      </c>
      <c r="AR33" s="445">
        <f t="shared" ref="AR33" si="145">IF(AL33=AM33, 1, 1/(1 + (AM33-AL33)/(AP33*(AL33+1))))</f>
        <v>0.69830310710323518</v>
      </c>
    </row>
    <row r="34" spans="1:44" ht="26.4" customHeight="1">
      <c r="A34" s="264"/>
      <c r="B34" s="502"/>
      <c r="C34" s="502"/>
      <c r="D34" s="502"/>
      <c r="E34" s="502"/>
      <c r="F34" s="502"/>
      <c r="G34" s="502"/>
      <c r="H34" s="129"/>
      <c r="I34" s="502"/>
      <c r="J34" s="502"/>
      <c r="K34" s="129"/>
      <c r="L34" s="129">
        <f>AVERAGE(M17:M26)</f>
        <v>0.89931842883192792</v>
      </c>
      <c r="M34" s="129">
        <f>MAX(M17:M26)</f>
        <v>1.0087697275209666</v>
      </c>
      <c r="N34" s="129">
        <f>MAX(N23:N27)</f>
        <v>1.0132958377686649</v>
      </c>
      <c r="O34" s="129"/>
      <c r="P34" s="129">
        <f>MAX(P17:P26)</f>
        <v>1.0012481349605202</v>
      </c>
      <c r="Q34" s="264"/>
      <c r="R34" s="502"/>
      <c r="S34" s="502"/>
      <c r="T34" s="502"/>
      <c r="U34" s="527">
        <f>1-N34</f>
        <v>-1.3295837768664942E-2</v>
      </c>
      <c r="V34" s="502"/>
      <c r="W34" s="502"/>
      <c r="X34" s="20"/>
      <c r="Y34" s="20"/>
      <c r="Z34" s="20"/>
      <c r="AA34" s="20"/>
      <c r="AB34" s="20"/>
      <c r="AC34" s="445"/>
      <c r="AD34" s="445"/>
      <c r="AE34" s="20"/>
      <c r="AF34" s="20"/>
      <c r="AG34" s="20"/>
      <c r="AH34" s="20"/>
      <c r="AI34" s="20"/>
      <c r="AJ34" s="445"/>
      <c r="AK34" s="445"/>
      <c r="AL34" s="20"/>
      <c r="AM34" s="20"/>
      <c r="AN34" s="20"/>
      <c r="AO34" s="20"/>
      <c r="AP34" s="20"/>
      <c r="AQ34" s="445"/>
      <c r="AR34" s="445"/>
    </row>
    <row r="35" spans="1:44" ht="26.4" customHeight="1">
      <c r="A35" s="264"/>
      <c r="B35" s="502"/>
      <c r="C35" s="502"/>
      <c r="D35" s="502"/>
      <c r="E35" s="502"/>
      <c r="F35" s="502"/>
      <c r="G35" s="502"/>
      <c r="H35" s="129"/>
      <c r="I35" s="502"/>
      <c r="J35" s="502"/>
      <c r="K35" s="129"/>
      <c r="L35" s="129"/>
      <c r="M35" s="129">
        <f>MIN(M17:M26)</f>
        <v>0.80177308934634006</v>
      </c>
      <c r="N35" s="129">
        <f>MIN(N23:N27)</f>
        <v>0.94502353290823049</v>
      </c>
      <c r="O35" s="129"/>
      <c r="P35" s="129">
        <f>MIN(P17:P26)</f>
        <v>0.96893148408660534</v>
      </c>
      <c r="Q35" s="264"/>
      <c r="R35" s="502"/>
      <c r="S35" s="502"/>
      <c r="T35" s="502"/>
      <c r="U35" s="527">
        <f>1-N35</f>
        <v>5.497646709176951E-2</v>
      </c>
      <c r="V35" s="502"/>
      <c r="W35" s="502"/>
      <c r="X35" s="20"/>
      <c r="Y35" s="20"/>
      <c r="Z35" s="20"/>
      <c r="AA35" s="20"/>
      <c r="AB35" s="20"/>
      <c r="AC35" s="445"/>
      <c r="AD35" s="445"/>
      <c r="AE35" s="20"/>
      <c r="AF35" s="20"/>
      <c r="AG35" s="20"/>
      <c r="AH35" s="20"/>
      <c r="AI35" s="20"/>
      <c r="AJ35" s="445"/>
      <c r="AK35" s="445"/>
      <c r="AL35" s="20"/>
      <c r="AM35" s="20"/>
      <c r="AN35" s="20"/>
      <c r="AO35" s="20"/>
      <c r="AP35" s="20"/>
      <c r="AQ35" s="445"/>
      <c r="AR35" s="445"/>
    </row>
    <row r="36" spans="1:44" ht="26.4" customHeight="1" thickBot="1">
      <c r="A36" s="264"/>
      <c r="B36" s="502"/>
      <c r="C36" s="502"/>
      <c r="D36" s="502"/>
      <c r="E36" s="502"/>
      <c r="F36" s="502"/>
      <c r="G36" s="502"/>
      <c r="H36" s="129"/>
      <c r="I36" s="502"/>
      <c r="J36" s="502"/>
      <c r="K36" s="129"/>
      <c r="L36" s="129"/>
      <c r="M36" s="129"/>
      <c r="N36" s="129"/>
      <c r="O36" s="129"/>
      <c r="P36" s="129"/>
      <c r="Q36" s="264"/>
      <c r="R36" s="502"/>
      <c r="S36" s="502"/>
      <c r="T36" s="502"/>
      <c r="U36" s="502"/>
      <c r="V36" s="502"/>
      <c r="W36" s="502"/>
      <c r="X36" s="20"/>
      <c r="Y36" s="20"/>
      <c r="Z36" s="20"/>
      <c r="AA36" s="20"/>
      <c r="AB36" s="20"/>
      <c r="AC36" s="445"/>
      <c r="AD36" s="445"/>
      <c r="AE36" s="20"/>
      <c r="AF36" s="20"/>
      <c r="AG36" s="20"/>
      <c r="AH36" s="20"/>
      <c r="AI36" s="20"/>
      <c r="AJ36" s="445"/>
      <c r="AK36" s="445"/>
      <c r="AL36" s="20"/>
      <c r="AM36" s="20"/>
      <c r="AN36" s="20"/>
      <c r="AO36" s="20"/>
      <c r="AP36" s="20"/>
      <c r="AQ36" s="445"/>
      <c r="AR36" s="445"/>
    </row>
    <row r="37" spans="1:44" ht="15" customHeight="1">
      <c r="A37" s="31"/>
      <c r="B37" s="9"/>
      <c r="C37" s="9"/>
      <c r="D37" s="9"/>
      <c r="E37" s="15"/>
      <c r="F37" s="15"/>
      <c r="G37" s="15"/>
      <c r="H37" s="471" t="s">
        <v>218</v>
      </c>
      <c r="I37" s="9"/>
      <c r="J37" s="9"/>
      <c r="K37" s="15"/>
      <c r="L37" s="15"/>
      <c r="M37" s="470"/>
      <c r="N37" s="9"/>
      <c r="O37" s="9"/>
      <c r="P37" s="68"/>
      <c r="Q37" s="38"/>
      <c r="R37" s="11"/>
      <c r="S37" s="11"/>
      <c r="T37" s="11"/>
      <c r="U37" s="11"/>
      <c r="V37" s="11"/>
      <c r="W37" s="73"/>
    </row>
    <row r="38" spans="1:44" ht="15" customHeight="1">
      <c r="A38" s="92"/>
      <c r="B38" s="682" t="s">
        <v>3</v>
      </c>
      <c r="C38" s="683"/>
      <c r="D38" s="683"/>
      <c r="E38" s="683"/>
      <c r="F38" s="683"/>
      <c r="G38" s="683"/>
      <c r="H38" s="683"/>
      <c r="I38" s="683"/>
      <c r="J38" s="683"/>
      <c r="K38" s="683"/>
      <c r="L38" s="683"/>
      <c r="M38" s="683"/>
      <c r="N38" s="683"/>
      <c r="O38" s="683"/>
      <c r="P38" s="684"/>
      <c r="Q38" s="685" t="s">
        <v>40</v>
      </c>
      <c r="R38" s="686"/>
      <c r="S38" s="686"/>
      <c r="T38" s="686"/>
      <c r="U38" s="686"/>
      <c r="V38" s="686"/>
      <c r="W38" s="686"/>
    </row>
    <row r="39" spans="1:44" ht="30" customHeight="1">
      <c r="A39" s="93"/>
      <c r="B39" s="667" t="s">
        <v>15</v>
      </c>
      <c r="C39" s="668"/>
      <c r="D39" s="668"/>
      <c r="E39" s="667" t="s">
        <v>11</v>
      </c>
      <c r="F39" s="669"/>
      <c r="G39" s="670"/>
      <c r="H39" s="671" t="s">
        <v>23</v>
      </c>
      <c r="I39" s="681"/>
      <c r="J39" s="672"/>
      <c r="K39" s="673" t="s">
        <v>12</v>
      </c>
      <c r="L39" s="660"/>
      <c r="M39" s="674"/>
      <c r="N39" s="667" t="s">
        <v>16</v>
      </c>
      <c r="O39" s="669"/>
      <c r="P39" s="675"/>
      <c r="Q39" s="98"/>
      <c r="R39" s="676" t="s">
        <v>30</v>
      </c>
      <c r="S39" s="656"/>
      <c r="T39" s="657"/>
      <c r="U39" s="676" t="s">
        <v>46</v>
      </c>
      <c r="V39" s="656"/>
      <c r="W39" s="677"/>
    </row>
    <row r="40" spans="1:44" ht="57" customHeight="1">
      <c r="A40" s="162" t="s">
        <v>0</v>
      </c>
      <c r="B40" s="163" t="s">
        <v>1</v>
      </c>
      <c r="C40" s="164" t="s">
        <v>27</v>
      </c>
      <c r="D40" s="165" t="s">
        <v>24</v>
      </c>
      <c r="E40" s="163" t="s">
        <v>13</v>
      </c>
      <c r="F40" s="164" t="s">
        <v>29</v>
      </c>
      <c r="G40" s="165" t="s">
        <v>14</v>
      </c>
      <c r="H40" s="163" t="s">
        <v>32</v>
      </c>
      <c r="I40" s="166" t="s">
        <v>62</v>
      </c>
      <c r="J40" s="165" t="s">
        <v>17</v>
      </c>
      <c r="K40" s="163" t="s">
        <v>13</v>
      </c>
      <c r="L40" s="164" t="s">
        <v>29</v>
      </c>
      <c r="M40" s="164" t="s">
        <v>14</v>
      </c>
      <c r="N40" s="163" t="s">
        <v>25</v>
      </c>
      <c r="O40" s="164" t="s">
        <v>59</v>
      </c>
      <c r="P40" s="167" t="s">
        <v>26</v>
      </c>
      <c r="Q40" s="162" t="s">
        <v>0</v>
      </c>
      <c r="R40" s="163" t="s">
        <v>13</v>
      </c>
      <c r="S40" s="164" t="s">
        <v>29</v>
      </c>
      <c r="T40" s="164" t="s">
        <v>14</v>
      </c>
      <c r="U40" s="163" t="s">
        <v>21</v>
      </c>
      <c r="V40" s="164" t="s">
        <v>31</v>
      </c>
      <c r="W40" s="167" t="s">
        <v>22</v>
      </c>
      <c r="X40" s="433" t="s">
        <v>172</v>
      </c>
      <c r="Y40" s="433" t="s">
        <v>173</v>
      </c>
      <c r="Z40" s="283" t="s">
        <v>174</v>
      </c>
      <c r="AA40" s="283" t="s">
        <v>175</v>
      </c>
      <c r="AB40" s="283" t="s">
        <v>176</v>
      </c>
      <c r="AC40" s="437" t="s">
        <v>179</v>
      </c>
      <c r="AD40" s="437" t="s">
        <v>180</v>
      </c>
      <c r="AE40" s="283" t="s">
        <v>170</v>
      </c>
      <c r="AF40" s="283" t="s">
        <v>172</v>
      </c>
      <c r="AG40" s="283" t="s">
        <v>174</v>
      </c>
      <c r="AH40" s="283" t="s">
        <v>175</v>
      </c>
      <c r="AI40" s="283" t="s">
        <v>176</v>
      </c>
      <c r="AJ40" s="437" t="s">
        <v>181</v>
      </c>
      <c r="AK40" s="437" t="s">
        <v>182</v>
      </c>
      <c r="AL40" s="283" t="s">
        <v>170</v>
      </c>
      <c r="AM40" s="283" t="s">
        <v>171</v>
      </c>
      <c r="AN40" s="283" t="s">
        <v>174</v>
      </c>
      <c r="AO40" s="283" t="s">
        <v>175</v>
      </c>
      <c r="AP40" s="283" t="s">
        <v>176</v>
      </c>
      <c r="AQ40" s="437" t="s">
        <v>183</v>
      </c>
      <c r="AR40" s="437" t="s">
        <v>184</v>
      </c>
    </row>
    <row r="41" spans="1:44" ht="15" customHeight="1">
      <c r="A41" s="168" t="s">
        <v>60</v>
      </c>
      <c r="B41" s="169"/>
      <c r="C41" s="170"/>
      <c r="D41" s="171"/>
      <c r="E41" s="172"/>
      <c r="F41" s="173"/>
      <c r="G41" s="174"/>
      <c r="H41" s="175">
        <v>0.2239108548110636</v>
      </c>
      <c r="I41" s="176">
        <v>2.2021145946556375E-3</v>
      </c>
      <c r="J41" s="174"/>
      <c r="K41" s="173"/>
      <c r="L41" s="173"/>
      <c r="M41" s="173"/>
      <c r="N41" s="172"/>
      <c r="O41" s="173"/>
      <c r="P41" s="177"/>
      <c r="Q41" s="168" t="s">
        <v>60</v>
      </c>
      <c r="R41" s="178"/>
      <c r="S41" s="179"/>
      <c r="T41" s="179"/>
      <c r="U41" s="178"/>
      <c r="V41" s="179"/>
      <c r="W41" s="180"/>
      <c r="X41" s="283">
        <f t="shared" ref="X41:X46" si="146">C41</f>
        <v>0</v>
      </c>
      <c r="Y41" s="283">
        <f t="shared" ref="Y41:Y46" si="147">B41</f>
        <v>0</v>
      </c>
      <c r="Z41" s="283" t="e">
        <f>X41/Y41</f>
        <v>#DIV/0!</v>
      </c>
      <c r="AA41" s="283" t="e">
        <f t="shared" ref="AA41:AA53" si="148">_xlfn.F.INV(0.05/2, 2*X41, 2*(Y41-X41+1))</f>
        <v>#NUM!</v>
      </c>
      <c r="AB41" s="283" t="e">
        <f>_xlfn.F.INV(1-0.05/2, 2*(X41+1), 2*(Y41-X41))</f>
        <v>#NUM!</v>
      </c>
      <c r="AC41" s="436">
        <f>IF(X41=0, 0, 1/(1 +(Y41-X41+1)/(X41*AA41)))</f>
        <v>0</v>
      </c>
      <c r="AD41" s="436">
        <f>IF(X41=Y41, 1, 1/(1 + (Y41-X41)/(AB41*(X41+1))))</f>
        <v>1</v>
      </c>
      <c r="AE41" s="283">
        <f t="shared" ref="AE41:AE46" si="149">D41</f>
        <v>0</v>
      </c>
      <c r="AF41" s="283">
        <f t="shared" ref="AF41:AF46" si="150">C41</f>
        <v>0</v>
      </c>
      <c r="AG41" s="283" t="e">
        <f>AE41/AF41</f>
        <v>#DIV/0!</v>
      </c>
      <c r="AH41" s="283" t="e">
        <f t="shared" ref="AH41:AH53" si="151">_xlfn.F.INV(0.05/2, 2*AE41, 2*(AF41-AE41+1))</f>
        <v>#NUM!</v>
      </c>
      <c r="AI41" s="283" t="e">
        <f>_xlfn.F.INV(1-0.05/2, 2*(AE41+1), 2*(AF41-AE41))</f>
        <v>#NUM!</v>
      </c>
      <c r="AJ41" s="436">
        <f>IF(AE41=0, 0, 1/(1 +(AF41-AE41+1)/(AE41*AH41)))</f>
        <v>0</v>
      </c>
      <c r="AK41" s="436">
        <f>IF(AE41=AF41, 1, 1/(1 + (AF41-AE41)/(AI41*(AE41+1))))</f>
        <v>1</v>
      </c>
      <c r="AL41" s="283">
        <f t="shared" ref="AL41:AL46" si="152">D41</f>
        <v>0</v>
      </c>
      <c r="AM41" s="283">
        <f t="shared" ref="AM41:AM46" si="153">B41</f>
        <v>0</v>
      </c>
      <c r="AN41" s="283" t="e">
        <f>AL41/AM41</f>
        <v>#DIV/0!</v>
      </c>
      <c r="AO41" s="283" t="e">
        <f t="shared" ref="AO41:AO53" si="154">_xlfn.F.INV(0.05/2, 2*AL41, 2*(AM41-AL41+1))</f>
        <v>#NUM!</v>
      </c>
      <c r="AP41" s="283" t="e">
        <f>_xlfn.F.INV(1-0.05/2, 2*(AL41+1), 2*(AM41-AL41))</f>
        <v>#NUM!</v>
      </c>
      <c r="AQ41" s="436">
        <f>IF(AL41=0, 0, 1/(1 +(AM41-AL41+1)/(AL41*AO41)))</f>
        <v>0</v>
      </c>
      <c r="AR41" s="436">
        <f>IF(AL41=AM41, 1, 1/(1 + (AM41-AL41)/(AP41*(AL41+1))))</f>
        <v>1</v>
      </c>
    </row>
    <row r="42" spans="1:44" ht="15" customHeight="1">
      <c r="A42" s="181">
        <v>2003</v>
      </c>
      <c r="B42" s="182">
        <v>17</v>
      </c>
      <c r="C42" s="183">
        <v>16</v>
      </c>
      <c r="D42" s="184">
        <v>14</v>
      </c>
      <c r="E42" s="172">
        <f>C42/B42</f>
        <v>0.94117647058823528</v>
      </c>
      <c r="F42" s="173">
        <f>G42/E42</f>
        <v>0.875</v>
      </c>
      <c r="G42" s="174">
        <f>D42/B42</f>
        <v>0.82352941176470584</v>
      </c>
      <c r="H42" s="185">
        <v>0.14412394205036716</v>
      </c>
      <c r="I42" s="176">
        <v>1.3780074456853919E-3</v>
      </c>
      <c r="J42" s="174">
        <v>3.3000000000000002E-2</v>
      </c>
      <c r="K42" s="172">
        <f>(C42/B42)/((1-H42)*(1-J42))</f>
        <v>1.1371917739302508</v>
      </c>
      <c r="L42" s="173">
        <f>M42/K42</f>
        <v>0.87620742034920585</v>
      </c>
      <c r="M42" s="173">
        <f>(D42/B42)/((1-H42)*(1-I42)*(1-J42))</f>
        <v>0.99641587067776238</v>
      </c>
      <c r="N42" s="172">
        <f>K42^(1/3)</f>
        <v>1.0437854448217987</v>
      </c>
      <c r="O42" s="173">
        <f>L42^(1/4)</f>
        <v>0.96750168864195651</v>
      </c>
      <c r="P42" s="177">
        <f>M42^(1/7)</f>
        <v>0.99948719328714042</v>
      </c>
      <c r="Q42" s="181">
        <v>2003</v>
      </c>
      <c r="R42" s="172">
        <f t="shared" ref="R42:W46" si="155">1-K42</f>
        <v>-0.13719177393025084</v>
      </c>
      <c r="S42" s="173">
        <f t="shared" si="155"/>
        <v>0.12379257965079415</v>
      </c>
      <c r="T42" s="173">
        <f t="shared" si="155"/>
        <v>3.5841293222376169E-3</v>
      </c>
      <c r="U42" s="172">
        <f t="shared" si="155"/>
        <v>-4.3785444821798691E-2</v>
      </c>
      <c r="V42" s="173">
        <f t="shared" si="155"/>
        <v>3.2498311358043486E-2</v>
      </c>
      <c r="W42" s="177">
        <f t="shared" si="155"/>
        <v>5.1280671285958146E-4</v>
      </c>
      <c r="X42" s="283">
        <f t="shared" si="146"/>
        <v>16</v>
      </c>
      <c r="Y42" s="283">
        <f t="shared" si="147"/>
        <v>17</v>
      </c>
      <c r="Z42" s="283">
        <f t="shared" ref="Z42:Z53" si="156">X42/Y42</f>
        <v>0.94117647058823528</v>
      </c>
      <c r="AA42" s="283">
        <f t="shared" si="148"/>
        <v>0.31070798172438086</v>
      </c>
      <c r="AB42" s="283">
        <f t="shared" ref="AB42:AB53" si="157">_xlfn.F.INV(1-0.05/2, 2*(X42+1), 2*(Y42-X42))</f>
        <v>39.468485740906999</v>
      </c>
      <c r="AC42" s="436">
        <f t="shared" ref="AC42:AC53" si="158">IF(X42=0, 0, 1/(1 +(Y42-X42+1)/(X42*AA42)))</f>
        <v>0.71311060333277942</v>
      </c>
      <c r="AD42" s="436">
        <f t="shared" ref="AD42:AD53" si="159">IF(X42=Y42, 1, 1/(1 + (Y42-X42)/(AB42*(X42+1))))</f>
        <v>0.99851182560873342</v>
      </c>
      <c r="AE42" s="283">
        <f t="shared" si="149"/>
        <v>14</v>
      </c>
      <c r="AF42" s="283">
        <f t="shared" si="150"/>
        <v>16</v>
      </c>
      <c r="AG42" s="283">
        <f t="shared" ref="AG42:AG53" si="160">AE42/AF42</f>
        <v>0.875</v>
      </c>
      <c r="AH42" s="283">
        <f t="shared" si="151"/>
        <v>0.34451218163174652</v>
      </c>
      <c r="AI42" s="283">
        <f t="shared" ref="AI42:AI53" si="161">_xlfn.F.INV(1-0.05/2, 2*(AE42+1), 2*(AF42-AE42))</f>
        <v>8.4612740138555278</v>
      </c>
      <c r="AJ42" s="436">
        <f t="shared" ref="AJ42:AJ53" si="162">IF(AE42=0, 0, 1/(1 +(AF42-AE42+1)/(AE42*AH42)))</f>
        <v>0.61652376315073654</v>
      </c>
      <c r="AK42" s="436">
        <f t="shared" ref="AK42:AK53" si="163">IF(AE42=AF42, 1, 1/(1 + (AF42-AE42)/(AI42*(AE42+1))))</f>
        <v>0.98448639618458611</v>
      </c>
      <c r="AL42" s="283">
        <f t="shared" si="152"/>
        <v>14</v>
      </c>
      <c r="AM42" s="283">
        <f t="shared" si="153"/>
        <v>17</v>
      </c>
      <c r="AN42" s="283">
        <f t="shared" ref="AN42:AN53" si="164">AL42/AM42</f>
        <v>0.82352941176470584</v>
      </c>
      <c r="AO42" s="283">
        <f t="shared" si="154"/>
        <v>0.37213173808202926</v>
      </c>
      <c r="AP42" s="283">
        <f t="shared" ref="AP42:AP53" si="165">_xlfn.F.INV(1-0.05/2, 2*(AL42+1), 2*(AM42-AL42))</f>
        <v>5.0652268419826969</v>
      </c>
      <c r="AQ42" s="436">
        <f t="shared" ref="AQ42:AQ53" si="166">IF(AL42=0, 0, 1/(1 +(AM42-AL42+1)/(AL42*AO42)))</f>
        <v>0.56568212715571609</v>
      </c>
      <c r="AR42" s="436">
        <f t="shared" ref="AR42:AR53" si="167">IF(AL42=AM42, 1, 1/(1 + (AM42-AL42)/(AP42*(AL42+1))))</f>
        <v>0.96201493192937404</v>
      </c>
    </row>
    <row r="43" spans="1:44" ht="15" customHeight="1">
      <c r="A43" s="181">
        <v>2004</v>
      </c>
      <c r="B43" s="186">
        <v>65</v>
      </c>
      <c r="C43" s="187">
        <v>55</v>
      </c>
      <c r="D43" s="188">
        <v>51</v>
      </c>
      <c r="E43" s="189">
        <f>C43/B43</f>
        <v>0.84615384615384615</v>
      </c>
      <c r="F43" s="190">
        <f>G43/E43</f>
        <v>0.92727272727272725</v>
      </c>
      <c r="G43" s="191">
        <f>D43/B43</f>
        <v>0.7846153846153846</v>
      </c>
      <c r="H43" s="185">
        <v>0.14275718053419309</v>
      </c>
      <c r="I43" s="176">
        <v>8.4183567604740369E-4</v>
      </c>
      <c r="J43" s="191">
        <v>3.3000000000000002E-2</v>
      </c>
      <c r="K43" s="189">
        <f>(C43/B43)/((1-H43)*(1-J43))</f>
        <v>1.0207490931305585</v>
      </c>
      <c r="L43" s="190">
        <f>M43/K43</f>
        <v>0.92805399623605722</v>
      </c>
      <c r="M43" s="190">
        <f>(D43/B43)/((1-H43)*(1-I43)*(1-J43))</f>
        <v>0.94731027503414622</v>
      </c>
      <c r="N43" s="189">
        <f>K43^(1/3)</f>
        <v>1.0068690721870253</v>
      </c>
      <c r="O43" s="190">
        <f>L43^(1/4)</f>
        <v>0.98150679660996487</v>
      </c>
      <c r="P43" s="192">
        <f>M43^(1/7)</f>
        <v>0.99229716300798765</v>
      </c>
      <c r="Q43" s="181">
        <v>2004</v>
      </c>
      <c r="R43" s="193">
        <f t="shared" si="155"/>
        <v>-2.0749093130558505E-2</v>
      </c>
      <c r="S43" s="194">
        <f t="shared" si="155"/>
        <v>7.1946003763942779E-2</v>
      </c>
      <c r="T43" s="194">
        <f t="shared" si="155"/>
        <v>5.2689724965853779E-2</v>
      </c>
      <c r="U43" s="193">
        <f t="shared" si="155"/>
        <v>-6.8690721870252602E-3</v>
      </c>
      <c r="V43" s="194">
        <f t="shared" si="155"/>
        <v>1.8493203390035129E-2</v>
      </c>
      <c r="W43" s="195">
        <f t="shared" si="155"/>
        <v>7.7028369920123518E-3</v>
      </c>
      <c r="X43" s="283">
        <f t="shared" si="146"/>
        <v>55</v>
      </c>
      <c r="Y43" s="283">
        <f t="shared" si="147"/>
        <v>65</v>
      </c>
      <c r="Z43" s="283">
        <f t="shared" si="156"/>
        <v>0.84615384615384615</v>
      </c>
      <c r="AA43" s="283">
        <f t="shared" si="148"/>
        <v>0.55533405028852123</v>
      </c>
      <c r="AB43" s="283">
        <f t="shared" si="157"/>
        <v>2.161152569739218</v>
      </c>
      <c r="AC43" s="436">
        <f t="shared" si="158"/>
        <v>0.73521649140058709</v>
      </c>
      <c r="AD43" s="436">
        <f t="shared" si="159"/>
        <v>0.92367842159999958</v>
      </c>
      <c r="AE43" s="283">
        <f t="shared" si="149"/>
        <v>51</v>
      </c>
      <c r="AF43" s="283">
        <f t="shared" si="150"/>
        <v>55</v>
      </c>
      <c r="AG43" s="283">
        <f t="shared" si="160"/>
        <v>0.92727272727272725</v>
      </c>
      <c r="AH43" s="283">
        <f t="shared" si="151"/>
        <v>0.45942134989209327</v>
      </c>
      <c r="AI43" s="283">
        <f t="shared" si="161"/>
        <v>3.7367131604528008</v>
      </c>
      <c r="AJ43" s="436">
        <f t="shared" si="162"/>
        <v>0.82413246471603174</v>
      </c>
      <c r="AK43" s="436">
        <f t="shared" si="163"/>
        <v>0.97982946664677006</v>
      </c>
      <c r="AL43" s="283">
        <f t="shared" si="152"/>
        <v>51</v>
      </c>
      <c r="AM43" s="283">
        <f t="shared" si="153"/>
        <v>65</v>
      </c>
      <c r="AN43" s="283">
        <f t="shared" si="164"/>
        <v>0.7846153846153846</v>
      </c>
      <c r="AO43" s="283">
        <f t="shared" si="154"/>
        <v>0.58414090225705517</v>
      </c>
      <c r="AP43" s="283">
        <f t="shared" si="165"/>
        <v>1.9186931709137391</v>
      </c>
      <c r="AQ43" s="436">
        <f t="shared" si="166"/>
        <v>0.66511268545244784</v>
      </c>
      <c r="AR43" s="436">
        <f t="shared" si="167"/>
        <v>0.87694692475781988</v>
      </c>
    </row>
    <row r="44" spans="1:44" ht="15" customHeight="1">
      <c r="A44" s="181">
        <v>2005</v>
      </c>
      <c r="B44" s="186">
        <v>67</v>
      </c>
      <c r="C44" s="187">
        <v>44</v>
      </c>
      <c r="D44" s="188">
        <v>40</v>
      </c>
      <c r="E44" s="189">
        <f>C44/B44</f>
        <v>0.65671641791044777</v>
      </c>
      <c r="F44" s="190">
        <f>G44/E44</f>
        <v>0.90909090909090895</v>
      </c>
      <c r="G44" s="191">
        <f>D44/B44</f>
        <v>0.59701492537313428</v>
      </c>
      <c r="H44" s="185">
        <v>0.17778432143836448</v>
      </c>
      <c r="I44" s="176">
        <v>0</v>
      </c>
      <c r="J44" s="191">
        <v>3.3000000000000002E-2</v>
      </c>
      <c r="K44" s="189">
        <f>(C44/B44)/((1-H44)*(1-J44))</f>
        <v>0.82597260961780117</v>
      </c>
      <c r="L44" s="190">
        <f>M44/K44</f>
        <v>0.90909090909090906</v>
      </c>
      <c r="M44" s="190">
        <f>(D44/B44)/((1-H44)*(1-I44)*(1-J44))</f>
        <v>0.75088419056163735</v>
      </c>
      <c r="N44" s="189">
        <f>K44^(1/3)</f>
        <v>0.93825714843546226</v>
      </c>
      <c r="O44" s="190">
        <f>L44^(1/4)</f>
        <v>0.97645408967631053</v>
      </c>
      <c r="P44" s="192">
        <f>M44^(1/7)</f>
        <v>0.95989716421333571</v>
      </c>
      <c r="Q44" s="181">
        <v>2005</v>
      </c>
      <c r="R44" s="193">
        <f t="shared" si="155"/>
        <v>0.17402739038219883</v>
      </c>
      <c r="S44" s="194">
        <f t="shared" si="155"/>
        <v>9.0909090909090939E-2</v>
      </c>
      <c r="T44" s="194">
        <f t="shared" si="155"/>
        <v>0.24911580943836265</v>
      </c>
      <c r="U44" s="193">
        <f t="shared" si="155"/>
        <v>6.1742851564537737E-2</v>
      </c>
      <c r="V44" s="194">
        <f t="shared" si="155"/>
        <v>2.3545910323689467E-2</v>
      </c>
      <c r="W44" s="195">
        <f t="shared" si="155"/>
        <v>4.0102835786664293E-2</v>
      </c>
      <c r="X44" s="283">
        <f t="shared" si="146"/>
        <v>44</v>
      </c>
      <c r="Y44" s="283">
        <f t="shared" si="147"/>
        <v>67</v>
      </c>
      <c r="Z44" s="283">
        <f t="shared" si="156"/>
        <v>0.65671641791044777</v>
      </c>
      <c r="AA44" s="283">
        <f t="shared" si="148"/>
        <v>0.61661276841861568</v>
      </c>
      <c r="AB44" s="283">
        <f t="shared" si="157"/>
        <v>1.6963937934748203</v>
      </c>
      <c r="AC44" s="436">
        <f t="shared" si="158"/>
        <v>0.53061708307021405</v>
      </c>
      <c r="AD44" s="436">
        <f t="shared" si="159"/>
        <v>0.76846660224884888</v>
      </c>
      <c r="AE44" s="283">
        <f t="shared" si="149"/>
        <v>40</v>
      </c>
      <c r="AF44" s="283">
        <f t="shared" si="150"/>
        <v>44</v>
      </c>
      <c r="AG44" s="283">
        <f t="shared" si="160"/>
        <v>0.90909090909090906</v>
      </c>
      <c r="AH44" s="283">
        <f t="shared" si="151"/>
        <v>0.4518700329285128</v>
      </c>
      <c r="AI44" s="283">
        <f t="shared" si="161"/>
        <v>3.7542769617088578</v>
      </c>
      <c r="AJ44" s="436">
        <f t="shared" si="162"/>
        <v>0.78331341053472558</v>
      </c>
      <c r="AK44" s="436">
        <f t="shared" si="163"/>
        <v>0.97467157829654916</v>
      </c>
      <c r="AL44" s="283">
        <f t="shared" si="152"/>
        <v>40</v>
      </c>
      <c r="AM44" s="283">
        <f t="shared" si="153"/>
        <v>67</v>
      </c>
      <c r="AN44" s="283">
        <f t="shared" si="164"/>
        <v>0.59701492537313428</v>
      </c>
      <c r="AO44" s="283">
        <f t="shared" si="154"/>
        <v>0.62085775831111634</v>
      </c>
      <c r="AP44" s="283">
        <f t="shared" si="165"/>
        <v>1.6531409515420021</v>
      </c>
      <c r="AQ44" s="436">
        <f t="shared" si="166"/>
        <v>0.47004134578802903</v>
      </c>
      <c r="AR44" s="436">
        <f t="shared" si="167"/>
        <v>0.71512610437581847</v>
      </c>
    </row>
    <row r="45" spans="1:44" ht="15" customHeight="1">
      <c r="A45" s="181">
        <v>2006</v>
      </c>
      <c r="B45" s="186">
        <v>23</v>
      </c>
      <c r="C45" s="187">
        <v>13</v>
      </c>
      <c r="D45" s="188">
        <v>11</v>
      </c>
      <c r="E45" s="189">
        <f>C45/B45</f>
        <v>0.56521739130434778</v>
      </c>
      <c r="F45" s="190">
        <f>G45/E45</f>
        <v>0.84615384615384626</v>
      </c>
      <c r="G45" s="191">
        <f>D45/B45</f>
        <v>0.47826086956521741</v>
      </c>
      <c r="H45" s="185">
        <v>0.20716416508115473</v>
      </c>
      <c r="I45" s="176">
        <v>0</v>
      </c>
      <c r="J45" s="191">
        <v>3.3000000000000002E-2</v>
      </c>
      <c r="K45" s="189">
        <f>(C45/B45)/((1-H45)*(1-J45))</f>
        <v>0.73723470434682437</v>
      </c>
      <c r="L45" s="190">
        <f>M45/K45</f>
        <v>0.84615384615384615</v>
      </c>
      <c r="M45" s="190">
        <f>(D45/B45)/((1-H45)*(1-I45)*(1-J45))</f>
        <v>0.62381398060115911</v>
      </c>
      <c r="N45" s="189">
        <f>K45^(1/3)</f>
        <v>0.90337608698163718</v>
      </c>
      <c r="O45" s="190">
        <f>L45^(1/4)</f>
        <v>0.95909655979353814</v>
      </c>
      <c r="P45" s="192">
        <f>M45^(1/7)</f>
        <v>0.93480743451470805</v>
      </c>
      <c r="Q45" s="181">
        <v>2006</v>
      </c>
      <c r="R45" s="193">
        <f t="shared" si="155"/>
        <v>0.26276529565317563</v>
      </c>
      <c r="S45" s="194">
        <f t="shared" si="155"/>
        <v>0.15384615384615385</v>
      </c>
      <c r="T45" s="194">
        <f t="shared" si="155"/>
        <v>0.37618601939884089</v>
      </c>
      <c r="U45" s="193">
        <f t="shared" si="155"/>
        <v>9.6623913018362817E-2</v>
      </c>
      <c r="V45" s="194">
        <f t="shared" si="155"/>
        <v>4.0903440206461861E-2</v>
      </c>
      <c r="W45" s="195">
        <f t="shared" si="155"/>
        <v>6.5192565485291953E-2</v>
      </c>
      <c r="X45" s="283">
        <f t="shared" si="146"/>
        <v>13</v>
      </c>
      <c r="Y45" s="283">
        <f t="shared" si="147"/>
        <v>23</v>
      </c>
      <c r="Z45" s="283">
        <f t="shared" si="156"/>
        <v>0.56521739130434778</v>
      </c>
      <c r="AA45" s="283">
        <f t="shared" si="148"/>
        <v>0.44557879088051133</v>
      </c>
      <c r="AB45" s="283">
        <f t="shared" si="157"/>
        <v>2.3656710788211388</v>
      </c>
      <c r="AC45" s="436">
        <f t="shared" si="158"/>
        <v>0.34494660745237471</v>
      </c>
      <c r="AD45" s="436">
        <f t="shared" si="159"/>
        <v>0.76808580046176855</v>
      </c>
      <c r="AE45" s="283">
        <f t="shared" si="149"/>
        <v>11</v>
      </c>
      <c r="AF45" s="283">
        <f t="shared" si="150"/>
        <v>13</v>
      </c>
      <c r="AG45" s="283">
        <f t="shared" si="160"/>
        <v>0.84615384615384615</v>
      </c>
      <c r="AH45" s="283">
        <f t="shared" si="151"/>
        <v>0.32737094985649906</v>
      </c>
      <c r="AI45" s="283">
        <f t="shared" si="161"/>
        <v>8.5108734515941347</v>
      </c>
      <c r="AJ45" s="436">
        <f t="shared" si="162"/>
        <v>0.54552894432344212</v>
      </c>
      <c r="AK45" s="436">
        <f t="shared" si="163"/>
        <v>0.98079332801747154</v>
      </c>
      <c r="AL45" s="283">
        <f t="shared" si="152"/>
        <v>11</v>
      </c>
      <c r="AM45" s="283">
        <f t="shared" si="153"/>
        <v>23</v>
      </c>
      <c r="AN45" s="283">
        <f t="shared" si="164"/>
        <v>0.47826086956521741</v>
      </c>
      <c r="AO45" s="283">
        <f t="shared" si="154"/>
        <v>0.4331203570259044</v>
      </c>
      <c r="AP45" s="283">
        <f t="shared" si="165"/>
        <v>2.2692772776214256</v>
      </c>
      <c r="AQ45" s="436">
        <f t="shared" si="166"/>
        <v>0.26819618617555319</v>
      </c>
      <c r="AR45" s="436">
        <f t="shared" si="167"/>
        <v>0.69412199850862644</v>
      </c>
    </row>
    <row r="46" spans="1:44" ht="15" customHeight="1" thickBot="1">
      <c r="A46" s="181">
        <v>2007</v>
      </c>
      <c r="B46" s="186">
        <v>28</v>
      </c>
      <c r="C46" s="187">
        <v>18</v>
      </c>
      <c r="D46" s="188">
        <v>15</v>
      </c>
      <c r="E46" s="189">
        <f>C46/B46</f>
        <v>0.6428571428571429</v>
      </c>
      <c r="F46" s="190">
        <f>G46/E46</f>
        <v>0.83333333333333326</v>
      </c>
      <c r="G46" s="191">
        <f>D46/B46</f>
        <v>0.5357142857142857</v>
      </c>
      <c r="H46" s="210">
        <v>0.17313058561785891</v>
      </c>
      <c r="I46" s="196"/>
      <c r="J46" s="191">
        <v>3.3000000000000002E-2</v>
      </c>
      <c r="K46" s="189">
        <f>(C46/B46)/((1-H46)*(1-J46))</f>
        <v>0.80399078643961008</v>
      </c>
      <c r="L46" s="190">
        <f>M46/K46</f>
        <v>0.83333333333333337</v>
      </c>
      <c r="M46" s="190">
        <f>(D46/B46)/((1-H46)*(1-I46)*(1-J46))</f>
        <v>0.6699923220330084</v>
      </c>
      <c r="N46" s="189">
        <f>K46^(1/3)</f>
        <v>0.92985883949901027</v>
      </c>
      <c r="O46" s="190">
        <f>L46^(1/4)</f>
        <v>0.95544279220436679</v>
      </c>
      <c r="P46" s="192">
        <f>M46^(1/7)</f>
        <v>0.94439315853220474</v>
      </c>
      <c r="Q46" s="181">
        <v>2007</v>
      </c>
      <c r="R46" s="193">
        <f t="shared" si="155"/>
        <v>0.19600921356038992</v>
      </c>
      <c r="S46" s="194">
        <f t="shared" si="155"/>
        <v>0.16666666666666663</v>
      </c>
      <c r="T46" s="194">
        <f t="shared" si="155"/>
        <v>0.3300076779669916</v>
      </c>
      <c r="U46" s="193">
        <f t="shared" si="155"/>
        <v>7.014116050098973E-2</v>
      </c>
      <c r="V46" s="194">
        <f t="shared" si="155"/>
        <v>4.4557207795633214E-2</v>
      </c>
      <c r="W46" s="195">
        <f t="shared" si="155"/>
        <v>5.5606841467795265E-2</v>
      </c>
      <c r="X46" s="283">
        <f t="shared" si="146"/>
        <v>18</v>
      </c>
      <c r="Y46" s="283">
        <f t="shared" si="147"/>
        <v>28</v>
      </c>
      <c r="Z46" s="283">
        <f t="shared" si="156"/>
        <v>0.6428571428571429</v>
      </c>
      <c r="AA46" s="283">
        <f t="shared" si="148"/>
        <v>0.48142746544901954</v>
      </c>
      <c r="AB46" s="283">
        <f t="shared" si="157"/>
        <v>2.297165890163869</v>
      </c>
      <c r="AC46" s="436">
        <f t="shared" si="158"/>
        <v>0.44065031274666661</v>
      </c>
      <c r="AD46" s="436">
        <f t="shared" si="159"/>
        <v>0.81359333999955452</v>
      </c>
      <c r="AE46" s="283">
        <f t="shared" si="149"/>
        <v>15</v>
      </c>
      <c r="AF46" s="283">
        <f t="shared" si="150"/>
        <v>18</v>
      </c>
      <c r="AG46" s="283">
        <f t="shared" si="160"/>
        <v>0.83333333333333337</v>
      </c>
      <c r="AH46" s="283">
        <f t="shared" si="151"/>
        <v>0.3771796847336627</v>
      </c>
      <c r="AI46" s="283">
        <f t="shared" si="161"/>
        <v>5.0521133708281658</v>
      </c>
      <c r="AJ46" s="436">
        <f t="shared" si="162"/>
        <v>0.58582250860522578</v>
      </c>
      <c r="AK46" s="436">
        <f t="shared" si="163"/>
        <v>0.96421491687842542</v>
      </c>
      <c r="AL46" s="283">
        <f t="shared" si="152"/>
        <v>15</v>
      </c>
      <c r="AM46" s="283">
        <f t="shared" si="153"/>
        <v>28</v>
      </c>
      <c r="AN46" s="283">
        <f t="shared" si="164"/>
        <v>0.5357142857142857</v>
      </c>
      <c r="AO46" s="283">
        <f t="shared" si="154"/>
        <v>0.47802615464324028</v>
      </c>
      <c r="AP46" s="283">
        <f t="shared" si="165"/>
        <v>2.1408795645036967</v>
      </c>
      <c r="AQ46" s="436">
        <f t="shared" si="166"/>
        <v>0.33869907611459993</v>
      </c>
      <c r="AR46" s="436">
        <f t="shared" si="167"/>
        <v>0.72489143970340386</v>
      </c>
    </row>
    <row r="47" spans="1:44" ht="15" customHeight="1" thickBot="1">
      <c r="A47" s="197" t="s">
        <v>82</v>
      </c>
      <c r="B47" s="198"/>
      <c r="C47" s="198"/>
      <c r="D47" s="198"/>
      <c r="E47" s="199">
        <f t="shared" ref="E47:P47" si="168">AVERAGE(E41:E46)</f>
        <v>0.73042425376280395</v>
      </c>
      <c r="F47" s="199">
        <f t="shared" si="168"/>
        <v>0.87817016317016316</v>
      </c>
      <c r="G47" s="199">
        <f t="shared" si="168"/>
        <v>0.64382697540654554</v>
      </c>
      <c r="H47" s="199">
        <f t="shared" si="168"/>
        <v>0.178145174922167</v>
      </c>
      <c r="I47" s="199">
        <f t="shared" si="168"/>
        <v>8.8439154327768651E-4</v>
      </c>
      <c r="J47" s="199">
        <f t="shared" si="168"/>
        <v>3.3000000000000002E-2</v>
      </c>
      <c r="K47" s="199">
        <f t="shared" si="168"/>
        <v>0.90502779349300899</v>
      </c>
      <c r="L47" s="199">
        <f t="shared" si="168"/>
        <v>0.87856790103267035</v>
      </c>
      <c r="M47" s="199">
        <f t="shared" si="168"/>
        <v>0.79768332778154272</v>
      </c>
      <c r="N47" s="199">
        <f t="shared" si="168"/>
        <v>0.9644293183849868</v>
      </c>
      <c r="O47" s="199">
        <f t="shared" si="168"/>
        <v>0.96800038538522737</v>
      </c>
      <c r="P47" s="199">
        <f t="shared" si="168"/>
        <v>0.96617642271107529</v>
      </c>
      <c r="Q47" s="197" t="s">
        <v>81</v>
      </c>
      <c r="R47" s="199">
        <f t="shared" ref="R47:W47" si="169">AVERAGE(R41:R46)</f>
        <v>9.4972206506991008E-2</v>
      </c>
      <c r="S47" s="199">
        <f t="shared" si="169"/>
        <v>0.12143209896732968</v>
      </c>
      <c r="T47" s="199">
        <f t="shared" si="169"/>
        <v>0.20231667221845734</v>
      </c>
      <c r="U47" s="199">
        <f t="shared" si="169"/>
        <v>3.5570681615013269E-2</v>
      </c>
      <c r="V47" s="199">
        <f t="shared" si="169"/>
        <v>3.1999614614772631E-2</v>
      </c>
      <c r="W47" s="200">
        <f t="shared" si="169"/>
        <v>3.382357728892469E-2</v>
      </c>
      <c r="X47" s="283"/>
      <c r="Y47" s="283"/>
      <c r="Z47" s="283"/>
      <c r="AA47" s="283"/>
      <c r="AB47" s="283"/>
      <c r="AC47" s="436"/>
      <c r="AD47" s="436"/>
      <c r="AE47" s="283"/>
      <c r="AF47" s="283"/>
      <c r="AG47" s="283"/>
      <c r="AH47" s="283"/>
      <c r="AI47" s="283"/>
      <c r="AJ47" s="436"/>
      <c r="AK47" s="436"/>
      <c r="AL47" s="283"/>
      <c r="AM47" s="283"/>
      <c r="AN47" s="283"/>
      <c r="AO47" s="283"/>
      <c r="AP47" s="283"/>
      <c r="AQ47" s="436"/>
      <c r="AR47" s="436"/>
    </row>
    <row r="48" spans="1:44" ht="15" customHeight="1">
      <c r="A48" s="201">
        <v>2008</v>
      </c>
      <c r="B48" s="278">
        <v>261</v>
      </c>
      <c r="C48" s="278">
        <v>190</v>
      </c>
      <c r="D48" s="278">
        <v>172</v>
      </c>
      <c r="E48" s="202">
        <f t="shared" ref="E48:E63" si="170">C48/B48</f>
        <v>0.72796934865900387</v>
      </c>
      <c r="F48" s="203">
        <f t="shared" ref="F48:F63" si="171">G48/E48</f>
        <v>0.90526315789473677</v>
      </c>
      <c r="G48" s="204">
        <f t="shared" ref="G48:G63" si="172">D48/B48</f>
        <v>0.65900383141762453</v>
      </c>
      <c r="H48" s="205">
        <v>0.24737232730487552</v>
      </c>
      <c r="I48" s="196">
        <v>0</v>
      </c>
      <c r="J48" s="204">
        <v>3.3000000000000002E-2</v>
      </c>
      <c r="K48" s="202">
        <f t="shared" ref="K48:K63" si="173">(C48/B48)/((1-H48)*(1-J48))</f>
        <v>1.0002451104406986</v>
      </c>
      <c r="L48" s="203">
        <f t="shared" ref="L48:L61" si="174">M48/K48</f>
        <v>0.90526315789473666</v>
      </c>
      <c r="M48" s="203">
        <f t="shared" ref="M48:M59" si="175">(D48/B48)/((1-H48)*(1-I48)*(1-J48))</f>
        <v>0.90548504734631652</v>
      </c>
      <c r="N48" s="202">
        <f t="shared" ref="N48:N61" si="176">K48^(1/3)</f>
        <v>1.0000816968056832</v>
      </c>
      <c r="O48" s="203">
        <f t="shared" ref="O48:O61" si="177">L48^(1/4)</f>
        <v>0.97542461635305711</v>
      </c>
      <c r="P48" s="206">
        <f t="shared" ref="P48:P61" si="178">M48^(1/7)</f>
        <v>0.98591660986016849</v>
      </c>
      <c r="Q48" s="201">
        <v>2008</v>
      </c>
      <c r="R48" s="207">
        <f t="shared" ref="R48:R61" si="179">1-K48</f>
        <v>-2.4511044069863708E-4</v>
      </c>
      <c r="S48" s="208">
        <f t="shared" ref="S48:S61" si="180">1-L48</f>
        <v>9.4736842105263341E-2</v>
      </c>
      <c r="T48" s="208">
        <f t="shared" ref="T48:T61" si="181">1-M48</f>
        <v>9.4514952653683482E-2</v>
      </c>
      <c r="U48" s="207">
        <f t="shared" ref="U48:U61" si="182">1-N48</f>
        <v>-8.1696805683151297E-5</v>
      </c>
      <c r="V48" s="208">
        <f t="shared" ref="V48:V61" si="183">1-O48</f>
        <v>2.4575383646942894E-2</v>
      </c>
      <c r="W48" s="209">
        <f t="shared" ref="W48:W61" si="184">1-P48</f>
        <v>1.4083390139831509E-2</v>
      </c>
      <c r="X48" s="283">
        <f t="shared" ref="X48:X63" si="185">C48</f>
        <v>190</v>
      </c>
      <c r="Y48" s="283">
        <f t="shared" ref="Y48:Y63" si="186">B48</f>
        <v>261</v>
      </c>
      <c r="Z48" s="283">
        <f t="shared" si="156"/>
        <v>0.72796934865900387</v>
      </c>
      <c r="AA48" s="283">
        <f t="shared" si="148"/>
        <v>0.76823835410852237</v>
      </c>
      <c r="AB48" s="283">
        <f t="shared" si="157"/>
        <v>1.3257129694116292</v>
      </c>
      <c r="AC48" s="436">
        <f t="shared" si="158"/>
        <v>0.66967217166418036</v>
      </c>
      <c r="AD48" s="436">
        <f t="shared" si="159"/>
        <v>0.78100693312778036</v>
      </c>
      <c r="AE48" s="283">
        <f t="shared" ref="AE48:AE63" si="187">D48</f>
        <v>172</v>
      </c>
      <c r="AF48" s="283">
        <f t="shared" ref="AF48:AF63" si="188">C48</f>
        <v>190</v>
      </c>
      <c r="AG48" s="283">
        <f t="shared" si="160"/>
        <v>0.90526315789473688</v>
      </c>
      <c r="AH48" s="283">
        <f t="shared" si="151"/>
        <v>0.64827381596138856</v>
      </c>
      <c r="AI48" s="283">
        <f t="shared" si="161"/>
        <v>1.717557284013536</v>
      </c>
      <c r="AJ48" s="436">
        <f t="shared" si="162"/>
        <v>0.85440958466058858</v>
      </c>
      <c r="AK48" s="436">
        <f t="shared" si="163"/>
        <v>0.94288205899665589</v>
      </c>
      <c r="AL48" s="283">
        <f t="shared" ref="AL48:AL63" si="189">D48</f>
        <v>172</v>
      </c>
      <c r="AM48" s="283">
        <f t="shared" ref="AM48:AM63" si="190">B48</f>
        <v>261</v>
      </c>
      <c r="AN48" s="283">
        <f t="shared" si="164"/>
        <v>0.65900383141762453</v>
      </c>
      <c r="AO48" s="283">
        <f t="shared" si="154"/>
        <v>0.77843828491898726</v>
      </c>
      <c r="AP48" s="283">
        <f t="shared" si="165"/>
        <v>1.299099764371562</v>
      </c>
      <c r="AQ48" s="436">
        <f t="shared" si="166"/>
        <v>0.59801936998352268</v>
      </c>
      <c r="AR48" s="436">
        <f t="shared" si="167"/>
        <v>0.71632947096260891</v>
      </c>
    </row>
    <row r="49" spans="1:44" ht="15" customHeight="1">
      <c r="A49" s="201">
        <v>2009</v>
      </c>
      <c r="B49" s="278">
        <v>184</v>
      </c>
      <c r="C49" s="278">
        <v>132</v>
      </c>
      <c r="D49" s="278">
        <v>108</v>
      </c>
      <c r="E49" s="149">
        <f t="shared" si="170"/>
        <v>0.71739130434782605</v>
      </c>
      <c r="F49" s="149">
        <f t="shared" si="171"/>
        <v>0.81818181818181834</v>
      </c>
      <c r="G49" s="149">
        <f t="shared" si="172"/>
        <v>0.58695652173913049</v>
      </c>
      <c r="H49" s="124">
        <v>0.308</v>
      </c>
      <c r="I49" s="196">
        <v>0</v>
      </c>
      <c r="J49" s="150">
        <v>3.3000000000000002E-2</v>
      </c>
      <c r="K49" s="149">
        <f t="shared" si="173"/>
        <v>1.0720709786357696</v>
      </c>
      <c r="L49" s="149">
        <f t="shared" si="174"/>
        <v>0.81818181818181823</v>
      </c>
      <c r="M49" s="149">
        <f t="shared" si="175"/>
        <v>0.87714898252017515</v>
      </c>
      <c r="N49" s="151">
        <f t="shared" si="176"/>
        <v>1.0234685768192593</v>
      </c>
      <c r="O49" s="149">
        <f t="shared" si="177"/>
        <v>0.95106994155702917</v>
      </c>
      <c r="P49" s="150">
        <f t="shared" si="178"/>
        <v>0.9814487436601893</v>
      </c>
      <c r="Q49" s="299">
        <v>2009</v>
      </c>
      <c r="R49" s="152">
        <f t="shared" si="179"/>
        <v>-7.2070978635769611E-2</v>
      </c>
      <c r="S49" s="153">
        <f t="shared" si="180"/>
        <v>0.18181818181818177</v>
      </c>
      <c r="T49" s="154">
        <f t="shared" si="181"/>
        <v>0.12285101747982485</v>
      </c>
      <c r="U49" s="152">
        <f t="shared" si="182"/>
        <v>-2.346857681925929E-2</v>
      </c>
      <c r="V49" s="153">
        <f t="shared" si="183"/>
        <v>4.8930058442970825E-2</v>
      </c>
      <c r="W49" s="154">
        <f t="shared" si="184"/>
        <v>1.8551256339810696E-2</v>
      </c>
      <c r="X49" s="283">
        <f t="shared" si="185"/>
        <v>132</v>
      </c>
      <c r="Y49" s="283">
        <f t="shared" si="186"/>
        <v>184</v>
      </c>
      <c r="Z49" s="283">
        <f t="shared" si="156"/>
        <v>0.71739130434782605</v>
      </c>
      <c r="AA49" s="283">
        <f t="shared" si="148"/>
        <v>0.73416674554489614</v>
      </c>
      <c r="AB49" s="283">
        <f t="shared" si="157"/>
        <v>1.3957485688635447</v>
      </c>
      <c r="AC49" s="436">
        <f t="shared" si="158"/>
        <v>0.6464545639456275</v>
      </c>
      <c r="AD49" s="436">
        <f t="shared" si="159"/>
        <v>0.78117660968736502</v>
      </c>
      <c r="AE49" s="283">
        <f t="shared" si="187"/>
        <v>108</v>
      </c>
      <c r="AF49" s="283">
        <f t="shared" si="188"/>
        <v>132</v>
      </c>
      <c r="AG49" s="283">
        <f t="shared" si="160"/>
        <v>0.81818181818181823</v>
      </c>
      <c r="AH49" s="283">
        <f t="shared" si="151"/>
        <v>0.6645413055848588</v>
      </c>
      <c r="AI49" s="283">
        <f t="shared" si="161"/>
        <v>1.6130592298332798</v>
      </c>
      <c r="AJ49" s="436">
        <f t="shared" si="162"/>
        <v>0.74165670246024351</v>
      </c>
      <c r="AK49" s="436">
        <f t="shared" si="163"/>
        <v>0.87989398004518937</v>
      </c>
      <c r="AL49" s="283">
        <f t="shared" si="189"/>
        <v>108</v>
      </c>
      <c r="AM49" s="283">
        <f t="shared" si="190"/>
        <v>184</v>
      </c>
      <c r="AN49" s="283">
        <f t="shared" si="164"/>
        <v>0.58695652173913049</v>
      </c>
      <c r="AO49" s="283">
        <f t="shared" si="154"/>
        <v>0.74853968838613139</v>
      </c>
      <c r="AP49" s="283">
        <f t="shared" si="165"/>
        <v>1.3468274552497557</v>
      </c>
      <c r="AQ49" s="436">
        <f t="shared" si="166"/>
        <v>0.51217128323042316</v>
      </c>
      <c r="AR49" s="436">
        <f t="shared" si="167"/>
        <v>0.65889331297790199</v>
      </c>
    </row>
    <row r="50" spans="1:44" ht="15" customHeight="1">
      <c r="A50" s="201">
        <v>2010</v>
      </c>
      <c r="B50" s="278">
        <v>2003</v>
      </c>
      <c r="C50" s="278">
        <v>1424</v>
      </c>
      <c r="D50" s="278">
        <v>1337</v>
      </c>
      <c r="E50" s="149">
        <f t="shared" si="170"/>
        <v>0.7109335996005991</v>
      </c>
      <c r="F50" s="149">
        <f t="shared" si="171"/>
        <v>0.9389044943820225</v>
      </c>
      <c r="G50" s="149">
        <f t="shared" si="172"/>
        <v>0.66749875187219176</v>
      </c>
      <c r="H50" s="124">
        <v>0.20100000000000001</v>
      </c>
      <c r="I50" s="196">
        <v>0</v>
      </c>
      <c r="J50" s="150">
        <v>3.3000000000000002E-2</v>
      </c>
      <c r="K50" s="149">
        <f t="shared" si="173"/>
        <v>0.92014397469510001</v>
      </c>
      <c r="L50" s="149">
        <f t="shared" si="174"/>
        <v>0.9389044943820225</v>
      </c>
      <c r="M50" s="149">
        <f t="shared" si="175"/>
        <v>0.86392731331976735</v>
      </c>
      <c r="N50" s="151">
        <f t="shared" si="176"/>
        <v>0.97263955842023764</v>
      </c>
      <c r="O50" s="149">
        <f t="shared" si="177"/>
        <v>0.98436316616161024</v>
      </c>
      <c r="P50" s="150">
        <f t="shared" si="178"/>
        <v>0.97932155826328771</v>
      </c>
      <c r="Q50" s="201">
        <v>2010</v>
      </c>
      <c r="R50" s="152">
        <f t="shared" si="179"/>
        <v>7.9856025304899991E-2</v>
      </c>
      <c r="S50" s="153">
        <f t="shared" si="180"/>
        <v>6.1095505617977497E-2</v>
      </c>
      <c r="T50" s="154">
        <f t="shared" si="181"/>
        <v>0.13607268668023265</v>
      </c>
      <c r="U50" s="152">
        <f t="shared" si="182"/>
        <v>2.7360441579762362E-2</v>
      </c>
      <c r="V50" s="153">
        <f t="shared" si="183"/>
        <v>1.5636833838389763E-2</v>
      </c>
      <c r="W50" s="154">
        <f t="shared" si="184"/>
        <v>2.0678441736712294E-2</v>
      </c>
      <c r="X50" s="283">
        <f t="shared" si="185"/>
        <v>1424</v>
      </c>
      <c r="Y50" s="283">
        <f t="shared" si="186"/>
        <v>2003</v>
      </c>
      <c r="Z50" s="283">
        <f t="shared" si="156"/>
        <v>0.7109335996005991</v>
      </c>
      <c r="AA50" s="283">
        <f t="shared" si="148"/>
        <v>0.90883947283878297</v>
      </c>
      <c r="AB50" s="283">
        <f t="shared" si="157"/>
        <v>1.1025554675895415</v>
      </c>
      <c r="AC50" s="436">
        <f t="shared" si="158"/>
        <v>0.69053254913835604</v>
      </c>
      <c r="AD50" s="436">
        <f t="shared" si="159"/>
        <v>0.7307154022772544</v>
      </c>
      <c r="AE50" s="283">
        <f t="shared" si="187"/>
        <v>1337</v>
      </c>
      <c r="AF50" s="283">
        <f t="shared" si="188"/>
        <v>1424</v>
      </c>
      <c r="AG50" s="283">
        <f t="shared" si="160"/>
        <v>0.9389044943820225</v>
      </c>
      <c r="AH50" s="283">
        <f t="shared" si="151"/>
        <v>0.81390270488543903</v>
      </c>
      <c r="AI50" s="283">
        <f t="shared" si="161"/>
        <v>1.2560075414373015</v>
      </c>
      <c r="AJ50" s="436">
        <f t="shared" si="162"/>
        <v>0.92518202340748146</v>
      </c>
      <c r="AK50" s="436">
        <f t="shared" si="163"/>
        <v>0.95077899567177671</v>
      </c>
      <c r="AL50" s="283">
        <f t="shared" si="189"/>
        <v>1337</v>
      </c>
      <c r="AM50" s="283">
        <f t="shared" si="190"/>
        <v>2003</v>
      </c>
      <c r="AN50" s="283">
        <f t="shared" si="164"/>
        <v>0.66749875187219176</v>
      </c>
      <c r="AO50" s="283">
        <f t="shared" si="154"/>
        <v>0.9119121947955855</v>
      </c>
      <c r="AP50" s="283">
        <f t="shared" si="165"/>
        <v>1.0982445565557322</v>
      </c>
      <c r="AQ50" s="436">
        <f t="shared" si="166"/>
        <v>0.64638395067202192</v>
      </c>
      <c r="AR50" s="436">
        <f t="shared" si="167"/>
        <v>0.68812211920342348</v>
      </c>
    </row>
    <row r="51" spans="1:44" ht="15" customHeight="1">
      <c r="A51" s="201">
        <v>2011</v>
      </c>
      <c r="B51" s="277">
        <v>470</v>
      </c>
      <c r="C51" s="277">
        <v>360</v>
      </c>
      <c r="D51" s="277">
        <v>287</v>
      </c>
      <c r="E51" s="149">
        <f t="shared" si="170"/>
        <v>0.76595744680851063</v>
      </c>
      <c r="F51" s="149">
        <f t="shared" si="171"/>
        <v>0.79722222222222228</v>
      </c>
      <c r="G51" s="149">
        <f t="shared" si="172"/>
        <v>0.61063829787234047</v>
      </c>
      <c r="H51" s="285">
        <v>0.19800000000000001</v>
      </c>
      <c r="I51" s="287">
        <v>0</v>
      </c>
      <c r="J51" s="150">
        <v>3.3000000000000002E-2</v>
      </c>
      <c r="K51" s="149">
        <f t="shared" si="173"/>
        <v>0.98765166557302531</v>
      </c>
      <c r="L51" s="149">
        <f t="shared" si="174"/>
        <v>0.79722222222222217</v>
      </c>
      <c r="M51" s="149">
        <f t="shared" si="175"/>
        <v>0.78737785560960627</v>
      </c>
      <c r="N51" s="151">
        <f t="shared" si="176"/>
        <v>0.99586682895726863</v>
      </c>
      <c r="O51" s="149">
        <f t="shared" si="177"/>
        <v>0.94491958162159218</v>
      </c>
      <c r="P51" s="150">
        <f t="shared" si="178"/>
        <v>0.96642694061319945</v>
      </c>
      <c r="Q51" s="299">
        <v>2011</v>
      </c>
      <c r="R51" s="152">
        <f t="shared" si="179"/>
        <v>1.2348334426974694E-2</v>
      </c>
      <c r="S51" s="153">
        <f t="shared" si="180"/>
        <v>0.20277777777777783</v>
      </c>
      <c r="T51" s="154">
        <f t="shared" si="181"/>
        <v>0.21262214439039373</v>
      </c>
      <c r="U51" s="152">
        <f t="shared" si="182"/>
        <v>4.133171042731365E-3</v>
      </c>
      <c r="V51" s="153">
        <f t="shared" si="183"/>
        <v>5.5080418378407825E-2</v>
      </c>
      <c r="W51" s="154">
        <f t="shared" si="184"/>
        <v>3.3573059386800552E-2</v>
      </c>
      <c r="X51" s="283">
        <f t="shared" si="185"/>
        <v>360</v>
      </c>
      <c r="Y51" s="283">
        <f t="shared" si="186"/>
        <v>470</v>
      </c>
      <c r="Z51" s="283">
        <f t="shared" si="156"/>
        <v>0.76595744680851063</v>
      </c>
      <c r="AA51" s="283">
        <f t="shared" si="148"/>
        <v>0.81291089161865171</v>
      </c>
      <c r="AB51" s="283">
        <f t="shared" si="157"/>
        <v>1.2461556056798462</v>
      </c>
      <c r="AC51" s="436">
        <f t="shared" si="158"/>
        <v>0.7250078738675001</v>
      </c>
      <c r="AD51" s="436">
        <f t="shared" si="159"/>
        <v>0.80352307196827422</v>
      </c>
      <c r="AE51" s="283">
        <f t="shared" si="187"/>
        <v>287</v>
      </c>
      <c r="AF51" s="283">
        <f t="shared" si="188"/>
        <v>360</v>
      </c>
      <c r="AG51" s="283">
        <f t="shared" si="160"/>
        <v>0.79722222222222228</v>
      </c>
      <c r="AH51" s="283">
        <f t="shared" si="151"/>
        <v>0.78152818535238189</v>
      </c>
      <c r="AI51" s="283">
        <f t="shared" si="161"/>
        <v>1.3068481322483338</v>
      </c>
      <c r="AJ51" s="436">
        <f t="shared" si="162"/>
        <v>0.7519264164157865</v>
      </c>
      <c r="AK51" s="436">
        <f t="shared" si="163"/>
        <v>0.83755116601793622</v>
      </c>
      <c r="AL51" s="283">
        <f t="shared" si="189"/>
        <v>287</v>
      </c>
      <c r="AM51" s="283">
        <f t="shared" si="190"/>
        <v>470</v>
      </c>
      <c r="AN51" s="283">
        <f t="shared" si="164"/>
        <v>0.61063829787234047</v>
      </c>
      <c r="AO51" s="283">
        <f t="shared" si="154"/>
        <v>0.83240051636591617</v>
      </c>
      <c r="AP51" s="283">
        <f t="shared" si="165"/>
        <v>1.2061965742321259</v>
      </c>
      <c r="AQ51" s="436">
        <f t="shared" si="166"/>
        <v>0.56490787980328805</v>
      </c>
      <c r="AR51" s="436">
        <f t="shared" si="167"/>
        <v>0.65496736635290809</v>
      </c>
    </row>
    <row r="52" spans="1:44" ht="15.75" customHeight="1">
      <c r="A52" s="201">
        <v>2012</v>
      </c>
      <c r="B52" s="277">
        <v>500</v>
      </c>
      <c r="C52" s="277">
        <v>382</v>
      </c>
      <c r="D52" s="277">
        <v>301</v>
      </c>
      <c r="E52" s="149">
        <f t="shared" si="170"/>
        <v>0.76400000000000001</v>
      </c>
      <c r="F52" s="149">
        <f t="shared" si="171"/>
        <v>0.78795811518324599</v>
      </c>
      <c r="G52" s="149">
        <f t="shared" si="172"/>
        <v>0.60199999999999998</v>
      </c>
      <c r="H52" s="285">
        <v>0.20899999999999999</v>
      </c>
      <c r="I52" s="287"/>
      <c r="J52" s="150">
        <v>3.3000000000000002E-2</v>
      </c>
      <c r="K52" s="149">
        <f t="shared" si="173"/>
        <v>0.99882729308652007</v>
      </c>
      <c r="L52" s="149">
        <f t="shared" si="174"/>
        <v>0.78795811518324599</v>
      </c>
      <c r="M52" s="149">
        <f t="shared" si="175"/>
        <v>0.78703407125403801</v>
      </c>
      <c r="N52" s="151">
        <f t="shared" si="176"/>
        <v>0.99960894479126439</v>
      </c>
      <c r="O52" s="149">
        <f t="shared" si="177"/>
        <v>0.94216243217449969</v>
      </c>
      <c r="P52" s="150">
        <f t="shared" si="178"/>
        <v>0.96636664923911864</v>
      </c>
      <c r="Q52" s="201">
        <v>2012</v>
      </c>
      <c r="R52" s="152">
        <f t="shared" si="179"/>
        <v>1.1727069134799262E-3</v>
      </c>
      <c r="S52" s="153">
        <f t="shared" si="180"/>
        <v>0.21204188481675401</v>
      </c>
      <c r="T52" s="154">
        <f t="shared" si="181"/>
        <v>0.21296592874596199</v>
      </c>
      <c r="U52" s="152">
        <f t="shared" si="182"/>
        <v>3.9105520873561339E-4</v>
      </c>
      <c r="V52" s="153">
        <f t="shared" si="183"/>
        <v>5.7837567825500313E-2</v>
      </c>
      <c r="W52" s="154">
        <f t="shared" si="184"/>
        <v>3.3633350760881364E-2</v>
      </c>
      <c r="X52" s="283">
        <f t="shared" si="185"/>
        <v>382</v>
      </c>
      <c r="Y52" s="283">
        <f t="shared" si="186"/>
        <v>500</v>
      </c>
      <c r="Z52" s="283">
        <f t="shared" si="156"/>
        <v>0.76400000000000001</v>
      </c>
      <c r="AA52" s="283">
        <f t="shared" si="148"/>
        <v>0.81832082674864814</v>
      </c>
      <c r="AB52" s="283">
        <f t="shared" si="157"/>
        <v>1.2367378350723708</v>
      </c>
      <c r="AC52" s="436">
        <f t="shared" si="158"/>
        <v>0.72428081976672454</v>
      </c>
      <c r="AD52" s="436">
        <f t="shared" si="159"/>
        <v>0.80056470301502292</v>
      </c>
      <c r="AE52" s="283">
        <f t="shared" si="187"/>
        <v>301</v>
      </c>
      <c r="AF52" s="283">
        <f t="shared" si="188"/>
        <v>382</v>
      </c>
      <c r="AG52" s="283">
        <f t="shared" si="160"/>
        <v>0.7879581151832461</v>
      </c>
      <c r="AH52" s="283">
        <f t="shared" si="151"/>
        <v>0.7896634423613359</v>
      </c>
      <c r="AI52" s="283">
        <f t="shared" si="161"/>
        <v>1.2901459497445946</v>
      </c>
      <c r="AJ52" s="436">
        <f t="shared" si="162"/>
        <v>0.74350047096651306</v>
      </c>
      <c r="AK52" s="436">
        <f t="shared" si="163"/>
        <v>0.82788810860077056</v>
      </c>
      <c r="AL52" s="283">
        <f t="shared" si="189"/>
        <v>301</v>
      </c>
      <c r="AM52" s="283">
        <f t="shared" si="190"/>
        <v>500</v>
      </c>
      <c r="AN52" s="283">
        <f t="shared" si="164"/>
        <v>0.60199999999999998</v>
      </c>
      <c r="AO52" s="283">
        <f t="shared" si="154"/>
        <v>0.83745959577913498</v>
      </c>
      <c r="AP52" s="283">
        <f t="shared" si="165"/>
        <v>1.1982276011727291</v>
      </c>
      <c r="AQ52" s="436">
        <f t="shared" si="166"/>
        <v>0.55759586280678919</v>
      </c>
      <c r="AR52" s="436">
        <f t="shared" si="167"/>
        <v>0.64519074317735914</v>
      </c>
    </row>
    <row r="53" spans="1:44" ht="15.75" customHeight="1">
      <c r="A53" s="201">
        <v>2013</v>
      </c>
      <c r="B53" s="277">
        <v>457</v>
      </c>
      <c r="C53" s="277">
        <v>301</v>
      </c>
      <c r="D53" s="277">
        <v>236</v>
      </c>
      <c r="E53" s="149">
        <f t="shared" si="170"/>
        <v>0.65864332603938736</v>
      </c>
      <c r="F53" s="149">
        <f t="shared" si="171"/>
        <v>0.78405315614617932</v>
      </c>
      <c r="G53" s="149">
        <f t="shared" si="172"/>
        <v>0.51641137855579866</v>
      </c>
      <c r="H53" s="285">
        <v>0.21099999999999999</v>
      </c>
      <c r="I53" s="287"/>
      <c r="J53" s="150">
        <v>3.3000000000000002E-2</v>
      </c>
      <c r="K53" s="149">
        <f t="shared" si="173"/>
        <v>0.86327033688316124</v>
      </c>
      <c r="L53" s="149">
        <f t="shared" si="174"/>
        <v>0.78405315614617932</v>
      </c>
      <c r="M53" s="149">
        <f t="shared" si="175"/>
        <v>0.67684983224061801</v>
      </c>
      <c r="N53" s="151">
        <f t="shared" si="176"/>
        <v>0.95217243807640239</v>
      </c>
      <c r="O53" s="149">
        <f t="shared" si="177"/>
        <v>0.94099296554874368</v>
      </c>
      <c r="P53" s="150">
        <f t="shared" si="178"/>
        <v>0.94576800510041426</v>
      </c>
      <c r="Q53" s="299">
        <v>2013</v>
      </c>
      <c r="R53" s="152">
        <f t="shared" si="179"/>
        <v>0.13672966311683876</v>
      </c>
      <c r="S53" s="153">
        <f t="shared" si="180"/>
        <v>0.21594684385382068</v>
      </c>
      <c r="T53" s="154">
        <f t="shared" si="181"/>
        <v>0.32315016775938199</v>
      </c>
      <c r="U53" s="152">
        <f t="shared" si="182"/>
        <v>4.7827561923597606E-2</v>
      </c>
      <c r="V53" s="153">
        <f t="shared" si="183"/>
        <v>5.9007034451256324E-2</v>
      </c>
      <c r="W53" s="154">
        <f t="shared" si="184"/>
        <v>5.4231994899585745E-2</v>
      </c>
      <c r="X53" s="283">
        <f t="shared" si="185"/>
        <v>301</v>
      </c>
      <c r="Y53" s="283">
        <f t="shared" si="186"/>
        <v>457</v>
      </c>
      <c r="Z53" s="283">
        <f t="shared" si="156"/>
        <v>0.65864332603938736</v>
      </c>
      <c r="AA53" s="283">
        <f t="shared" si="148"/>
        <v>0.82674123102392127</v>
      </c>
      <c r="AB53" s="283">
        <f t="shared" si="157"/>
        <v>1.2172084256670641</v>
      </c>
      <c r="AC53" s="436">
        <f t="shared" si="158"/>
        <v>0.61315672272436228</v>
      </c>
      <c r="AD53" s="436">
        <f t="shared" si="159"/>
        <v>0.7020609046264783</v>
      </c>
      <c r="AE53" s="283">
        <f t="shared" si="187"/>
        <v>236</v>
      </c>
      <c r="AF53" s="283">
        <f t="shared" si="188"/>
        <v>301</v>
      </c>
      <c r="AG53" s="283">
        <f t="shared" si="160"/>
        <v>0.78405315614617943</v>
      </c>
      <c r="AH53" s="283">
        <f t="shared" si="151"/>
        <v>0.76861416019948425</v>
      </c>
      <c r="AI53" s="283">
        <f t="shared" si="161"/>
        <v>1.3314840618713508</v>
      </c>
      <c r="AJ53" s="436">
        <f t="shared" si="162"/>
        <v>0.73321793452188277</v>
      </c>
      <c r="AK53" s="436">
        <f t="shared" si="163"/>
        <v>0.82919984820051773</v>
      </c>
      <c r="AL53" s="283">
        <f t="shared" si="189"/>
        <v>236</v>
      </c>
      <c r="AM53" s="283">
        <f t="shared" si="190"/>
        <v>457</v>
      </c>
      <c r="AN53" s="283">
        <f t="shared" si="164"/>
        <v>0.51641137855579866</v>
      </c>
      <c r="AO53" s="283">
        <f t="shared" si="154"/>
        <v>0.83258513300660242</v>
      </c>
      <c r="AP53" s="283">
        <f t="shared" si="165"/>
        <v>1.2017813835515663</v>
      </c>
      <c r="AQ53" s="436">
        <f t="shared" si="166"/>
        <v>0.46952149031087154</v>
      </c>
      <c r="AR53" s="436">
        <f t="shared" si="167"/>
        <v>0.56308757249901564</v>
      </c>
    </row>
    <row r="54" spans="1:44" ht="15.75" customHeight="1">
      <c r="A54" s="201">
        <v>2014</v>
      </c>
      <c r="B54" s="139">
        <v>609</v>
      </c>
      <c r="C54" s="277">
        <v>368</v>
      </c>
      <c r="D54" s="277">
        <v>313</v>
      </c>
      <c r="E54" s="149">
        <f t="shared" si="170"/>
        <v>0.60426929392446638</v>
      </c>
      <c r="F54" s="149">
        <f t="shared" si="171"/>
        <v>0.85054347826086962</v>
      </c>
      <c r="G54" s="149">
        <f t="shared" si="172"/>
        <v>0.51395730706075538</v>
      </c>
      <c r="H54" s="285">
        <v>0.22600000000000001</v>
      </c>
      <c r="I54" s="287"/>
      <c r="J54" s="150">
        <v>3.3000000000000002E-2</v>
      </c>
      <c r="K54" s="149">
        <f t="shared" si="173"/>
        <v>0.80735230824504034</v>
      </c>
      <c r="L54" s="149">
        <f t="shared" si="174"/>
        <v>0.85054347826086951</v>
      </c>
      <c r="M54" s="149">
        <f t="shared" si="175"/>
        <v>0.68668824043667831</v>
      </c>
      <c r="N54" s="151">
        <f t="shared" si="176"/>
        <v>0.93115296484658205</v>
      </c>
      <c r="O54" s="149">
        <f t="shared" si="177"/>
        <v>0.96033803480891078</v>
      </c>
      <c r="P54" s="150">
        <f t="shared" si="178"/>
        <v>0.94771977860972778</v>
      </c>
      <c r="Q54" s="201">
        <v>2014</v>
      </c>
      <c r="R54" s="152">
        <f t="shared" si="179"/>
        <v>0.19264769175495966</v>
      </c>
      <c r="S54" s="153">
        <f t="shared" si="180"/>
        <v>0.14945652173913049</v>
      </c>
      <c r="T54" s="154">
        <f t="shared" si="181"/>
        <v>0.31331175956332169</v>
      </c>
      <c r="U54" s="152">
        <f t="shared" si="182"/>
        <v>6.8847035153417946E-2</v>
      </c>
      <c r="V54" s="153">
        <f t="shared" si="183"/>
        <v>3.9661965191089221E-2</v>
      </c>
      <c r="W54" s="154">
        <f t="shared" si="184"/>
        <v>5.2280221390272219E-2</v>
      </c>
      <c r="X54" s="283">
        <f t="shared" si="185"/>
        <v>368</v>
      </c>
      <c r="Y54" s="283">
        <f t="shared" si="186"/>
        <v>609</v>
      </c>
      <c r="Z54" s="283">
        <f t="shared" ref="Z54" si="191">X54/Y54</f>
        <v>0.60426929392446638</v>
      </c>
      <c r="AA54" s="283">
        <f t="shared" ref="AA54" si="192">_xlfn.F.INV(0.05/2, 2*X54, 2*(Y54-X54+1))</f>
        <v>0.85129631509346437</v>
      </c>
      <c r="AB54" s="283">
        <f t="shared" ref="AB54" si="193">_xlfn.F.INV(1-0.05/2, 2*(X54+1), 2*(Y54-X54))</f>
        <v>1.1780903123088651</v>
      </c>
      <c r="AC54" s="436">
        <f t="shared" ref="AC54" si="194">IF(X54=0, 0, 1/(1 +(Y54-X54+1)/(X54*AA54)))</f>
        <v>0.56418151509271552</v>
      </c>
      <c r="AD54" s="436">
        <f t="shared" ref="AD54" si="195">IF(X54=Y54, 1, 1/(1 + (Y54-X54)/(AB54*(X54+1))))</f>
        <v>0.64334092923865716</v>
      </c>
      <c r="AE54" s="283">
        <f t="shared" si="187"/>
        <v>313</v>
      </c>
      <c r="AF54" s="283">
        <f t="shared" si="188"/>
        <v>368</v>
      </c>
      <c r="AG54" s="283">
        <f t="shared" ref="AG54" si="196">AE54/AF54</f>
        <v>0.85054347826086951</v>
      </c>
      <c r="AH54" s="283">
        <f t="shared" ref="AH54" si="197">_xlfn.F.INV(0.05/2, 2*AE54, 2*(AF54-AE54+1))</f>
        <v>0.76247447681986702</v>
      </c>
      <c r="AI54" s="283">
        <f t="shared" ref="AI54" si="198">_xlfn.F.INV(1-0.05/2, 2*(AE54+1), 2*(AF54-AE54))</f>
        <v>1.353043919164711</v>
      </c>
      <c r="AJ54" s="436">
        <f t="shared" ref="AJ54" si="199">IF(AE54=0, 0, 1/(1 +(AF54-AE54+1)/(AE54*AH54)))</f>
        <v>0.80994691116909623</v>
      </c>
      <c r="AK54" s="436">
        <f t="shared" ref="AK54" si="200">IF(AE54=AF54, 1, 1/(1 + (AF54-AE54)/(AI54*(AE54+1))))</f>
        <v>0.88538223133829763</v>
      </c>
      <c r="AL54" s="283">
        <f t="shared" si="189"/>
        <v>313</v>
      </c>
      <c r="AM54" s="283">
        <f t="shared" si="190"/>
        <v>609</v>
      </c>
      <c r="AN54" s="283">
        <f t="shared" ref="AN54" si="201">AL54/AM54</f>
        <v>0.51395730706075538</v>
      </c>
      <c r="AO54" s="283">
        <f t="shared" ref="AO54" si="202">_xlfn.F.INV(0.05/2, 2*AL54, 2*(AM54-AL54+1))</f>
        <v>0.8532107514503362</v>
      </c>
      <c r="AP54" s="283">
        <f t="shared" ref="AP54" si="203">_xlfn.F.INV(1-0.05/2, 2*(AL54+1), 2*(AM54-AL54))</f>
        <v>1.1724785878746355</v>
      </c>
      <c r="AQ54" s="436">
        <f t="shared" ref="AQ54" si="204">IF(AL54=0, 0, 1/(1 +(AM54-AL54+1)/(AL54*AO54)))</f>
        <v>0.47345557025172458</v>
      </c>
      <c r="AR54" s="436">
        <f t="shared" ref="AR54" si="205">IF(AL54=AM54, 1, 1/(1 + (AM54-AL54)/(AP54*(AL54+1))))</f>
        <v>0.55432310274203977</v>
      </c>
    </row>
    <row r="55" spans="1:44" ht="15.75" customHeight="1">
      <c r="A55" s="201">
        <v>2015</v>
      </c>
      <c r="B55">
        <v>716</v>
      </c>
      <c r="C55">
        <v>472</v>
      </c>
      <c r="D55">
        <v>445</v>
      </c>
      <c r="E55" s="149">
        <f t="shared" si="170"/>
        <v>0.65921787709497204</v>
      </c>
      <c r="F55" s="149">
        <f t="shared" si="171"/>
        <v>0.94279661016949157</v>
      </c>
      <c r="G55" s="149">
        <f t="shared" si="172"/>
        <v>0.62150837988826813</v>
      </c>
      <c r="H55" s="285">
        <v>0.315</v>
      </c>
      <c r="I55" s="287"/>
      <c r="J55" s="150">
        <v>3.3000000000000002E-2</v>
      </c>
      <c r="K55" s="149">
        <f t="shared" si="173"/>
        <v>0.99520358259795438</v>
      </c>
      <c r="L55" s="149">
        <f t="shared" si="174"/>
        <v>0.94279661016949146</v>
      </c>
      <c r="M55" s="149">
        <f t="shared" si="175"/>
        <v>0.93827456410188492</v>
      </c>
      <c r="N55" s="151">
        <f t="shared" si="176"/>
        <v>0.99839863118608041</v>
      </c>
      <c r="O55" s="149">
        <f t="shared" si="177"/>
        <v>0.98538172397287394</v>
      </c>
      <c r="P55" s="150">
        <f t="shared" si="178"/>
        <v>0.99093948742633398</v>
      </c>
      <c r="Q55" s="299">
        <v>2015</v>
      </c>
      <c r="R55" s="152">
        <f t="shared" si="179"/>
        <v>4.7964174020456163E-3</v>
      </c>
      <c r="S55" s="153">
        <f t="shared" si="180"/>
        <v>5.7203389830508544E-2</v>
      </c>
      <c r="T55" s="154">
        <f t="shared" si="181"/>
        <v>6.1725435898115077E-2</v>
      </c>
      <c r="U55" s="152">
        <f t="shared" si="182"/>
        <v>1.6013688139195903E-3</v>
      </c>
      <c r="V55" s="153">
        <f t="shared" si="183"/>
        <v>1.4618276027126065E-2</v>
      </c>
      <c r="W55" s="154">
        <f t="shared" si="184"/>
        <v>9.0605125736660241E-3</v>
      </c>
      <c r="X55" s="283">
        <f t="shared" si="185"/>
        <v>472</v>
      </c>
      <c r="Y55" s="283">
        <f t="shared" si="186"/>
        <v>716</v>
      </c>
      <c r="Z55" s="283">
        <f t="shared" ref="Z55:Z66" si="206">X55/Y55</f>
        <v>0.65921787709497204</v>
      </c>
      <c r="AA55" s="283">
        <f t="shared" ref="AA55:AA66" si="207">_xlfn.F.INV(0.05/2, 2*X55, 2*(Y55-X55+1))</f>
        <v>0.85850436135077668</v>
      </c>
      <c r="AB55" s="283">
        <f t="shared" ref="AB55:AB66" si="208">_xlfn.F.INV(1-0.05/2, 2*(X55+1), 2*(Y55-X55))</f>
        <v>1.1694870267196151</v>
      </c>
      <c r="AC55" s="436">
        <f t="shared" ref="AC55:AC66" si="209">IF(X55=0, 0, 1/(1 +(Y55-X55+1)/(X55*AA55)))</f>
        <v>0.62320101084324842</v>
      </c>
      <c r="AD55" s="436">
        <f t="shared" ref="AD55:AD66" si="210">IF(X55=Y55, 1, 1/(1 + (Y55-X55)/(AB55*(X55+1))))</f>
        <v>0.69391621994363706</v>
      </c>
      <c r="AE55" s="283">
        <f t="shared" si="187"/>
        <v>445</v>
      </c>
      <c r="AF55" s="283">
        <f t="shared" si="188"/>
        <v>472</v>
      </c>
      <c r="AG55" s="283">
        <f t="shared" ref="AG55:AG66" si="211">AE55/AF55</f>
        <v>0.94279661016949157</v>
      </c>
      <c r="AH55" s="283">
        <f t="shared" ref="AH55:AH66" si="212">_xlfn.F.INV(0.05/2, 2*AE55, 2*(AF55-AE55+1))</f>
        <v>0.70310944449255874</v>
      </c>
      <c r="AI55" s="283">
        <f t="shared" ref="AI55:AI66" si="213">_xlfn.F.INV(1-0.05/2, 2*(AE55+1), 2*(AF55-AE55))</f>
        <v>1.5312251184045418</v>
      </c>
      <c r="AJ55" s="436">
        <f t="shared" ref="AJ55:AJ66" si="214">IF(AE55=0, 0, 1/(1 +(AF55-AE55+1)/(AE55*AH55)))</f>
        <v>0.91786054959484364</v>
      </c>
      <c r="AK55" s="436">
        <f t="shared" ref="AK55:AK66" si="215">IF(AE55=AF55, 1, 1/(1 + (AF55-AE55)/(AI55*(AE55+1))))</f>
        <v>0.96196788865269744</v>
      </c>
      <c r="AL55" s="283">
        <f t="shared" si="189"/>
        <v>445</v>
      </c>
      <c r="AM55" s="283">
        <f t="shared" si="190"/>
        <v>716</v>
      </c>
      <c r="AN55" s="283">
        <f t="shared" ref="AN55:AN66" si="216">AL55/AM55</f>
        <v>0.62150837988826813</v>
      </c>
      <c r="AO55" s="283">
        <f t="shared" ref="AO55:AO66" si="217">_xlfn.F.INV(0.05/2, 2*AL55, 2*(AM55-AL55+1))</f>
        <v>0.86106219188048527</v>
      </c>
      <c r="AP55" s="283">
        <f t="shared" ref="AP55:AP66" si="218">_xlfn.F.INV(1-0.05/2, 2*(AL55+1), 2*(AM55-AL55))</f>
        <v>1.164745613695171</v>
      </c>
      <c r="AQ55" s="436">
        <f t="shared" ref="AQ55:AQ66" si="219">IF(AL55=0, 0, 1/(1 +(AM55-AL55+1)/(AL55*AO55)))</f>
        <v>0.58484227102509989</v>
      </c>
      <c r="AR55" s="436">
        <f t="shared" ref="AR55:AR66" si="220">IF(AL55=AM55, 1, 1/(1 + (AM55-AL55)/(AP55*(AL55+1))))</f>
        <v>0.65716882789618769</v>
      </c>
    </row>
    <row r="56" spans="1:44" ht="15.75" customHeight="1">
      <c r="A56" s="201">
        <v>2016</v>
      </c>
      <c r="B56">
        <v>76</v>
      </c>
      <c r="C56">
        <v>53</v>
      </c>
      <c r="D56">
        <v>45</v>
      </c>
      <c r="E56" s="149">
        <f t="shared" si="170"/>
        <v>0.69736842105263153</v>
      </c>
      <c r="F56" s="149">
        <f t="shared" si="171"/>
        <v>0.84905660377358494</v>
      </c>
      <c r="G56" s="149">
        <f t="shared" si="172"/>
        <v>0.59210526315789469</v>
      </c>
      <c r="H56" s="285">
        <f>H24</f>
        <v>0.23200000000000001</v>
      </c>
      <c r="I56" s="287"/>
      <c r="J56" s="150">
        <v>3.3000000000000002E-2</v>
      </c>
      <c r="K56" s="149">
        <f t="shared" si="173"/>
        <v>0.93901943975761526</v>
      </c>
      <c r="L56" s="149">
        <f t="shared" si="174"/>
        <v>0.84905660377358494</v>
      </c>
      <c r="M56" s="149">
        <f t="shared" si="175"/>
        <v>0.7972806563979753</v>
      </c>
      <c r="N56" s="151">
        <f t="shared" si="176"/>
        <v>0.97924537205509599</v>
      </c>
      <c r="O56" s="149">
        <f t="shared" si="177"/>
        <v>0.95991805652926787</v>
      </c>
      <c r="P56" s="150">
        <f t="shared" si="178"/>
        <v>0.9681540377577158</v>
      </c>
      <c r="Q56" s="201">
        <v>2016</v>
      </c>
      <c r="R56" s="152">
        <f t="shared" si="179"/>
        <v>6.098056024238474E-2</v>
      </c>
      <c r="S56" s="153">
        <f t="shared" si="180"/>
        <v>0.15094339622641506</v>
      </c>
      <c r="T56" s="154">
        <f t="shared" si="181"/>
        <v>0.2027193436020247</v>
      </c>
      <c r="U56" s="152">
        <f t="shared" si="182"/>
        <v>2.0754627944904014E-2</v>
      </c>
      <c r="V56" s="153">
        <f t="shared" si="183"/>
        <v>4.0081943470732129E-2</v>
      </c>
      <c r="W56" s="154">
        <f t="shared" si="184"/>
        <v>3.1845962242284198E-2</v>
      </c>
      <c r="X56" s="283">
        <f t="shared" si="185"/>
        <v>53</v>
      </c>
      <c r="Y56" s="283">
        <f t="shared" si="186"/>
        <v>76</v>
      </c>
      <c r="Z56" s="283">
        <f t="shared" ref="Z56" si="221">X56/Y56</f>
        <v>0.69736842105263153</v>
      </c>
      <c r="AA56" s="283">
        <f t="shared" ref="AA56" si="222">_xlfn.F.INV(0.05/2, 2*X56, 2*(Y56-X56+1))</f>
        <v>0.62856252485693698</v>
      </c>
      <c r="AB56" s="283">
        <f t="shared" ref="AB56" si="223">_xlfn.F.INV(1-0.05/2, 2*(X56+1), 2*(Y56-X56))</f>
        <v>1.6778875313747494</v>
      </c>
      <c r="AC56" s="436">
        <f t="shared" ref="AC56" si="224">IF(X56=0, 0, 1/(1 +(Y56-X56+1)/(X56*AA56)))</f>
        <v>0.58125278355309162</v>
      </c>
      <c r="AD56" s="436">
        <f t="shared" ref="AD56" si="225">IF(X56=Y56, 1, 1/(1 + (Y56-X56)/(AB56*(X56+1))))</f>
        <v>0.79754577362937129</v>
      </c>
      <c r="AE56" s="283">
        <f t="shared" si="187"/>
        <v>45</v>
      </c>
      <c r="AF56" s="283">
        <f t="shared" si="188"/>
        <v>53</v>
      </c>
      <c r="AG56" s="283">
        <f t="shared" ref="AG56" si="226">AE56/AF56</f>
        <v>0.84905660377358494</v>
      </c>
      <c r="AH56" s="283">
        <f t="shared" ref="AH56" si="227">_xlfn.F.INV(0.05/2, 2*AE56, 2*(AF56-AE56+1))</f>
        <v>0.52484468510229032</v>
      </c>
      <c r="AI56" s="283">
        <f t="shared" ref="AI56" si="228">_xlfn.F.INV(1-0.05/2, 2*(AE56+1), 2*(AF56-AE56))</f>
        <v>2.4028613427427485</v>
      </c>
      <c r="AJ56" s="436">
        <f t="shared" ref="AJ56" si="229">IF(AE56=0, 0, 1/(1 +(AF56-AE56+1)/(AE56*AH56)))</f>
        <v>0.72407882114528321</v>
      </c>
      <c r="AK56" s="436">
        <f t="shared" ref="AK56" si="230">IF(AE56=AF56, 1, 1/(1 + (AF56-AE56)/(AI56*(AE56+1))))</f>
        <v>0.9325074618840361</v>
      </c>
      <c r="AL56" s="283">
        <f t="shared" si="189"/>
        <v>45</v>
      </c>
      <c r="AM56" s="283">
        <f t="shared" si="190"/>
        <v>76</v>
      </c>
      <c r="AN56" s="283">
        <f t="shared" ref="AN56" si="231">AL56/AM56</f>
        <v>0.59210526315789469</v>
      </c>
      <c r="AO56" s="283">
        <f t="shared" ref="AO56" si="232">_xlfn.F.INV(0.05/2, 2*AL56, 2*(AM56-AL56+1))</f>
        <v>0.63899216435869122</v>
      </c>
      <c r="AP56" s="283">
        <f t="shared" ref="AP56" si="233">_xlfn.F.INV(1-0.05/2, 2*(AL56+1), 2*(AM56-AL56))</f>
        <v>1.5990994001689587</v>
      </c>
      <c r="AQ56" s="436">
        <f t="shared" ref="AQ56" si="234">IF(AL56=0, 0, 1/(1 +(AM56-AL56+1)/(AL56*AO56)))</f>
        <v>0.47329132220373127</v>
      </c>
      <c r="AR56" s="436">
        <f t="shared" ref="AR56" si="235">IF(AL56=AM56, 1, 1/(1 + (AM56-AL56)/(AP56*(AL56+1))))</f>
        <v>0.70351546232764273</v>
      </c>
    </row>
    <row r="57" spans="1:44" ht="15.75" customHeight="1">
      <c r="A57" s="201">
        <v>2017</v>
      </c>
      <c r="B57">
        <v>32</v>
      </c>
      <c r="C57">
        <v>22</v>
      </c>
      <c r="D57">
        <v>21</v>
      </c>
      <c r="E57" s="149">
        <f t="shared" si="170"/>
        <v>0.6875</v>
      </c>
      <c r="F57" s="149">
        <f t="shared" si="171"/>
        <v>0.95454545454545459</v>
      </c>
      <c r="G57" s="149">
        <f t="shared" si="172"/>
        <v>0.65625</v>
      </c>
      <c r="H57" s="285">
        <v>0.26300000000000001</v>
      </c>
      <c r="I57" s="287"/>
      <c r="J57" s="150">
        <v>3.3000000000000002E-2</v>
      </c>
      <c r="K57" s="149">
        <f t="shared" si="173"/>
        <v>0.96466992853725175</v>
      </c>
      <c r="L57" s="149">
        <f t="shared" si="174"/>
        <v>0.95454545454545459</v>
      </c>
      <c r="M57" s="149">
        <f t="shared" si="175"/>
        <v>0.92082129542192215</v>
      </c>
      <c r="N57" s="151">
        <f t="shared" si="176"/>
        <v>0.98808183105798775</v>
      </c>
      <c r="O57" s="149">
        <f t="shared" si="177"/>
        <v>0.98843736317401232</v>
      </c>
      <c r="P57" s="150">
        <f t="shared" si="178"/>
        <v>0.98828497660520565</v>
      </c>
      <c r="Q57" s="299">
        <v>2017</v>
      </c>
      <c r="R57" s="152">
        <f t="shared" si="179"/>
        <v>3.5330071462748247E-2</v>
      </c>
      <c r="S57" s="153">
        <f t="shared" si="180"/>
        <v>4.5454545454545414E-2</v>
      </c>
      <c r="T57" s="154">
        <f t="shared" si="181"/>
        <v>7.9178704578077852E-2</v>
      </c>
      <c r="U57" s="152">
        <f t="shared" si="182"/>
        <v>1.1918168942012253E-2</v>
      </c>
      <c r="V57" s="153">
        <f t="shared" si="183"/>
        <v>1.1562636825987682E-2</v>
      </c>
      <c r="W57" s="154">
        <f t="shared" si="184"/>
        <v>1.1715023394794355E-2</v>
      </c>
      <c r="X57" s="283">
        <f t="shared" si="185"/>
        <v>22</v>
      </c>
      <c r="Y57" s="283">
        <f t="shared" si="186"/>
        <v>32</v>
      </c>
      <c r="Z57" s="283">
        <f t="shared" ref="Z57:Z60" si="236">X57/Y57</f>
        <v>0.6875</v>
      </c>
      <c r="AA57" s="283">
        <f t="shared" ref="AA57:AA60" si="237">_xlfn.F.INV(0.05/2, 2*X57, 2*(Y57-X57+1))</f>
        <v>0.49984486080756463</v>
      </c>
      <c r="AB57" s="283">
        <f t="shared" ref="AB57:AB60" si="238">_xlfn.F.INV(1-0.05/2, 2*(X57+1), 2*(Y57-X57))</f>
        <v>2.2626355936504847</v>
      </c>
      <c r="AC57" s="436">
        <f t="shared" ref="AC57:AC60" si="239">IF(X57=0, 0, 1/(1 +(Y57-X57+1)/(X57*AA57)))</f>
        <v>0.49992241836783052</v>
      </c>
      <c r="AD57" s="436">
        <f t="shared" ref="AD57:AD60" si="240">IF(X57=Y57, 1, 1/(1 + (Y57-X57)/(AB57*(X57+1))))</f>
        <v>0.83881527591179939</v>
      </c>
      <c r="AE57" s="283">
        <f t="shared" si="187"/>
        <v>21</v>
      </c>
      <c r="AF57" s="283">
        <f t="shared" si="188"/>
        <v>22</v>
      </c>
      <c r="AG57" s="283">
        <f t="shared" ref="AG57:AG60" si="241">AE57/AF57</f>
        <v>0.95454545454545459</v>
      </c>
      <c r="AH57" s="283">
        <f t="shared" ref="AH57:AH60" si="242">_xlfn.F.INV(0.05/2, 2*AE57, 2*(AF57-AE57+1))</f>
        <v>0.32166026694743005</v>
      </c>
      <c r="AI57" s="283">
        <f t="shared" ref="AI57:AI60" si="243">_xlfn.F.INV(1-0.05/2, 2*(AE57+1), 2*(AF57-AE57))</f>
        <v>39.475167291606525</v>
      </c>
      <c r="AJ57" s="436">
        <f t="shared" ref="AJ57:AJ60" si="244">IF(AE57=0, 0, 1/(1 +(AF57-AE57+1)/(AE57*AH57)))</f>
        <v>0.77155560233236642</v>
      </c>
      <c r="AK57" s="436">
        <f t="shared" ref="AK57:AK60" si="245">IF(AE57=AF57, 1, 1/(1 + (AF57-AE57)/(AI57*(AE57+1))))</f>
        <v>0.99884985247342639</v>
      </c>
      <c r="AL57" s="283">
        <f t="shared" si="189"/>
        <v>21</v>
      </c>
      <c r="AM57" s="283">
        <f t="shared" si="190"/>
        <v>32</v>
      </c>
      <c r="AN57" s="283">
        <f t="shared" ref="AN57:AN60" si="246">AL57/AM57</f>
        <v>0.65625</v>
      </c>
      <c r="AO57" s="283">
        <f t="shared" ref="AO57:AO60" si="247">_xlfn.F.INV(0.05/2, 2*AL57, 2*(AM57-AL57+1))</f>
        <v>0.50282454120141229</v>
      </c>
      <c r="AP57" s="283">
        <f t="shared" ref="AP57:AP60" si="248">_xlfn.F.INV(1-0.05/2, 2*(AL57+1), 2*(AM57-AL57))</f>
        <v>2.1922380212965469</v>
      </c>
      <c r="AQ57" s="436">
        <f t="shared" ref="AQ57:AQ60" si="249">IF(AL57=0, 0, 1/(1 +(AM57-AL57+1)/(AL57*AO57)))</f>
        <v>0.46806896371973139</v>
      </c>
      <c r="AR57" s="436">
        <f t="shared" ref="AR57:AR60" si="250">IF(AL57=AM57, 1, 1/(1 + (AM57-AL57)/(AP57*(AL57+1))))</f>
        <v>0.8142809082834338</v>
      </c>
    </row>
    <row r="58" spans="1:44" ht="15.75" customHeight="1">
      <c r="A58" s="201">
        <v>2018</v>
      </c>
      <c r="B58">
        <v>56</v>
      </c>
      <c r="C58">
        <v>40</v>
      </c>
      <c r="D58">
        <v>35</v>
      </c>
      <c r="E58" s="149">
        <f t="shared" si="170"/>
        <v>0.7142857142857143</v>
      </c>
      <c r="F58" s="149">
        <f t="shared" si="171"/>
        <v>0.875</v>
      </c>
      <c r="G58" s="149">
        <f t="shared" si="172"/>
        <v>0.625</v>
      </c>
      <c r="H58" s="285">
        <f>H26</f>
        <v>0.29570000000000002</v>
      </c>
      <c r="I58" s="287"/>
      <c r="J58" s="150">
        <v>3.3000000000000002E-2</v>
      </c>
      <c r="K58" s="149">
        <f t="shared" si="173"/>
        <v>1.048788222745922</v>
      </c>
      <c r="L58" s="149">
        <f t="shared" si="174"/>
        <v>0.875</v>
      </c>
      <c r="M58" s="149">
        <f t="shared" si="175"/>
        <v>0.91768969490268171</v>
      </c>
      <c r="N58" s="151">
        <f t="shared" si="176"/>
        <v>1.0160052075787607</v>
      </c>
      <c r="O58" s="149">
        <f t="shared" si="177"/>
        <v>0.96716821013383469</v>
      </c>
      <c r="P58" s="150">
        <f t="shared" si="178"/>
        <v>0.98780412726889677</v>
      </c>
      <c r="Q58" s="201">
        <v>2018</v>
      </c>
      <c r="R58" s="152">
        <f t="shared" si="179"/>
        <v>-4.8788222745921983E-2</v>
      </c>
      <c r="S58" s="153">
        <f t="shared" si="180"/>
        <v>0.125</v>
      </c>
      <c r="T58" s="154">
        <f t="shared" si="181"/>
        <v>8.2310305097318293E-2</v>
      </c>
      <c r="U58" s="152">
        <f t="shared" si="182"/>
        <v>-1.6005207578760672E-2</v>
      </c>
      <c r="V58" s="153">
        <f t="shared" si="183"/>
        <v>3.2831789866165306E-2</v>
      </c>
      <c r="W58" s="154">
        <f t="shared" si="184"/>
        <v>1.219587273110323E-2</v>
      </c>
      <c r="X58" s="283">
        <f t="shared" si="185"/>
        <v>40</v>
      </c>
      <c r="Y58" s="283">
        <f t="shared" si="186"/>
        <v>56</v>
      </c>
      <c r="Z58" s="283">
        <f t="shared" si="236"/>
        <v>0.7142857142857143</v>
      </c>
      <c r="AA58" s="283">
        <f t="shared" si="237"/>
        <v>0.58187346563874442</v>
      </c>
      <c r="AB58" s="283">
        <f t="shared" si="238"/>
        <v>1.8661304263759286</v>
      </c>
      <c r="AC58" s="436">
        <f t="shared" si="239"/>
        <v>0.57790128104092331</v>
      </c>
      <c r="AD58" s="436">
        <f t="shared" si="240"/>
        <v>0.82704824396580501</v>
      </c>
      <c r="AE58" s="283">
        <f t="shared" si="187"/>
        <v>35</v>
      </c>
      <c r="AF58" s="283">
        <f t="shared" si="188"/>
        <v>40</v>
      </c>
      <c r="AG58" s="283">
        <f t="shared" si="241"/>
        <v>0.875</v>
      </c>
      <c r="AH58" s="283">
        <f t="shared" si="242"/>
        <v>0.46815172011159839</v>
      </c>
      <c r="AI58" s="283">
        <f t="shared" si="243"/>
        <v>3.1790788451984384</v>
      </c>
      <c r="AJ58" s="436">
        <f t="shared" si="244"/>
        <v>0.73196708263827959</v>
      </c>
      <c r="AK58" s="436">
        <f t="shared" si="245"/>
        <v>0.95814037386138329</v>
      </c>
      <c r="AL58" s="283">
        <f t="shared" si="189"/>
        <v>35</v>
      </c>
      <c r="AM58" s="283">
        <f t="shared" si="190"/>
        <v>56</v>
      </c>
      <c r="AN58" s="283">
        <f t="shared" si="246"/>
        <v>0.625</v>
      </c>
      <c r="AO58" s="283">
        <f t="shared" si="247"/>
        <v>0.59309023621183787</v>
      </c>
      <c r="AP58" s="283">
        <f t="shared" si="248"/>
        <v>1.7576403046016433</v>
      </c>
      <c r="AQ58" s="436">
        <f t="shared" si="249"/>
        <v>0.48547830656293645</v>
      </c>
      <c r="AR58" s="436">
        <f t="shared" si="250"/>
        <v>0.75081593236226951</v>
      </c>
    </row>
    <row r="59" spans="1:44" ht="15.75" customHeight="1">
      <c r="A59" s="201">
        <v>2019</v>
      </c>
      <c r="B59">
        <v>44</v>
      </c>
      <c r="C59">
        <v>33</v>
      </c>
      <c r="D59">
        <v>27</v>
      </c>
      <c r="E59" s="149">
        <f t="shared" si="170"/>
        <v>0.75</v>
      </c>
      <c r="F59" s="149">
        <f t="shared" si="171"/>
        <v>0.81818181818181823</v>
      </c>
      <c r="G59" s="149">
        <f t="shared" si="172"/>
        <v>0.61363636363636365</v>
      </c>
      <c r="H59" s="302">
        <v>0.29570000000000002</v>
      </c>
      <c r="I59" s="287"/>
      <c r="J59" s="150">
        <v>3.3000000000000002E-2</v>
      </c>
      <c r="K59" s="149">
        <f t="shared" si="173"/>
        <v>1.1012276338832181</v>
      </c>
      <c r="L59" s="149">
        <f t="shared" si="174"/>
        <v>0.81818181818181823</v>
      </c>
      <c r="M59" s="149">
        <f t="shared" si="175"/>
        <v>0.90100442772263301</v>
      </c>
      <c r="N59" s="151">
        <f t="shared" si="176"/>
        <v>1.0326639914879712</v>
      </c>
      <c r="O59" s="149">
        <f t="shared" si="177"/>
        <v>0.95106994155702917</v>
      </c>
      <c r="P59" s="150">
        <f t="shared" si="178"/>
        <v>0.98521818161096963</v>
      </c>
      <c r="Q59" s="299">
        <v>2019</v>
      </c>
      <c r="R59" s="152">
        <f t="shared" si="179"/>
        <v>-0.10122763388321809</v>
      </c>
      <c r="S59" s="153">
        <f t="shared" si="180"/>
        <v>0.18181818181818177</v>
      </c>
      <c r="T59" s="154">
        <f t="shared" si="181"/>
        <v>9.8995572277366994E-2</v>
      </c>
      <c r="U59" s="152">
        <f t="shared" si="182"/>
        <v>-3.2663991487971167E-2</v>
      </c>
      <c r="V59" s="153">
        <f t="shared" si="183"/>
        <v>4.8930058442970825E-2</v>
      </c>
      <c r="W59" s="154">
        <f t="shared" si="184"/>
        <v>1.4781818389030366E-2</v>
      </c>
      <c r="X59" s="283">
        <f t="shared" si="185"/>
        <v>33</v>
      </c>
      <c r="Y59" s="283">
        <f t="shared" si="186"/>
        <v>44</v>
      </c>
      <c r="Z59" s="283">
        <f t="shared" si="236"/>
        <v>0.75</v>
      </c>
      <c r="AA59" s="283">
        <f t="shared" si="237"/>
        <v>0.5378361835243296</v>
      </c>
      <c r="AB59" s="283">
        <f t="shared" si="238"/>
        <v>2.1287990563089747</v>
      </c>
      <c r="AC59" s="436">
        <f t="shared" si="239"/>
        <v>0.59661959226414119</v>
      </c>
      <c r="AD59" s="436">
        <f t="shared" si="240"/>
        <v>0.86807256206635319</v>
      </c>
      <c r="AE59" s="283">
        <f t="shared" si="187"/>
        <v>27</v>
      </c>
      <c r="AF59" s="283">
        <f t="shared" si="188"/>
        <v>33</v>
      </c>
      <c r="AG59" s="283">
        <f t="shared" si="241"/>
        <v>0.81818181818181823</v>
      </c>
      <c r="AH59" s="283">
        <f t="shared" si="242"/>
        <v>0.47187117003612689</v>
      </c>
      <c r="AI59" s="283">
        <f t="shared" si="243"/>
        <v>2.8562431945764444</v>
      </c>
      <c r="AJ59" s="436">
        <f t="shared" si="244"/>
        <v>0.64539944054973097</v>
      </c>
      <c r="AK59" s="436">
        <f t="shared" si="245"/>
        <v>0.93021211633368983</v>
      </c>
      <c r="AL59" s="283">
        <f t="shared" si="189"/>
        <v>27</v>
      </c>
      <c r="AM59" s="283">
        <f t="shared" si="190"/>
        <v>44</v>
      </c>
      <c r="AN59" s="283">
        <f t="shared" si="246"/>
        <v>0.61363636363636365</v>
      </c>
      <c r="AO59" s="283">
        <f t="shared" si="247"/>
        <v>0.55647461398557108</v>
      </c>
      <c r="AP59" s="283">
        <f t="shared" si="248"/>
        <v>1.8855235758579383</v>
      </c>
      <c r="AQ59" s="436">
        <f t="shared" si="249"/>
        <v>0.4549553046634417</v>
      </c>
      <c r="AR59" s="436">
        <f t="shared" si="250"/>
        <v>0.75642835755927895</v>
      </c>
    </row>
    <row r="60" spans="1:44" ht="15.75" customHeight="1">
      <c r="A60" s="201">
        <v>2020</v>
      </c>
      <c r="B60" s="631">
        <v>293</v>
      </c>
      <c r="C60" s="631">
        <v>218</v>
      </c>
      <c r="D60" s="631">
        <v>196</v>
      </c>
      <c r="E60" s="149">
        <f t="shared" si="170"/>
        <v>0.74402730375426618</v>
      </c>
      <c r="F60" s="149">
        <f t="shared" si="171"/>
        <v>0.89908256880733939</v>
      </c>
      <c r="G60" s="149">
        <f t="shared" si="172"/>
        <v>0.66894197952218426</v>
      </c>
      <c r="H60" s="455">
        <v>0.21199999999999999</v>
      </c>
      <c r="I60" s="287"/>
      <c r="J60" s="150">
        <v>3.3000000000000002E-2</v>
      </c>
      <c r="K60" s="149">
        <f t="shared" si="173"/>
        <v>0.9764189100130003</v>
      </c>
      <c r="L60" s="149">
        <f t="shared" si="174"/>
        <v>0.9166292444064843</v>
      </c>
      <c r="M60" s="149">
        <f>AVERAGE(M55:M59)</f>
        <v>0.89501412770941946</v>
      </c>
      <c r="N60" s="151">
        <f t="shared" si="176"/>
        <v>0.99207702898542938</v>
      </c>
      <c r="O60" s="149">
        <f t="shared" si="177"/>
        <v>0.97847205602351062</v>
      </c>
      <c r="P60" s="150">
        <f t="shared" si="178"/>
        <v>0.9842797625426456</v>
      </c>
      <c r="Q60" s="201">
        <v>2020</v>
      </c>
      <c r="R60" s="152">
        <f t="shared" si="179"/>
        <v>2.3581089986999704E-2</v>
      </c>
      <c r="S60" s="153">
        <f t="shared" si="180"/>
        <v>8.33707555935157E-2</v>
      </c>
      <c r="T60" s="154">
        <f t="shared" si="181"/>
        <v>0.10498587229058054</v>
      </c>
      <c r="U60" s="152">
        <f t="shared" si="182"/>
        <v>7.9229710145706234E-3</v>
      </c>
      <c r="V60" s="153">
        <f t="shared" si="183"/>
        <v>2.1527943976489383E-2</v>
      </c>
      <c r="W60" s="154">
        <f t="shared" si="184"/>
        <v>1.5720237457354402E-2</v>
      </c>
      <c r="X60" s="283">
        <f t="shared" si="185"/>
        <v>218</v>
      </c>
      <c r="Y60" s="283">
        <f t="shared" si="186"/>
        <v>293</v>
      </c>
      <c r="Z60" s="283">
        <f t="shared" si="236"/>
        <v>0.74402730375426618</v>
      </c>
      <c r="AA60" s="283">
        <f t="shared" si="237"/>
        <v>0.77609446501116064</v>
      </c>
      <c r="AB60" s="283">
        <f t="shared" si="238"/>
        <v>1.3120377155129035</v>
      </c>
      <c r="AC60" s="436">
        <f t="shared" si="239"/>
        <v>0.69003452014360789</v>
      </c>
      <c r="AD60" s="436">
        <f t="shared" si="240"/>
        <v>0.7930099514118446</v>
      </c>
      <c r="AE60" s="283">
        <f t="shared" si="187"/>
        <v>196</v>
      </c>
      <c r="AF60" s="283">
        <f t="shared" si="188"/>
        <v>218</v>
      </c>
      <c r="AG60" s="283">
        <f t="shared" si="241"/>
        <v>0.8990825688073395</v>
      </c>
      <c r="AH60" s="283">
        <f t="shared" si="242"/>
        <v>0.67127940511581197</v>
      </c>
      <c r="AI60" s="283">
        <f t="shared" si="243"/>
        <v>1.6242457936712551</v>
      </c>
      <c r="AJ60" s="436">
        <f t="shared" si="244"/>
        <v>0.85120083841419147</v>
      </c>
      <c r="AK60" s="436">
        <f t="shared" si="245"/>
        <v>0.93566807935780005</v>
      </c>
      <c r="AL60" s="283">
        <f t="shared" si="189"/>
        <v>196</v>
      </c>
      <c r="AM60" s="283">
        <f t="shared" si="190"/>
        <v>293</v>
      </c>
      <c r="AN60" s="283">
        <f t="shared" si="246"/>
        <v>0.66894197952218426</v>
      </c>
      <c r="AO60" s="283">
        <f t="shared" si="247"/>
        <v>0.78814805038138225</v>
      </c>
      <c r="AP60" s="283">
        <f t="shared" si="248"/>
        <v>1.2824889886191926</v>
      </c>
      <c r="AQ60" s="436">
        <f t="shared" si="249"/>
        <v>0.61184585898184229</v>
      </c>
      <c r="AR60" s="436">
        <f t="shared" si="250"/>
        <v>0.72257998501039333</v>
      </c>
    </row>
    <row r="61" spans="1:44" ht="15.75" customHeight="1">
      <c r="A61" s="201">
        <v>2021</v>
      </c>
      <c r="B61" s="631">
        <v>122</v>
      </c>
      <c r="C61" s="631">
        <v>86</v>
      </c>
      <c r="D61" s="631">
        <v>77</v>
      </c>
      <c r="E61" s="149">
        <f t="shared" si="170"/>
        <v>0.70491803278688525</v>
      </c>
      <c r="F61" s="149">
        <f t="shared" si="171"/>
        <v>0.89534883720930236</v>
      </c>
      <c r="G61" s="149">
        <f t="shared" si="172"/>
        <v>0.63114754098360659</v>
      </c>
      <c r="H61" s="455">
        <v>0.23699999999999999</v>
      </c>
      <c r="I61" s="287"/>
      <c r="J61" s="150">
        <v>3.3000000000000002E-2</v>
      </c>
      <c r="K61" s="149">
        <f t="shared" si="173"/>
        <v>0.95540521723681671</v>
      </c>
      <c r="L61" s="149">
        <f t="shared" si="174"/>
        <v>0.92773414299999946</v>
      </c>
      <c r="M61" s="149">
        <f>AVERAGE(M56:M60)</f>
        <v>0.88636204043092648</v>
      </c>
      <c r="N61" s="151">
        <f t="shared" si="176"/>
        <v>0.98490846366493423</v>
      </c>
      <c r="O61" s="149">
        <f t="shared" si="177"/>
        <v>0.98142221675011598</v>
      </c>
      <c r="P61" s="150">
        <f t="shared" si="178"/>
        <v>0.9829148089796288</v>
      </c>
      <c r="Q61" s="201">
        <v>2021</v>
      </c>
      <c r="R61" s="152">
        <f t="shared" si="179"/>
        <v>4.4594782763183294E-2</v>
      </c>
      <c r="S61" s="153">
        <f t="shared" si="180"/>
        <v>7.2265857000000544E-2</v>
      </c>
      <c r="T61" s="154">
        <f t="shared" si="181"/>
        <v>0.11363795956907352</v>
      </c>
      <c r="U61" s="152">
        <f t="shared" si="182"/>
        <v>1.5091536335065769E-2</v>
      </c>
      <c r="V61" s="153">
        <f t="shared" si="183"/>
        <v>1.8577783249884017E-2</v>
      </c>
      <c r="W61" s="154">
        <f t="shared" si="184"/>
        <v>1.7085191020371204E-2</v>
      </c>
      <c r="X61" s="283">
        <f t="shared" si="185"/>
        <v>86</v>
      </c>
      <c r="Y61" s="283">
        <f t="shared" si="186"/>
        <v>122</v>
      </c>
      <c r="Z61" s="283">
        <f t="shared" ref="Z61" si="251">X61/Y61</f>
        <v>0.70491803278688525</v>
      </c>
      <c r="AA61" s="283">
        <f t="shared" ref="AA61" si="252">_xlfn.F.INV(0.05/2, 2*X61, 2*(Y61-X61+1))</f>
        <v>0.68894802020105073</v>
      </c>
      <c r="AB61" s="283">
        <f t="shared" ref="AB61" si="253">_xlfn.F.INV(1-0.05/2, 2*(X61+1), 2*(Y61-X61))</f>
        <v>1.5021095729372911</v>
      </c>
      <c r="AC61" s="436">
        <f t="shared" ref="AC61" si="254">IF(X61=0, 0, 1/(1 +(Y61-X61+1)/(X61*AA61)))</f>
        <v>0.6155825373797652</v>
      </c>
      <c r="AD61" s="436">
        <f t="shared" ref="AD61" si="255">IF(X61=Y61, 1, 1/(1 + (Y61-X61)/(AB61*(X61+1))))</f>
        <v>0.78402185635602628</v>
      </c>
      <c r="AE61" s="283">
        <f t="shared" si="187"/>
        <v>77</v>
      </c>
      <c r="AF61" s="283">
        <f t="shared" si="188"/>
        <v>86</v>
      </c>
      <c r="AG61" s="283">
        <f t="shared" ref="AG61" si="256">AE61/AF61</f>
        <v>0.89534883720930236</v>
      </c>
      <c r="AH61" s="283">
        <f t="shared" ref="AH61" si="257">_xlfn.F.INV(0.05/2, 2*AE61, 2*(AF61-AE61+1))</f>
        <v>0.55587455268804253</v>
      </c>
      <c r="AI61" s="283">
        <f t="shared" ref="AI61" si="258">_xlfn.F.INV(1-0.05/2, 2*(AE61+1), 2*(AF61-AE61))</f>
        <v>2.24025258838524</v>
      </c>
      <c r="AJ61" s="436">
        <f t="shared" ref="AJ61" si="259">IF(AE61=0, 0, 1/(1 +(AF61-AE61+1)/(AE61*AH61)))</f>
        <v>0.81061445582684077</v>
      </c>
      <c r="AK61" s="436">
        <f t="shared" ref="AK61" si="260">IF(AE61=AF61, 1, 1/(1 + (AF61-AE61)/(AI61*(AE61+1))))</f>
        <v>0.95101766299158508</v>
      </c>
      <c r="AL61" s="283">
        <f t="shared" si="189"/>
        <v>77</v>
      </c>
      <c r="AM61" s="283">
        <f t="shared" si="190"/>
        <v>122</v>
      </c>
      <c r="AN61" s="283">
        <f t="shared" ref="AN61" si="261">AL61/AM61</f>
        <v>0.63114754098360659</v>
      </c>
      <c r="AO61" s="283">
        <f t="shared" ref="AO61" si="262">_xlfn.F.INV(0.05/2, 2*AL61, 2*(AM61-AL61+1))</f>
        <v>0.69869376710484588</v>
      </c>
      <c r="AP61" s="283">
        <f t="shared" ref="AP61" si="263">_xlfn.F.INV(1-0.05/2, 2*(AL61+1), 2*(AM61-AL61))</f>
        <v>1.4594599842431177</v>
      </c>
      <c r="AQ61" s="436">
        <f t="shared" ref="AQ61" si="264">IF(AL61=0, 0, 1/(1 +(AM61-AL61+1)/(AL61*AO61)))</f>
        <v>0.5390754779027338</v>
      </c>
      <c r="AR61" s="436">
        <f t="shared" ref="AR61" si="265">IF(AL61=AM61, 1, 1/(1 + (AM61-AL61)/(AP61*(AL61+1))))</f>
        <v>0.71669226290230248</v>
      </c>
    </row>
    <row r="62" spans="1:44" ht="15.75" customHeight="1">
      <c r="A62" s="201">
        <v>2022</v>
      </c>
      <c r="B62" s="631">
        <v>111</v>
      </c>
      <c r="C62" s="631">
        <v>72</v>
      </c>
      <c r="D62" s="631">
        <v>61</v>
      </c>
      <c r="E62" s="149">
        <f t="shared" si="170"/>
        <v>0.64864864864864868</v>
      </c>
      <c r="F62" s="149">
        <f t="shared" si="171"/>
        <v>0.84722222222222221</v>
      </c>
      <c r="G62" s="149">
        <f t="shared" si="172"/>
        <v>0.5495495495495496</v>
      </c>
      <c r="H62" s="285">
        <f>H30</f>
        <v>0.27739999999999998</v>
      </c>
      <c r="I62" s="287"/>
      <c r="J62" s="150">
        <v>3.3000000000000002E-2</v>
      </c>
      <c r="K62" s="149">
        <f t="shared" si="173"/>
        <v>0.92829302299528027</v>
      </c>
      <c r="L62" s="149">
        <f t="shared" ref="L62:L63" si="266">M62/K62</f>
        <v>0.97402252827458091</v>
      </c>
      <c r="M62" s="149">
        <f t="shared" ref="M62:M63" si="267">AVERAGE(M57:M61)</f>
        <v>0.90417831723751652</v>
      </c>
      <c r="N62" s="142"/>
      <c r="O62" s="129"/>
      <c r="P62" s="141"/>
      <c r="Q62" s="615"/>
      <c r="R62" s="145"/>
      <c r="S62" s="145"/>
      <c r="T62" s="146"/>
      <c r="U62" s="145"/>
      <c r="V62" s="145"/>
      <c r="W62" s="146"/>
      <c r="X62" s="283">
        <f t="shared" si="185"/>
        <v>72</v>
      </c>
      <c r="Y62" s="283">
        <f t="shared" si="186"/>
        <v>111</v>
      </c>
      <c r="Z62" s="283">
        <f t="shared" ref="Z62:Z63" si="268">X62/Y62</f>
        <v>0.64864864864864868</v>
      </c>
      <c r="AA62" s="283">
        <f t="shared" ref="AA62:AA63" si="269">_xlfn.F.INV(0.05/2, 2*X62, 2*(Y62-X62+1))</f>
        <v>0.68532099175571914</v>
      </c>
      <c r="AB62" s="283">
        <f t="shared" ref="AB62:AB63" si="270">_xlfn.F.INV(1-0.05/2, 2*(X62+1), 2*(Y62-X62))</f>
        <v>1.496033889402874</v>
      </c>
      <c r="AC62" s="436">
        <f t="shared" ref="AC62:AC63" si="271">IF(X62=0, 0, 1/(1 +(Y62-X62+1)/(X62*AA62)))</f>
        <v>0.55228781077430256</v>
      </c>
      <c r="AD62" s="436">
        <f t="shared" ref="AD62:AD63" si="272">IF(X62=Y62, 1, 1/(1 + (Y62-X62)/(AB62*(X62+1))))</f>
        <v>0.73686070244020363</v>
      </c>
      <c r="AE62" s="283">
        <f t="shared" si="187"/>
        <v>61</v>
      </c>
      <c r="AF62" s="283">
        <f t="shared" si="188"/>
        <v>72</v>
      </c>
      <c r="AG62" s="283">
        <f t="shared" ref="AG62:AG63" si="273">AE62/AF62</f>
        <v>0.84722222222222221</v>
      </c>
      <c r="AH62" s="283">
        <f t="shared" ref="AH62:AH63" si="274">_xlfn.F.INV(0.05/2, 2*AE62, 2*(AF62-AE62+1))</f>
        <v>0.56890964171488045</v>
      </c>
      <c r="AI62" s="283">
        <f t="shared" ref="AI62:AI63" si="275">_xlfn.F.INV(1-0.05/2, 2*(AE62+1), 2*(AF62-AE62))</f>
        <v>2.0737535339221029</v>
      </c>
      <c r="AJ62" s="436">
        <f t="shared" ref="AJ62:AJ63" si="276">IF(AE62=0, 0, 1/(1 +(AF62-AE62+1)/(AE62*AH62)))</f>
        <v>0.74305987675172191</v>
      </c>
      <c r="AK62" s="436">
        <f t="shared" ref="AK62:AK63" si="277">IF(AE62=AF62, 1, 1/(1 + (AF62-AE62)/(AI62*(AE62+1))))</f>
        <v>0.9211880368120583</v>
      </c>
      <c r="AL62" s="283">
        <f t="shared" si="189"/>
        <v>61</v>
      </c>
      <c r="AM62" s="283">
        <f t="shared" si="190"/>
        <v>111</v>
      </c>
      <c r="AN62" s="283">
        <f t="shared" ref="AN62:AN63" si="278">AL62/AM62</f>
        <v>0.5495495495495496</v>
      </c>
      <c r="AO62" s="283">
        <f t="shared" ref="AO62:AO63" si="279">_xlfn.F.INV(0.05/2, 2*AL62, 2*(AM62-AL62+1))</f>
        <v>0.69028374000038539</v>
      </c>
      <c r="AP62" s="283">
        <f t="shared" ref="AP62:AP63" si="280">_xlfn.F.INV(1-0.05/2, 2*(AL62+1), 2*(AM62-AL62))</f>
        <v>1.459780681461035</v>
      </c>
      <c r="AQ62" s="436">
        <f t="shared" ref="AQ62:AQ63" si="281">IF(AL62=0, 0, 1/(1 +(AM62-AL62+1)/(AL62*AO62)))</f>
        <v>0.45224493094246254</v>
      </c>
      <c r="AR62" s="436">
        <f t="shared" ref="AR62:AR63" si="282">IF(AL62=AM62, 1, 1/(1 + (AM62-AL62)/(AP62*(AL62+1))))</f>
        <v>0.64414432937491206</v>
      </c>
    </row>
    <row r="63" spans="1:44" ht="15.75" customHeight="1">
      <c r="A63" s="615">
        <v>2023</v>
      </c>
      <c r="B63" s="648">
        <v>90</v>
      </c>
      <c r="C63" s="647">
        <v>64</v>
      </c>
      <c r="D63" s="647">
        <v>59</v>
      </c>
      <c r="E63" s="129">
        <f t="shared" si="170"/>
        <v>0.71111111111111114</v>
      </c>
      <c r="F63" s="129">
        <f t="shared" si="171"/>
        <v>0.921875</v>
      </c>
      <c r="G63" s="129">
        <f t="shared" si="172"/>
        <v>0.65555555555555556</v>
      </c>
      <c r="H63" s="285">
        <f>H31</f>
        <v>0.29070000000000001</v>
      </c>
      <c r="I63" s="287"/>
      <c r="J63" s="150">
        <v>3.3000000000000002E-2</v>
      </c>
      <c r="K63" s="149">
        <f t="shared" si="173"/>
        <v>1.0367666785263054</v>
      </c>
      <c r="L63" s="149">
        <f t="shared" si="266"/>
        <v>0.86890304275705788</v>
      </c>
      <c r="M63" s="149">
        <f t="shared" si="267"/>
        <v>0.90084972160063526</v>
      </c>
      <c r="N63" s="142"/>
      <c r="O63" s="129"/>
      <c r="P63" s="141"/>
      <c r="Q63" s="615"/>
      <c r="R63" s="145"/>
      <c r="S63" s="145"/>
      <c r="T63" s="146"/>
      <c r="U63" s="145"/>
      <c r="V63" s="145"/>
      <c r="W63" s="146"/>
      <c r="X63" s="490">
        <f t="shared" si="185"/>
        <v>64</v>
      </c>
      <c r="Y63" s="490">
        <f t="shared" si="186"/>
        <v>90</v>
      </c>
      <c r="Z63" s="490">
        <f t="shared" si="268"/>
        <v>0.71111111111111114</v>
      </c>
      <c r="AA63" s="490">
        <f t="shared" si="269"/>
        <v>0.6489073314282694</v>
      </c>
      <c r="AB63" s="490">
        <f t="shared" si="270"/>
        <v>1.6185769431090493</v>
      </c>
      <c r="AC63" s="445">
        <f t="shared" si="271"/>
        <v>0.60601236346767184</v>
      </c>
      <c r="AD63" s="445">
        <f t="shared" si="272"/>
        <v>0.80184059796902629</v>
      </c>
      <c r="AE63" s="490">
        <f t="shared" si="187"/>
        <v>59</v>
      </c>
      <c r="AF63" s="490">
        <f t="shared" si="188"/>
        <v>64</v>
      </c>
      <c r="AG63" s="490">
        <f t="shared" si="273"/>
        <v>0.921875</v>
      </c>
      <c r="AH63" s="490">
        <f t="shared" si="274"/>
        <v>0.48621060932603305</v>
      </c>
      <c r="AI63" s="490">
        <f t="shared" si="275"/>
        <v>3.1399144624266171</v>
      </c>
      <c r="AJ63" s="445">
        <f t="shared" si="276"/>
        <v>0.82702167099579238</v>
      </c>
      <c r="AK63" s="445">
        <f t="shared" si="277"/>
        <v>0.9741461598320319</v>
      </c>
      <c r="AL63" s="490">
        <f t="shared" si="189"/>
        <v>59</v>
      </c>
      <c r="AM63" s="490">
        <f t="shared" si="190"/>
        <v>90</v>
      </c>
      <c r="AN63" s="490">
        <f t="shared" si="278"/>
        <v>0.65555555555555556</v>
      </c>
      <c r="AO63" s="490">
        <f t="shared" si="279"/>
        <v>0.65746094608127414</v>
      </c>
      <c r="AP63" s="490">
        <f t="shared" si="280"/>
        <v>1.5716830392180412</v>
      </c>
      <c r="AQ63" s="445">
        <f t="shared" si="281"/>
        <v>0.54796000166588277</v>
      </c>
      <c r="AR63" s="445">
        <f t="shared" si="282"/>
        <v>0.75259571459187857</v>
      </c>
    </row>
    <row r="64" spans="1:44" ht="15.75" customHeight="1">
      <c r="A64" s="615"/>
      <c r="E64" s="129"/>
      <c r="F64" s="129"/>
      <c r="G64" s="129"/>
      <c r="H64" s="285"/>
      <c r="I64" s="287"/>
      <c r="J64" s="141"/>
      <c r="K64" s="129"/>
      <c r="L64" s="129"/>
      <c r="M64" s="129"/>
      <c r="N64" s="142"/>
      <c r="O64" s="129"/>
      <c r="P64" s="141"/>
      <c r="Q64" s="615"/>
      <c r="R64" s="145"/>
      <c r="S64" s="145"/>
      <c r="T64" s="146"/>
      <c r="U64" s="145"/>
      <c r="V64" s="145"/>
      <c r="W64" s="146"/>
      <c r="X64" s="490"/>
      <c r="Y64" s="490"/>
      <c r="Z64" s="490"/>
      <c r="AA64" s="490"/>
      <c r="AB64" s="490"/>
      <c r="AC64" s="445"/>
      <c r="AD64" s="445"/>
      <c r="AE64" s="490"/>
      <c r="AF64" s="490"/>
      <c r="AG64" s="490"/>
      <c r="AH64" s="490"/>
      <c r="AI64" s="490"/>
      <c r="AJ64" s="445"/>
      <c r="AK64" s="445"/>
      <c r="AL64" s="490"/>
      <c r="AM64" s="490"/>
      <c r="AN64" s="490"/>
      <c r="AO64" s="490"/>
      <c r="AP64" s="490"/>
      <c r="AQ64" s="445"/>
      <c r="AR64" s="445"/>
    </row>
    <row r="65" spans="1:44" ht="15.75" customHeight="1">
      <c r="A65" s="615"/>
      <c r="E65" s="129"/>
      <c r="F65" s="129"/>
      <c r="G65" s="129"/>
      <c r="H65" s="285"/>
      <c r="I65" s="287"/>
      <c r="J65" s="141"/>
      <c r="K65" s="129"/>
      <c r="L65" s="129"/>
      <c r="M65" s="129"/>
      <c r="N65" s="142"/>
      <c r="O65" s="129"/>
      <c r="P65" s="141"/>
      <c r="Q65" s="615"/>
      <c r="R65" s="145"/>
      <c r="S65" s="145"/>
      <c r="T65" s="146"/>
      <c r="U65" s="145"/>
      <c r="V65" s="145"/>
      <c r="W65" s="146"/>
      <c r="X65" s="490"/>
      <c r="Y65" s="490"/>
      <c r="Z65" s="490"/>
      <c r="AA65" s="490"/>
      <c r="AB65" s="490"/>
      <c r="AC65" s="445"/>
      <c r="AD65" s="445"/>
      <c r="AE65" s="490"/>
      <c r="AF65" s="490"/>
      <c r="AG65" s="490"/>
      <c r="AH65" s="490"/>
      <c r="AI65" s="490"/>
      <c r="AJ65" s="445"/>
      <c r="AK65" s="445"/>
      <c r="AL65" s="490"/>
      <c r="AM65" s="490"/>
      <c r="AN65" s="490"/>
      <c r="AO65" s="490"/>
      <c r="AP65" s="490"/>
      <c r="AQ65" s="445"/>
      <c r="AR65" s="445"/>
    </row>
    <row r="66" spans="1:44" ht="30.6" customHeight="1">
      <c r="A66" s="264" t="s">
        <v>112</v>
      </c>
      <c r="B66" s="460">
        <f t="shared" ref="B66:M66" si="283">AVERAGE(B52:B56)</f>
        <v>471.6</v>
      </c>
      <c r="C66" s="460">
        <f t="shared" si="283"/>
        <v>315.2</v>
      </c>
      <c r="D66" s="460">
        <f t="shared" si="283"/>
        <v>268</v>
      </c>
      <c r="E66" s="460">
        <f t="shared" si="283"/>
        <v>0.67669978362229144</v>
      </c>
      <c r="F66" s="460">
        <f t="shared" si="283"/>
        <v>0.8428815927066744</v>
      </c>
      <c r="G66" s="460">
        <f t="shared" si="283"/>
        <v>0.56919646573254334</v>
      </c>
      <c r="H66" s="460">
        <f t="shared" si="283"/>
        <v>0.23860000000000001</v>
      </c>
      <c r="I66" s="460" t="e">
        <f t="shared" si="283"/>
        <v>#DIV/0!</v>
      </c>
      <c r="J66" s="460">
        <f t="shared" si="283"/>
        <v>3.3000000000000002E-2</v>
      </c>
      <c r="K66" s="460">
        <f t="shared" si="283"/>
        <v>0.92073459211405828</v>
      </c>
      <c r="L66" s="460">
        <f t="shared" si="283"/>
        <v>0.8428815927066744</v>
      </c>
      <c r="M66" s="460">
        <f t="shared" si="283"/>
        <v>0.77722547288623889</v>
      </c>
      <c r="N66" s="144">
        <f>1-AVERAGE(N48:N57)</f>
        <v>1.5928315698413797E-2</v>
      </c>
      <c r="O66" s="460">
        <f>AVERAGE(O52:O56)</f>
        <v>0.95775864260685917</v>
      </c>
      <c r="P66" s="460">
        <f>AVERAGE(P52:P56)</f>
        <v>0.96378959162666222</v>
      </c>
      <c r="Q66" s="264" t="s">
        <v>112</v>
      </c>
      <c r="R66" s="460">
        <f t="shared" ref="R66:W66" si="284">AVERAGE(R52:R56)</f>
        <v>7.9265407885941747E-2</v>
      </c>
      <c r="S66" s="460">
        <f t="shared" si="284"/>
        <v>0.15711840729332577</v>
      </c>
      <c r="T66" s="460">
        <f t="shared" si="284"/>
        <v>0.22277452711376106</v>
      </c>
      <c r="U66" s="460">
        <f t="shared" si="284"/>
        <v>2.7884329808914955E-2</v>
      </c>
      <c r="V66" s="460">
        <f t="shared" si="284"/>
        <v>4.2241357393140812E-2</v>
      </c>
      <c r="W66" s="460">
        <f t="shared" si="284"/>
        <v>3.6210408373337909E-2</v>
      </c>
      <c r="X66" s="451">
        <f>C66</f>
        <v>315.2</v>
      </c>
      <c r="Y66" s="451">
        <f>B66</f>
        <v>471.6</v>
      </c>
      <c r="Z66" s="451">
        <f t="shared" si="206"/>
        <v>0.66836301950805765</v>
      </c>
      <c r="AA66" s="451">
        <f t="shared" si="207"/>
        <v>0.82808451755432722</v>
      </c>
      <c r="AB66" s="451">
        <f t="shared" si="208"/>
        <v>1.2155972289774732</v>
      </c>
      <c r="AC66" s="445">
        <f t="shared" si="209"/>
        <v>0.62381597626026009</v>
      </c>
      <c r="AD66" s="445">
        <f t="shared" si="210"/>
        <v>0.71078375882108791</v>
      </c>
      <c r="AE66" s="451">
        <f>D66</f>
        <v>268</v>
      </c>
      <c r="AF66" s="451">
        <f>C66</f>
        <v>315.2</v>
      </c>
      <c r="AG66" s="451">
        <f t="shared" si="211"/>
        <v>0.85025380710659904</v>
      </c>
      <c r="AH66" s="451">
        <f t="shared" si="212"/>
        <v>0.74684582538886701</v>
      </c>
      <c r="AI66" s="451">
        <f t="shared" si="213"/>
        <v>1.3889697208686052</v>
      </c>
      <c r="AJ66" s="445">
        <f t="shared" si="214"/>
        <v>0.80592272404011489</v>
      </c>
      <c r="AK66" s="445">
        <f t="shared" si="215"/>
        <v>0.88784145665222758</v>
      </c>
      <c r="AL66" s="451">
        <f>D66</f>
        <v>268</v>
      </c>
      <c r="AM66" s="451">
        <f>B66</f>
        <v>471.6</v>
      </c>
      <c r="AN66" s="451">
        <f t="shared" si="216"/>
        <v>0.5682782018659881</v>
      </c>
      <c r="AO66" s="451">
        <f t="shared" si="217"/>
        <v>0.83436771837980028</v>
      </c>
      <c r="AP66" s="451">
        <f t="shared" si="218"/>
        <v>1.201398889838065</v>
      </c>
      <c r="AQ66" s="445">
        <f t="shared" si="219"/>
        <v>0.52219766490016961</v>
      </c>
      <c r="AR66" s="445">
        <f t="shared" si="220"/>
        <v>0.61349817850220545</v>
      </c>
    </row>
    <row r="67" spans="1:44" ht="15" customHeight="1">
      <c r="A67" s="268" t="s">
        <v>112</v>
      </c>
      <c r="B67" s="138"/>
      <c r="C67" s="139"/>
      <c r="D67" s="140"/>
      <c r="E67" s="43">
        <f t="shared" ref="E67:L67" si="285">AVERAGE(E48:E51,E46)</f>
        <v>0.71302176845461651</v>
      </c>
      <c r="F67" s="43">
        <f t="shared" si="285"/>
        <v>0.85858100520282665</v>
      </c>
      <c r="G67" s="43">
        <f t="shared" si="285"/>
        <v>0.61196233772311459</v>
      </c>
      <c r="H67" s="43">
        <f t="shared" si="285"/>
        <v>0.22550058258454686</v>
      </c>
      <c r="I67" s="43">
        <f t="shared" si="285"/>
        <v>0</v>
      </c>
      <c r="J67" s="43">
        <f t="shared" si="285"/>
        <v>3.3000000000000002E-2</v>
      </c>
      <c r="K67" s="43">
        <f t="shared" si="285"/>
        <v>0.95682050315684075</v>
      </c>
      <c r="L67" s="43">
        <f t="shared" si="285"/>
        <v>0.85858100520282643</v>
      </c>
      <c r="M67" s="141">
        <f>AVERAGE(M48:M57)</f>
        <v>0.8240887858648982</v>
      </c>
      <c r="N67" s="145">
        <f>1-MIN(N48:N57)</f>
        <v>6.8847035153417946E-2</v>
      </c>
      <c r="O67" s="43">
        <f>AVERAGE(O48:O51,O46)</f>
        <v>0.96224401957953121</v>
      </c>
      <c r="P67" s="43">
        <f>AVERAGE(P48:P51,P46)</f>
        <v>0.97150140218580994</v>
      </c>
      <c r="Q67" s="268" t="s">
        <v>112</v>
      </c>
      <c r="R67" s="43">
        <f t="shared" ref="R67:W67" si="286">AVERAGE(R48:R51,R46)</f>
        <v>4.3179496843159269E-2</v>
      </c>
      <c r="S67" s="43">
        <f t="shared" si="286"/>
        <v>0.1414189947971734</v>
      </c>
      <c r="T67" s="43">
        <f t="shared" si="286"/>
        <v>0.17921369583422525</v>
      </c>
      <c r="U67" s="43">
        <f t="shared" si="286"/>
        <v>1.5616899899708204E-2</v>
      </c>
      <c r="V67" s="43">
        <f t="shared" si="286"/>
        <v>3.7755980420468904E-2</v>
      </c>
      <c r="W67" s="43">
        <f t="shared" si="286"/>
        <v>2.8498597814190063E-2</v>
      </c>
    </row>
    <row r="68" spans="1:44" ht="15" customHeight="1">
      <c r="A68" t="s">
        <v>6</v>
      </c>
      <c r="B68" t="s">
        <v>58</v>
      </c>
      <c r="M68" s="129">
        <f>1-M67</f>
        <v>0.1759112141351018</v>
      </c>
      <c r="N68" s="145">
        <f>1-MAX(N48:N57)</f>
        <v>-2.346857681925929E-2</v>
      </c>
    </row>
    <row r="69" spans="1:44" ht="15" customHeight="1">
      <c r="B69" t="s">
        <v>7</v>
      </c>
    </row>
    <row r="70" spans="1:44" ht="15" customHeight="1">
      <c r="B70" s="56" t="s">
        <v>47</v>
      </c>
      <c r="Q70" s="286"/>
      <c r="R70" t="s">
        <v>96</v>
      </c>
    </row>
    <row r="71" spans="1:44" ht="15" customHeight="1">
      <c r="B71" s="70"/>
      <c r="Q71" s="286"/>
      <c r="R71" t="s">
        <v>111</v>
      </c>
    </row>
    <row r="72" spans="1:44" ht="15" customHeight="1">
      <c r="A72" s="6" t="s">
        <v>28</v>
      </c>
    </row>
    <row r="73" spans="1:44" ht="15" customHeight="1">
      <c r="A73" s="6" t="s">
        <v>37</v>
      </c>
    </row>
    <row r="74" spans="1:44" ht="15" customHeight="1">
      <c r="B74" t="s">
        <v>38</v>
      </c>
      <c r="D74" t="s">
        <v>89</v>
      </c>
      <c r="E74" s="66"/>
      <c r="F74" s="66"/>
      <c r="G74" s="66"/>
      <c r="H74" s="66"/>
      <c r="I74" s="66"/>
      <c r="J74" s="66"/>
      <c r="K74" s="66"/>
      <c r="L74" s="66"/>
      <c r="M74" s="66"/>
      <c r="N74" s="66"/>
      <c r="O74" s="66"/>
      <c r="P74" s="66"/>
    </row>
    <row r="75" spans="1:44" ht="15" customHeight="1" thickBot="1">
      <c r="O75" t="s">
        <v>265</v>
      </c>
    </row>
    <row r="76" spans="1:44" ht="15" customHeight="1" thickBot="1">
      <c r="A76" s="556"/>
      <c r="B76" s="557" t="s">
        <v>288</v>
      </c>
      <c r="C76" s="557"/>
      <c r="D76" s="557"/>
      <c r="E76" s="557"/>
      <c r="G76" s="558"/>
      <c r="O76" s="382">
        <f>AVERAGE(N23:N27)</f>
        <v>0.98682192994849838</v>
      </c>
      <c r="X76" t="s">
        <v>284</v>
      </c>
    </row>
    <row r="77" spans="1:44" ht="15" customHeight="1">
      <c r="A77" s="559"/>
      <c r="B77" s="560" t="s">
        <v>287</v>
      </c>
      <c r="C77" s="566" t="s">
        <v>266</v>
      </c>
      <c r="D77" s="560"/>
      <c r="E77" s="560"/>
      <c r="F77" s="557" t="s">
        <v>257</v>
      </c>
      <c r="G77" s="561"/>
      <c r="R77" t="s">
        <v>266</v>
      </c>
      <c r="X77" s="32"/>
      <c r="Y77" s="40"/>
    </row>
    <row r="78" spans="1:44">
      <c r="A78" s="559"/>
      <c r="B78" s="560"/>
      <c r="C78" s="560" t="s">
        <v>222</v>
      </c>
      <c r="D78" s="560" t="s">
        <v>282</v>
      </c>
      <c r="E78" s="560"/>
      <c r="F78" s="560" t="s">
        <v>222</v>
      </c>
      <c r="G78" s="561" t="s">
        <v>282</v>
      </c>
      <c r="S78" t="s">
        <v>265</v>
      </c>
      <c r="U78" t="s">
        <v>280</v>
      </c>
      <c r="X78" s="513"/>
      <c r="Y78" s="73" t="s">
        <v>265</v>
      </c>
      <c r="AA78" t="s">
        <v>280</v>
      </c>
    </row>
    <row r="79" spans="1:44">
      <c r="A79" s="559"/>
      <c r="B79" s="560" t="s">
        <v>80</v>
      </c>
      <c r="C79" s="562">
        <f>AVERAGE(M18:M27)</f>
        <v>0.90898744089567085</v>
      </c>
      <c r="D79" s="562">
        <f>AVERAGE(M50:M59)</f>
        <v>0.82769479514078059</v>
      </c>
      <c r="E79" s="560"/>
      <c r="F79" s="562">
        <f t="shared" ref="F79:G81" si="287">1-C79</f>
        <v>9.1012559104329149E-2</v>
      </c>
      <c r="G79" s="569">
        <f t="shared" si="287"/>
        <v>0.17230520485921941</v>
      </c>
      <c r="S79" t="s">
        <v>264</v>
      </c>
      <c r="X79" s="513"/>
      <c r="Y79" s="73" t="s">
        <v>264</v>
      </c>
    </row>
    <row r="80" spans="1:44">
      <c r="A80" s="559"/>
      <c r="B80" s="560" t="s">
        <v>260</v>
      </c>
      <c r="C80" s="562">
        <f>MIN(M18:M27)</f>
        <v>0.80177308934634006</v>
      </c>
      <c r="D80" s="562">
        <f>MIN(M50:M59)</f>
        <v>0.67684983224061801</v>
      </c>
      <c r="E80" s="560"/>
      <c r="F80" s="562">
        <f t="shared" si="287"/>
        <v>0.19822691065365994</v>
      </c>
      <c r="G80" s="569">
        <f t="shared" si="287"/>
        <v>0.32315016775938199</v>
      </c>
      <c r="Q80" t="s">
        <v>282</v>
      </c>
      <c r="R80" t="s">
        <v>80</v>
      </c>
      <c r="S80" s="382">
        <f>AVERAGE(N54:N58)</f>
        <v>0.98257680134490144</v>
      </c>
      <c r="T80" s="382"/>
      <c r="U80" s="382">
        <f>AVERAGE(P54:P58)</f>
        <v>0.97658048153357591</v>
      </c>
      <c r="W80" t="s">
        <v>222</v>
      </c>
      <c r="X80" s="513" t="s">
        <v>80</v>
      </c>
      <c r="Y80" s="529">
        <f>AVERAGE(N22:N26)</f>
        <v>0.98356512896992387</v>
      </c>
      <c r="Z80" s="382"/>
      <c r="AA80" s="382">
        <f>AVERAGE(P23:P26)</f>
        <v>0.98638265028243322</v>
      </c>
    </row>
    <row r="81" spans="1:30">
      <c r="A81" s="559"/>
      <c r="B81" s="560" t="s">
        <v>259</v>
      </c>
      <c r="C81" s="562">
        <f>MAX(M18:M27)</f>
        <v>1.0087697275209666</v>
      </c>
      <c r="D81" s="562">
        <f>MAX(M50:M59)</f>
        <v>0.93827456410188492</v>
      </c>
      <c r="E81" s="560"/>
      <c r="F81" s="562">
        <f t="shared" si="287"/>
        <v>-8.7697275209666081E-3</v>
      </c>
      <c r="G81" s="569">
        <f t="shared" si="287"/>
        <v>6.1725435898115077E-2</v>
      </c>
      <c r="R81" t="s">
        <v>267</v>
      </c>
      <c r="S81" s="382">
        <f>MIN(N54:N58)</f>
        <v>0.93115296484658205</v>
      </c>
      <c r="T81" s="382"/>
      <c r="U81" s="382">
        <f>MIN(P54:P58)</f>
        <v>0.94771977860972778</v>
      </c>
      <c r="X81" s="513" t="s">
        <v>267</v>
      </c>
      <c r="Y81" s="529">
        <f>MIN(N22:N26)</f>
        <v>0.94502353290823049</v>
      </c>
      <c r="Z81" s="382"/>
      <c r="AA81" s="382">
        <f>MIN(P23:P26)</f>
        <v>0.96893148408660534</v>
      </c>
    </row>
    <row r="82" spans="1:30">
      <c r="A82" s="559"/>
      <c r="B82" s="560"/>
      <c r="C82" s="560"/>
      <c r="D82" s="560"/>
      <c r="E82" s="560"/>
      <c r="F82" s="560"/>
      <c r="G82" s="561"/>
      <c r="I82" t="s">
        <v>205</v>
      </c>
      <c r="R82" t="s">
        <v>259</v>
      </c>
      <c r="S82" s="382">
        <f>MAX(N54:N58)</f>
        <v>1.0160052075787607</v>
      </c>
      <c r="T82" s="382"/>
      <c r="U82" s="382">
        <f>MAX(P54:P58)</f>
        <v>0.99093948742633398</v>
      </c>
      <c r="X82" s="513" t="s">
        <v>259</v>
      </c>
      <c r="Y82" s="529">
        <f>MAX(N22:N26)</f>
        <v>1.0132958377686649</v>
      </c>
      <c r="Z82" s="382"/>
      <c r="AA82" s="382">
        <f>MAX(P23:P26)</f>
        <v>0.99969438388830834</v>
      </c>
    </row>
    <row r="83" spans="1:30">
      <c r="A83" s="559"/>
      <c r="B83" s="560"/>
      <c r="C83" s="560"/>
      <c r="D83" s="560"/>
      <c r="E83" s="560"/>
      <c r="F83" s="11"/>
      <c r="G83" s="73"/>
      <c r="I83" t="s">
        <v>203</v>
      </c>
      <c r="J83" s="455">
        <f>SUM(M83:N83)/K83</f>
        <v>0.22597827233414197</v>
      </c>
      <c r="K83">
        <v>18962</v>
      </c>
      <c r="M83">
        <v>4252</v>
      </c>
      <c r="N83">
        <v>33</v>
      </c>
      <c r="R83" t="s">
        <v>268</v>
      </c>
      <c r="X83" s="513" t="s">
        <v>268</v>
      </c>
      <c r="Y83" s="73"/>
    </row>
    <row r="84" spans="1:30" ht="13.8" thickBot="1">
      <c r="A84" s="563"/>
      <c r="B84" s="564"/>
      <c r="C84" s="564"/>
      <c r="D84" s="564"/>
      <c r="E84" s="564"/>
      <c r="F84" s="17"/>
      <c r="G84" s="515"/>
      <c r="I84" t="s">
        <v>204</v>
      </c>
      <c r="J84" s="455">
        <f>SUM(M84:N84)/K84</f>
        <v>0.21051578701697063</v>
      </c>
      <c r="K84">
        <v>29993</v>
      </c>
      <c r="M84">
        <v>6179</v>
      </c>
      <c r="N84">
        <v>135</v>
      </c>
      <c r="R84" t="s">
        <v>80</v>
      </c>
      <c r="S84" s="382">
        <f>1-S80</f>
        <v>1.742319865509856E-2</v>
      </c>
      <c r="U84" s="382">
        <f>1-U80</f>
        <v>2.3419518466424094E-2</v>
      </c>
      <c r="X84" s="513" t="s">
        <v>80</v>
      </c>
      <c r="Y84" s="529">
        <f>1-Y80</f>
        <v>1.6434871030076126E-2</v>
      </c>
      <c r="AA84" s="382">
        <f>1-AA80</f>
        <v>1.3617349717566785E-2</v>
      </c>
    </row>
    <row r="85" spans="1:30" ht="13.8" thickBot="1">
      <c r="R85" t="s">
        <v>267</v>
      </c>
      <c r="S85" s="382">
        <f>1-S81</f>
        <v>6.8847035153417946E-2</v>
      </c>
      <c r="U85" s="382">
        <f t="shared" ref="U85:U86" si="288">1-U81</f>
        <v>5.2280221390272219E-2</v>
      </c>
      <c r="X85" s="513" t="s">
        <v>267</v>
      </c>
      <c r="Y85" s="529">
        <f>1-Y81</f>
        <v>5.497646709176951E-2</v>
      </c>
      <c r="AA85" s="382">
        <f t="shared" ref="AA85:AA86" si="289">1-AA81</f>
        <v>3.1068515913394656E-2</v>
      </c>
      <c r="AD85" s="272" t="s">
        <v>166</v>
      </c>
    </row>
    <row r="86" spans="1:30">
      <c r="A86" s="556" t="s">
        <v>288</v>
      </c>
      <c r="B86" s="560" t="s">
        <v>293</v>
      </c>
      <c r="C86" s="557"/>
      <c r="D86" s="557" t="s">
        <v>287</v>
      </c>
      <c r="E86" s="557"/>
      <c r="F86" s="558"/>
      <c r="R86" t="s">
        <v>259</v>
      </c>
      <c r="S86" s="382">
        <f>1-S82</f>
        <v>-1.6005207578760672E-2</v>
      </c>
      <c r="U86" s="382">
        <f t="shared" si="288"/>
        <v>9.0605125736660241E-3</v>
      </c>
      <c r="X86" s="513" t="s">
        <v>259</v>
      </c>
      <c r="Y86" s="529">
        <f>1-Y82</f>
        <v>-1.3295837768664942E-2</v>
      </c>
      <c r="AA86" s="382">
        <f t="shared" si="289"/>
        <v>3.0561611169166447E-4</v>
      </c>
    </row>
    <row r="87" spans="1:30" ht="13.8" thickBot="1">
      <c r="A87" s="559"/>
      <c r="B87" t="s">
        <v>261</v>
      </c>
      <c r="C87" s="560"/>
      <c r="D87" s="560"/>
      <c r="E87" s="560" t="s">
        <v>294</v>
      </c>
      <c r="F87" s="561"/>
      <c r="X87" s="514"/>
      <c r="Y87" s="515"/>
      <c r="AD87" s="382"/>
    </row>
    <row r="88" spans="1:30">
      <c r="A88" s="559"/>
      <c r="B88" s="560"/>
      <c r="C88" s="560" t="s">
        <v>222</v>
      </c>
      <c r="D88" s="560"/>
      <c r="E88" s="560" t="s">
        <v>222</v>
      </c>
      <c r="F88" s="560"/>
      <c r="AD88" s="382">
        <f t="shared" ref="AD88:AD97" si="290">G11-G43</f>
        <v>-8.6413586413586208E-3</v>
      </c>
    </row>
    <row r="89" spans="1:30">
      <c r="A89" s="559"/>
      <c r="B89" s="560" t="s">
        <v>80</v>
      </c>
      <c r="C89" s="562">
        <f>AVERAGE(N18:N27)</f>
        <v>0.98224928884334017</v>
      </c>
      <c r="D89" s="560"/>
      <c r="E89" s="562">
        <f>1-C89</f>
        <v>1.7750711156659826E-2</v>
      </c>
      <c r="F89" s="561"/>
      <c r="AD89" s="382">
        <f t="shared" si="290"/>
        <v>-3.1277873580305537E-2</v>
      </c>
    </row>
    <row r="90" spans="1:30" ht="12.75" customHeight="1">
      <c r="A90" s="559"/>
      <c r="B90" s="560" t="s">
        <v>260</v>
      </c>
      <c r="C90" s="562">
        <f>+MIN(N18:N27)</f>
        <v>0.94502353290823049</v>
      </c>
      <c r="D90" s="560"/>
      <c r="E90" s="562">
        <f>1-C90</f>
        <v>5.497646709176951E-2</v>
      </c>
      <c r="F90" s="561"/>
      <c r="AD90" s="382">
        <f t="shared" si="290"/>
        <v>-2.7483667492678554E-2</v>
      </c>
    </row>
    <row r="91" spans="1:30">
      <c r="A91" s="559"/>
      <c r="B91" s="560" t="s">
        <v>259</v>
      </c>
      <c r="C91" s="562">
        <f>MAX(N18:N27)</f>
        <v>1.0159387744497022</v>
      </c>
      <c r="D91" s="560"/>
      <c r="E91" s="562">
        <f>1-C91</f>
        <v>-1.5938774449702153E-2</v>
      </c>
      <c r="F91" s="561"/>
      <c r="AD91" s="382">
        <f t="shared" si="290"/>
        <v>0.13230190861769808</v>
      </c>
    </row>
    <row r="92" spans="1:30">
      <c r="A92" s="559"/>
      <c r="B92" s="560"/>
      <c r="C92" s="560"/>
      <c r="D92" s="560"/>
      <c r="E92" s="560"/>
      <c r="F92" s="561"/>
      <c r="AD92" s="382">
        <f t="shared" si="290"/>
        <v>1.4608268394390445E-3</v>
      </c>
    </row>
    <row r="93" spans="1:30">
      <c r="A93" s="559"/>
      <c r="B93" s="560"/>
      <c r="C93" s="560"/>
      <c r="D93" s="560"/>
      <c r="E93" s="560"/>
      <c r="F93" s="561"/>
      <c r="AD93" s="382">
        <f t="shared" si="290"/>
        <v>9.9348248628039482E-3</v>
      </c>
    </row>
    <row r="94" spans="1:30">
      <c r="A94" s="559"/>
      <c r="B94" s="560"/>
      <c r="C94" s="560"/>
      <c r="D94" s="560"/>
      <c r="E94" s="560"/>
      <c r="F94" s="561"/>
      <c r="AD94" s="382">
        <f t="shared" si="290"/>
        <v>6.9713719990098788E-3</v>
      </c>
    </row>
    <row r="95" spans="1:30" ht="13.8" thickBot="1">
      <c r="A95" s="563"/>
      <c r="B95" s="564"/>
      <c r="C95" s="564"/>
      <c r="D95" s="564"/>
      <c r="E95" s="564"/>
      <c r="F95" s="565"/>
      <c r="AD95" s="382">
        <f t="shared" si="290"/>
        <v>3.2716920306097186E-2</v>
      </c>
    </row>
    <row r="96" spans="1:30">
      <c r="AD96" s="382">
        <f t="shared" si="290"/>
        <v>1.409608376811855E-2</v>
      </c>
    </row>
    <row r="97" spans="2:30">
      <c r="AD97" s="382">
        <f t="shared" si="290"/>
        <v>0.16960493827160494</v>
      </c>
    </row>
    <row r="98" spans="2:30">
      <c r="AD98" s="382"/>
    </row>
    <row r="99" spans="2:30">
      <c r="AD99" s="382">
        <f>G33-G66</f>
        <v>8.8992460957867059E-2</v>
      </c>
    </row>
    <row r="104" spans="2:30">
      <c r="B104" s="272" t="s">
        <v>228</v>
      </c>
    </row>
    <row r="105" spans="2:30">
      <c r="B105" s="272" t="s">
        <v>227</v>
      </c>
    </row>
    <row r="106" spans="2:30">
      <c r="B106" s="283"/>
      <c r="C106" s="678" t="s">
        <v>115</v>
      </c>
      <c r="D106" s="678"/>
      <c r="E106" s="283"/>
      <c r="F106" s="678" t="s">
        <v>224</v>
      </c>
      <c r="G106" s="678"/>
      <c r="H106" s="678"/>
      <c r="I106" s="678"/>
      <c r="J106" s="489"/>
      <c r="K106" s="678" t="s">
        <v>116</v>
      </c>
      <c r="L106" s="678"/>
      <c r="M106" s="283"/>
      <c r="N106" s="678" t="s">
        <v>224</v>
      </c>
      <c r="O106" s="678"/>
      <c r="P106" s="678"/>
      <c r="Q106" s="678"/>
    </row>
    <row r="107" spans="2:30">
      <c r="B107" s="283"/>
      <c r="C107" s="282" t="s">
        <v>219</v>
      </c>
      <c r="D107" s="282" t="s">
        <v>220</v>
      </c>
      <c r="E107" s="282" t="s">
        <v>221</v>
      </c>
      <c r="F107" s="282" t="s">
        <v>222</v>
      </c>
      <c r="G107" s="282" t="s">
        <v>222</v>
      </c>
      <c r="H107" s="282" t="s">
        <v>225</v>
      </c>
      <c r="I107" s="484" t="s">
        <v>220</v>
      </c>
      <c r="J107" s="489"/>
      <c r="K107" s="486" t="s">
        <v>222</v>
      </c>
      <c r="L107" s="282" t="s">
        <v>220</v>
      </c>
      <c r="M107" s="282" t="s">
        <v>221</v>
      </c>
      <c r="N107" s="282" t="s">
        <v>222</v>
      </c>
      <c r="O107" s="282" t="s">
        <v>222</v>
      </c>
      <c r="P107" s="282" t="s">
        <v>225</v>
      </c>
      <c r="Q107" s="282" t="s">
        <v>220</v>
      </c>
    </row>
    <row r="108" spans="2:30">
      <c r="B108" s="283" t="str">
        <f t="shared" ref="B108:B129" si="291">A9</f>
        <v>2002*</v>
      </c>
      <c r="C108" s="281">
        <f t="shared" ref="C108:C113" si="292">E9</f>
        <v>0.61538461538461542</v>
      </c>
      <c r="D108" s="281">
        <f t="shared" ref="D108:D113" si="293">E41</f>
        <v>0</v>
      </c>
      <c r="E108" s="281">
        <f t="shared" ref="E108:E113" si="294">C108-D108</f>
        <v>0.61538461538461542</v>
      </c>
      <c r="F108" s="395">
        <f t="shared" ref="F108:G113" si="295">AC9</f>
        <v>0.47018482184225346</v>
      </c>
      <c r="G108" s="395">
        <f t="shared" si="295"/>
        <v>0.74695347101303333</v>
      </c>
      <c r="H108" s="395">
        <f t="shared" ref="H108:I113" si="296">AC41</f>
        <v>0</v>
      </c>
      <c r="I108" s="492">
        <f t="shared" si="296"/>
        <v>1</v>
      </c>
      <c r="J108" s="490"/>
      <c r="K108" s="487">
        <f t="shared" ref="K108:K113" si="297">F9</f>
        <v>0.96874999999999989</v>
      </c>
      <c r="L108" s="281">
        <f t="shared" ref="L108:L113" si="298">F41</f>
        <v>0</v>
      </c>
      <c r="M108" s="281">
        <f t="shared" ref="M108:M113" si="299">K108-L108</f>
        <v>0.96874999999999989</v>
      </c>
      <c r="N108" s="395">
        <f t="shared" ref="N108:O113" si="300">AJ9</f>
        <v>0.83782900581848829</v>
      </c>
      <c r="O108" s="395">
        <f t="shared" si="300"/>
        <v>0.99920913140204737</v>
      </c>
      <c r="P108" s="395">
        <f t="shared" ref="P108:Q113" si="301">AJ41</f>
        <v>0</v>
      </c>
      <c r="Q108" s="395">
        <f t="shared" si="301"/>
        <v>1</v>
      </c>
    </row>
    <row r="109" spans="2:30">
      <c r="B109" s="283">
        <f t="shared" si="291"/>
        <v>2003</v>
      </c>
      <c r="C109" s="281">
        <f t="shared" si="292"/>
        <v>0.86301369863013699</v>
      </c>
      <c r="D109" s="281">
        <f t="shared" si="293"/>
        <v>0.94117647058823528</v>
      </c>
      <c r="E109" s="281">
        <f t="shared" si="294"/>
        <v>-7.8162771958098287E-2</v>
      </c>
      <c r="F109" s="395">
        <f t="shared" si="295"/>
        <v>0.79639194753192022</v>
      </c>
      <c r="G109" s="395">
        <f t="shared" si="295"/>
        <v>0.91427400592174901</v>
      </c>
      <c r="H109" s="395">
        <f t="shared" si="296"/>
        <v>0.71311060333277942</v>
      </c>
      <c r="I109" s="492">
        <f t="shared" si="296"/>
        <v>0.99851182560873342</v>
      </c>
      <c r="J109" s="490"/>
      <c r="K109" s="487">
        <f t="shared" si="297"/>
        <v>0.94444444444444453</v>
      </c>
      <c r="L109" s="281">
        <f t="shared" si="298"/>
        <v>0.875</v>
      </c>
      <c r="M109" s="281">
        <f t="shared" si="299"/>
        <v>6.9444444444444531E-2</v>
      </c>
      <c r="N109" s="395">
        <f t="shared" si="300"/>
        <v>0.88888290841495476</v>
      </c>
      <c r="O109" s="395">
        <f t="shared" si="300"/>
        <v>0.97737478672733202</v>
      </c>
      <c r="P109" s="395">
        <f t="shared" si="301"/>
        <v>0.61652376315073654</v>
      </c>
      <c r="Q109" s="395">
        <f t="shared" si="301"/>
        <v>0.98448639618458611</v>
      </c>
    </row>
    <row r="110" spans="2:30">
      <c r="B110" s="283">
        <f t="shared" si="291"/>
        <v>2004</v>
      </c>
      <c r="C110" s="281">
        <f t="shared" si="292"/>
        <v>0.82467532467532467</v>
      </c>
      <c r="D110" s="281">
        <f t="shared" si="293"/>
        <v>0.84615384615384615</v>
      </c>
      <c r="E110" s="281">
        <f t="shared" si="294"/>
        <v>-2.1478521478521473E-2</v>
      </c>
      <c r="F110" s="395">
        <f t="shared" si="295"/>
        <v>0.77751646051858825</v>
      </c>
      <c r="G110" s="395">
        <f t="shared" si="295"/>
        <v>0.86546017026293409</v>
      </c>
      <c r="H110" s="395">
        <f t="shared" si="296"/>
        <v>0.73521649140058709</v>
      </c>
      <c r="I110" s="492">
        <f t="shared" si="296"/>
        <v>0.92367842159999958</v>
      </c>
      <c r="J110" s="490"/>
      <c r="K110" s="487">
        <f t="shared" si="297"/>
        <v>0.94094488188976377</v>
      </c>
      <c r="L110" s="281">
        <f t="shared" si="298"/>
        <v>0.92727272727272725</v>
      </c>
      <c r="M110" s="281">
        <f t="shared" si="299"/>
        <v>1.3672154617036525E-2</v>
      </c>
      <c r="N110" s="395">
        <f t="shared" si="300"/>
        <v>0.90446730528193497</v>
      </c>
      <c r="O110" s="395">
        <f t="shared" si="300"/>
        <v>0.96657406674383928</v>
      </c>
      <c r="P110" s="395">
        <f t="shared" si="301"/>
        <v>0.82413246471603174</v>
      </c>
      <c r="Q110" s="395">
        <f t="shared" si="301"/>
        <v>0.97982946664677006</v>
      </c>
    </row>
    <row r="111" spans="2:30">
      <c r="B111" s="283">
        <f t="shared" si="291"/>
        <v>2005</v>
      </c>
      <c r="C111" s="281">
        <f t="shared" si="292"/>
        <v>0.68924302788844627</v>
      </c>
      <c r="D111" s="281">
        <f t="shared" si="293"/>
        <v>0.65671641791044777</v>
      </c>
      <c r="E111" s="281">
        <f t="shared" si="294"/>
        <v>3.25266099779985E-2</v>
      </c>
      <c r="F111" s="395">
        <f t="shared" si="295"/>
        <v>0.62800263833546854</v>
      </c>
      <c r="G111" s="395">
        <f t="shared" si="295"/>
        <v>0.7459481383655977</v>
      </c>
      <c r="H111" s="395">
        <f t="shared" si="296"/>
        <v>0.53061708307021405</v>
      </c>
      <c r="I111" s="492">
        <f t="shared" si="296"/>
        <v>0.76846660224884888</v>
      </c>
      <c r="J111" s="490"/>
      <c r="K111" s="487">
        <f t="shared" si="297"/>
        <v>0.82080924855491333</v>
      </c>
      <c r="L111" s="281">
        <f t="shared" si="298"/>
        <v>0.90909090909090895</v>
      </c>
      <c r="M111" s="281">
        <f t="shared" si="299"/>
        <v>-8.8281660535995621E-2</v>
      </c>
      <c r="N111" s="395">
        <f t="shared" si="300"/>
        <v>0.75540150293048169</v>
      </c>
      <c r="O111" s="395">
        <f t="shared" si="300"/>
        <v>0.8748821520626231</v>
      </c>
      <c r="P111" s="395">
        <f t="shared" si="301"/>
        <v>0.78331341053472558</v>
      </c>
      <c r="Q111" s="395">
        <f t="shared" si="301"/>
        <v>0.97467157829654916</v>
      </c>
    </row>
    <row r="112" spans="2:30">
      <c r="B112" s="283">
        <f t="shared" si="291"/>
        <v>2006</v>
      </c>
      <c r="C112" s="281">
        <f t="shared" si="292"/>
        <v>0.50777202072538863</v>
      </c>
      <c r="D112" s="281">
        <f t="shared" si="293"/>
        <v>0.56521739130434778</v>
      </c>
      <c r="E112" s="281">
        <f t="shared" si="294"/>
        <v>-5.7445370578959154E-2</v>
      </c>
      <c r="F112" s="395">
        <f t="shared" si="295"/>
        <v>0.43500705266340728</v>
      </c>
      <c r="G112" s="395">
        <f t="shared" si="295"/>
        <v>0.58029460858861837</v>
      </c>
      <c r="H112" s="395">
        <f t="shared" si="296"/>
        <v>0.34494660745237471</v>
      </c>
      <c r="I112" s="492">
        <f t="shared" si="296"/>
        <v>0.76808580046176855</v>
      </c>
      <c r="J112" s="490"/>
      <c r="K112" s="487">
        <f t="shared" si="297"/>
        <v>0.88775510204081631</v>
      </c>
      <c r="L112" s="281">
        <f t="shared" si="298"/>
        <v>0.84615384615384626</v>
      </c>
      <c r="M112" s="281">
        <f t="shared" si="299"/>
        <v>4.1601255886970057E-2</v>
      </c>
      <c r="N112" s="395">
        <f t="shared" si="300"/>
        <v>0.80803300096931518</v>
      </c>
      <c r="O112" s="395">
        <f t="shared" si="300"/>
        <v>0.9426176216449822</v>
      </c>
      <c r="P112" s="395">
        <f t="shared" si="301"/>
        <v>0.54552894432344212</v>
      </c>
      <c r="Q112" s="395">
        <f t="shared" si="301"/>
        <v>0.98079332801747154</v>
      </c>
    </row>
    <row r="113" spans="2:17">
      <c r="B113" s="283">
        <f t="shared" si="291"/>
        <v>2007</v>
      </c>
      <c r="C113" s="281">
        <f t="shared" si="292"/>
        <v>0.71255060728744934</v>
      </c>
      <c r="D113" s="281">
        <f t="shared" si="293"/>
        <v>0.6428571428571429</v>
      </c>
      <c r="E113" s="281">
        <f t="shared" si="294"/>
        <v>6.969346443030644E-2</v>
      </c>
      <c r="F113" s="395">
        <f t="shared" si="295"/>
        <v>0.6517617671128817</v>
      </c>
      <c r="G113" s="395">
        <f t="shared" si="295"/>
        <v>0.76815687776312458</v>
      </c>
      <c r="H113" s="395">
        <f t="shared" si="296"/>
        <v>0.44065031274666661</v>
      </c>
      <c r="I113" s="492">
        <f t="shared" si="296"/>
        <v>0.81359333999955452</v>
      </c>
      <c r="J113" s="490"/>
      <c r="K113" s="487">
        <f t="shared" si="297"/>
        <v>0.9375</v>
      </c>
      <c r="L113" s="281">
        <f t="shared" si="298"/>
        <v>0.83333333333333326</v>
      </c>
      <c r="M113" s="281">
        <f t="shared" si="299"/>
        <v>0.10416666666666674</v>
      </c>
      <c r="N113" s="395">
        <f t="shared" si="300"/>
        <v>0.89092350448696944</v>
      </c>
      <c r="O113" s="395">
        <f t="shared" si="300"/>
        <v>0.96839031368433748</v>
      </c>
      <c r="P113" s="395">
        <f t="shared" si="301"/>
        <v>0.58582250860522578</v>
      </c>
      <c r="Q113" s="395">
        <f t="shared" si="301"/>
        <v>0.96421491687842542</v>
      </c>
    </row>
    <row r="114" spans="2:17">
      <c r="B114" s="283" t="str">
        <f t="shared" si="291"/>
        <v>Biop Avg</v>
      </c>
      <c r="C114" s="281"/>
      <c r="D114" s="281"/>
      <c r="E114" s="281"/>
      <c r="F114" s="395"/>
      <c r="G114" s="395"/>
      <c r="H114" s="395"/>
      <c r="I114" s="492"/>
      <c r="J114" s="490"/>
      <c r="K114" s="487"/>
      <c r="L114" s="281"/>
      <c r="M114" s="281"/>
      <c r="N114" s="395"/>
      <c r="O114" s="395"/>
      <c r="P114" s="395"/>
      <c r="Q114" s="395"/>
    </row>
    <row r="115" spans="2:17">
      <c r="B115" s="283">
        <f t="shared" si="291"/>
        <v>2008</v>
      </c>
      <c r="C115" s="281">
        <f t="shared" ref="C115:C129" si="302">E16</f>
        <v>0.69620253164556967</v>
      </c>
      <c r="D115" s="281">
        <f t="shared" ref="D115:D129" si="303">E48</f>
        <v>0.72796934865900387</v>
      </c>
      <c r="E115" s="281">
        <f t="shared" ref="E115:E129" si="304">C115-D115</f>
        <v>-3.1766817013434201E-2</v>
      </c>
      <c r="F115" s="395">
        <f t="shared" ref="F115:F129" si="305">AC16</f>
        <v>0.66705526284651562</v>
      </c>
      <c r="G115" s="395">
        <f t="shared" ref="G115:G129" si="306">AD16</f>
        <v>0.7242203531072251</v>
      </c>
      <c r="H115" s="395">
        <f t="shared" ref="H115:H127" si="307">AC48</f>
        <v>0.66967217166418036</v>
      </c>
      <c r="I115" s="492">
        <f t="shared" ref="I115:I127" si="308">AD48</f>
        <v>0.78100693312778036</v>
      </c>
      <c r="J115" s="490"/>
      <c r="K115" s="487">
        <f t="shared" ref="K115:K129" si="309">F16</f>
        <v>0.96083916083916088</v>
      </c>
      <c r="L115" s="281">
        <f t="shared" ref="L115:L129" si="310">F48</f>
        <v>0.90526315789473677</v>
      </c>
      <c r="M115" s="281">
        <f t="shared" ref="M115:M129" si="311">K115-L115</f>
        <v>5.5576002944424108E-2</v>
      </c>
      <c r="N115" s="395">
        <f t="shared" ref="N115:N129" si="312">AJ16</f>
        <v>0.94389690610850441</v>
      </c>
      <c r="O115" s="395">
        <f t="shared" ref="O115:O129" si="313">AK16</f>
        <v>0.97382295597332047</v>
      </c>
      <c r="P115" s="395">
        <f t="shared" ref="P115:P129" si="314">AJ48</f>
        <v>0.85440958466058858</v>
      </c>
      <c r="Q115" s="395">
        <f t="shared" ref="Q115:Q129" si="315">AK48</f>
        <v>0.94288205899665589</v>
      </c>
    </row>
    <row r="116" spans="2:17">
      <c r="B116" s="283">
        <f t="shared" si="291"/>
        <v>2009</v>
      </c>
      <c r="C116" s="281">
        <f t="shared" si="302"/>
        <v>0.59962049335863377</v>
      </c>
      <c r="D116" s="281">
        <f t="shared" si="303"/>
        <v>0.71739130434782605</v>
      </c>
      <c r="E116" s="281">
        <f t="shared" si="304"/>
        <v>-0.11777081098919229</v>
      </c>
      <c r="F116" s="395">
        <f t="shared" si="305"/>
        <v>0.55637610987769159</v>
      </c>
      <c r="G116" s="395">
        <f t="shared" si="306"/>
        <v>0.64174122160239655</v>
      </c>
      <c r="H116" s="395">
        <f t="shared" si="307"/>
        <v>0.6464545639456275</v>
      </c>
      <c r="I116" s="492">
        <f t="shared" si="308"/>
        <v>0.78117660968736502</v>
      </c>
      <c r="J116" s="490"/>
      <c r="K116" s="487">
        <f t="shared" si="309"/>
        <v>0.990506329113924</v>
      </c>
      <c r="L116" s="281">
        <f t="shared" si="310"/>
        <v>0.81818181818181834</v>
      </c>
      <c r="M116" s="281">
        <f t="shared" si="311"/>
        <v>0.17232451093210566</v>
      </c>
      <c r="N116" s="395">
        <f t="shared" si="312"/>
        <v>0.97250764052472205</v>
      </c>
      <c r="O116" s="395">
        <f t="shared" si="313"/>
        <v>0.9980378813726023</v>
      </c>
      <c r="P116" s="395">
        <f t="shared" si="314"/>
        <v>0.74165670246024351</v>
      </c>
      <c r="Q116" s="395">
        <f t="shared" si="315"/>
        <v>0.87989398004518937</v>
      </c>
    </row>
    <row r="117" spans="2:17">
      <c r="B117" s="283">
        <f t="shared" si="291"/>
        <v>2010</v>
      </c>
      <c r="C117" s="281">
        <f t="shared" si="302"/>
        <v>0.71243709561466573</v>
      </c>
      <c r="D117" s="281">
        <f t="shared" si="303"/>
        <v>0.7109335996005991</v>
      </c>
      <c r="E117" s="281">
        <f t="shared" si="304"/>
        <v>1.5034960140666298E-3</v>
      </c>
      <c r="F117" s="395">
        <f t="shared" si="305"/>
        <v>0.68786013242767008</v>
      </c>
      <c r="G117" s="395">
        <f t="shared" si="306"/>
        <v>0.73611336195698573</v>
      </c>
      <c r="H117" s="395">
        <f t="shared" si="307"/>
        <v>0.69053254913835604</v>
      </c>
      <c r="I117" s="492">
        <f t="shared" si="308"/>
        <v>0.7307154022772544</v>
      </c>
      <c r="J117" s="490"/>
      <c r="K117" s="487">
        <f t="shared" si="309"/>
        <v>0.98284561049444996</v>
      </c>
      <c r="L117" s="281">
        <f t="shared" si="310"/>
        <v>0.9389044943820225</v>
      </c>
      <c r="M117" s="281">
        <f t="shared" si="311"/>
        <v>4.3941116112427459E-2</v>
      </c>
      <c r="N117" s="395">
        <f t="shared" si="312"/>
        <v>0.97267585027520986</v>
      </c>
      <c r="O117" s="395">
        <f t="shared" si="313"/>
        <v>0.9899759935682827</v>
      </c>
      <c r="P117" s="395">
        <f t="shared" si="314"/>
        <v>0.92518202340748146</v>
      </c>
      <c r="Q117" s="395">
        <f t="shared" si="315"/>
        <v>0.95077899567177671</v>
      </c>
    </row>
    <row r="118" spans="2:17">
      <c r="B118" s="283">
        <f t="shared" si="291"/>
        <v>2011</v>
      </c>
      <c r="C118" s="281">
        <f t="shared" si="302"/>
        <v>0.65915852103697403</v>
      </c>
      <c r="D118" s="281">
        <f t="shared" si="303"/>
        <v>0.76595744680851063</v>
      </c>
      <c r="E118" s="281">
        <f t="shared" si="304"/>
        <v>-0.1067989257715366</v>
      </c>
      <c r="F118" s="395">
        <f t="shared" si="305"/>
        <v>0.63960528228775548</v>
      </c>
      <c r="G118" s="395">
        <f t="shared" si="306"/>
        <v>0.67831472681025462</v>
      </c>
      <c r="H118" s="395">
        <f t="shared" si="307"/>
        <v>0.7250078738675001</v>
      </c>
      <c r="I118" s="492">
        <f t="shared" si="308"/>
        <v>0.80352307196827422</v>
      </c>
      <c r="J118" s="490"/>
      <c r="K118" s="487">
        <f t="shared" si="309"/>
        <v>0.94777562862669262</v>
      </c>
      <c r="L118" s="281">
        <f t="shared" si="310"/>
        <v>0.79722222222222228</v>
      </c>
      <c r="M118" s="281">
        <f t="shared" si="311"/>
        <v>0.15055340640447035</v>
      </c>
      <c r="N118" s="395">
        <f t="shared" si="312"/>
        <v>0.93550514536623475</v>
      </c>
      <c r="O118" s="395">
        <f t="shared" si="313"/>
        <v>0.95831312533647228</v>
      </c>
      <c r="P118" s="395">
        <f t="shared" si="314"/>
        <v>0.7519264164157865</v>
      </c>
      <c r="Q118" s="395">
        <f t="shared" si="315"/>
        <v>0.83755116601793622</v>
      </c>
    </row>
    <row r="119" spans="2:17">
      <c r="B119" s="436">
        <f t="shared" si="291"/>
        <v>2012</v>
      </c>
      <c r="C119" s="495">
        <f t="shared" si="302"/>
        <v>0.80205761316872426</v>
      </c>
      <c r="D119" s="495">
        <f t="shared" si="303"/>
        <v>0.76400000000000001</v>
      </c>
      <c r="E119" s="495">
        <f t="shared" si="304"/>
        <v>3.8057613168724247E-2</v>
      </c>
      <c r="F119" s="496">
        <f t="shared" si="305"/>
        <v>0.78564958421429165</v>
      </c>
      <c r="G119" s="496">
        <f t="shared" si="306"/>
        <v>0.81773421835731464</v>
      </c>
      <c r="H119" s="496">
        <f t="shared" si="307"/>
        <v>0.72428081976672454</v>
      </c>
      <c r="I119" s="497">
        <f t="shared" si="308"/>
        <v>0.80056470301502292</v>
      </c>
      <c r="J119" s="468"/>
      <c r="K119" s="498">
        <f t="shared" si="309"/>
        <v>0.96203181118522318</v>
      </c>
      <c r="L119" s="495">
        <f t="shared" si="310"/>
        <v>0.78795811518324599</v>
      </c>
      <c r="M119" s="495">
        <f t="shared" si="311"/>
        <v>0.1740736960019772</v>
      </c>
      <c r="N119" s="496">
        <f t="shared" si="312"/>
        <v>0.95256693042841889</v>
      </c>
      <c r="O119" s="496">
        <f t="shared" si="313"/>
        <v>0.97007145805211359</v>
      </c>
      <c r="P119" s="496">
        <f t="shared" si="314"/>
        <v>0.74350047096651306</v>
      </c>
      <c r="Q119" s="496">
        <f t="shared" si="315"/>
        <v>0.82788810860077056</v>
      </c>
    </row>
    <row r="120" spans="2:17">
      <c r="B120" s="283">
        <f t="shared" si="291"/>
        <v>2013</v>
      </c>
      <c r="C120" s="281">
        <f t="shared" si="302"/>
        <v>0.69060114503816794</v>
      </c>
      <c r="D120" s="281">
        <f t="shared" si="303"/>
        <v>0.65864332603938736</v>
      </c>
      <c r="E120" s="281">
        <f t="shared" si="304"/>
        <v>3.1957818998780585E-2</v>
      </c>
      <c r="F120" s="395">
        <f t="shared" si="305"/>
        <v>0.67635960223613334</v>
      </c>
      <c r="G120" s="395">
        <f t="shared" si="306"/>
        <v>0.70457661991474052</v>
      </c>
      <c r="H120" s="395">
        <f t="shared" si="307"/>
        <v>0.61315672272436228</v>
      </c>
      <c r="I120" s="492">
        <f t="shared" si="308"/>
        <v>0.7020609046264783</v>
      </c>
      <c r="J120" s="490"/>
      <c r="K120" s="487">
        <f t="shared" si="309"/>
        <v>0.91157167530224525</v>
      </c>
      <c r="L120" s="281">
        <f t="shared" si="310"/>
        <v>0.78405315614617932</v>
      </c>
      <c r="M120" s="281">
        <f t="shared" si="311"/>
        <v>0.12751851915606593</v>
      </c>
      <c r="N120" s="395">
        <f t="shared" si="312"/>
        <v>0.90063605026115046</v>
      </c>
      <c r="O120" s="395">
        <f t="shared" si="313"/>
        <v>0.92166671010043344</v>
      </c>
      <c r="P120" s="395">
        <f t="shared" si="314"/>
        <v>0.73321793452188277</v>
      </c>
      <c r="Q120" s="395">
        <f t="shared" si="315"/>
        <v>0.82919984820051773</v>
      </c>
    </row>
    <row r="121" spans="2:17">
      <c r="B121" s="283">
        <f t="shared" si="291"/>
        <v>2014</v>
      </c>
      <c r="C121" s="281">
        <f t="shared" si="302"/>
        <v>0.7142857142857143</v>
      </c>
      <c r="D121" s="281">
        <f t="shared" si="303"/>
        <v>0.60426929392446638</v>
      </c>
      <c r="E121" s="281">
        <f t="shared" si="304"/>
        <v>0.11001642036124792</v>
      </c>
      <c r="F121" s="395">
        <f t="shared" si="305"/>
        <v>0.69830164205196932</v>
      </c>
      <c r="G121" s="395">
        <f t="shared" si="306"/>
        <v>0.72987796456478959</v>
      </c>
      <c r="H121" s="395">
        <f t="shared" si="307"/>
        <v>0.56418151509271552</v>
      </c>
      <c r="I121" s="492">
        <f t="shared" si="308"/>
        <v>0.64334092923865716</v>
      </c>
      <c r="J121" s="490"/>
      <c r="K121" s="487">
        <f t="shared" si="309"/>
        <v>0.95982532751091709</v>
      </c>
      <c r="L121" s="281">
        <f t="shared" si="310"/>
        <v>0.85054347826086962</v>
      </c>
      <c r="M121" s="281">
        <f t="shared" si="311"/>
        <v>0.10928184925004747</v>
      </c>
      <c r="N121" s="395">
        <f t="shared" si="312"/>
        <v>0.95095494581597195</v>
      </c>
      <c r="O121" s="395">
        <f t="shared" si="313"/>
        <v>0.96749294557086563</v>
      </c>
      <c r="P121" s="395">
        <f t="shared" si="314"/>
        <v>0.80994691116909623</v>
      </c>
      <c r="Q121" s="395">
        <f t="shared" si="315"/>
        <v>0.88538223133829763</v>
      </c>
    </row>
    <row r="122" spans="2:17">
      <c r="B122" s="283">
        <f t="shared" si="291"/>
        <v>2015</v>
      </c>
      <c r="C122" s="281">
        <f t="shared" si="302"/>
        <v>0.68916913946587532</v>
      </c>
      <c r="D122" s="281">
        <f t="shared" si="303"/>
        <v>0.65921787709497204</v>
      </c>
      <c r="E122" s="281">
        <f t="shared" si="304"/>
        <v>2.9951262370903287E-2</v>
      </c>
      <c r="F122" s="395">
        <f t="shared" si="305"/>
        <v>0.66369799387751161</v>
      </c>
      <c r="G122" s="395">
        <f t="shared" si="306"/>
        <v>0.71381278819796423</v>
      </c>
      <c r="H122" s="395">
        <f t="shared" si="307"/>
        <v>0.62320101084324842</v>
      </c>
      <c r="I122" s="492">
        <f t="shared" si="308"/>
        <v>0.69391621994363706</v>
      </c>
      <c r="J122" s="490"/>
      <c r="K122" s="487">
        <f t="shared" si="309"/>
        <v>0.95909580193756738</v>
      </c>
      <c r="L122" s="281">
        <f t="shared" si="310"/>
        <v>0.94279661016949157</v>
      </c>
      <c r="M122" s="281">
        <f t="shared" si="311"/>
        <v>1.6299191768075816E-2</v>
      </c>
      <c r="N122" s="395">
        <f t="shared" si="312"/>
        <v>0.94428566066467901</v>
      </c>
      <c r="O122" s="395">
        <f t="shared" si="313"/>
        <v>0.9708939739317245</v>
      </c>
      <c r="P122" s="395">
        <f t="shared" si="314"/>
        <v>0.91786054959484364</v>
      </c>
      <c r="Q122" s="395">
        <f t="shared" si="315"/>
        <v>0.96196788865269744</v>
      </c>
    </row>
    <row r="123" spans="2:17">
      <c r="B123" s="283">
        <f t="shared" si="291"/>
        <v>2016</v>
      </c>
      <c r="C123" s="281">
        <f t="shared" si="302"/>
        <v>0.62678062678062674</v>
      </c>
      <c r="D123" s="281">
        <f t="shared" si="303"/>
        <v>0.69736842105263153</v>
      </c>
      <c r="E123" s="281">
        <f t="shared" si="304"/>
        <v>-7.0587794272004789E-2</v>
      </c>
      <c r="F123" s="395">
        <f t="shared" si="305"/>
        <v>0.57385804316446243</v>
      </c>
      <c r="G123" s="395">
        <f t="shared" si="306"/>
        <v>0.67754448809506074</v>
      </c>
      <c r="H123" s="395">
        <f t="shared" si="307"/>
        <v>0.58125278355309162</v>
      </c>
      <c r="I123" s="492">
        <f t="shared" si="308"/>
        <v>0.79754577362937129</v>
      </c>
      <c r="J123" s="490"/>
      <c r="K123" s="487">
        <f t="shared" si="309"/>
        <v>0.95000000000000007</v>
      </c>
      <c r="L123" s="281">
        <f t="shared" si="310"/>
        <v>0.84905660377358494</v>
      </c>
      <c r="M123" s="281">
        <f t="shared" si="311"/>
        <v>0.10094339622641513</v>
      </c>
      <c r="N123" s="395">
        <f t="shared" si="312"/>
        <v>0.91229886083567724</v>
      </c>
      <c r="O123" s="395">
        <f t="shared" si="313"/>
        <v>0.97477918673970732</v>
      </c>
      <c r="P123" s="395">
        <f t="shared" si="314"/>
        <v>0.72407882114528321</v>
      </c>
      <c r="Q123" s="395">
        <f t="shared" si="315"/>
        <v>0.9325074618840361</v>
      </c>
    </row>
    <row r="124" spans="2:17">
      <c r="B124" s="283">
        <f t="shared" si="291"/>
        <v>2017</v>
      </c>
      <c r="C124" s="281">
        <f t="shared" si="302"/>
        <v>0.67500000000000004</v>
      </c>
      <c r="D124" s="281">
        <f t="shared" si="303"/>
        <v>0.6875</v>
      </c>
      <c r="E124" s="281">
        <f t="shared" si="304"/>
        <v>-1.2499999999999956E-2</v>
      </c>
      <c r="F124" s="395">
        <f t="shared" si="305"/>
        <v>0.58347275428072753</v>
      </c>
      <c r="G124" s="395">
        <f t="shared" si="306"/>
        <v>0.75765492993347539</v>
      </c>
      <c r="H124" s="395">
        <f t="shared" si="307"/>
        <v>0.49992241836783052</v>
      </c>
      <c r="I124" s="492">
        <f t="shared" si="308"/>
        <v>0.83881527591179939</v>
      </c>
      <c r="J124" s="490"/>
      <c r="K124" s="487">
        <f t="shared" si="309"/>
        <v>0.95061728395061729</v>
      </c>
      <c r="L124" s="281">
        <f t="shared" si="310"/>
        <v>0.95454545454545459</v>
      </c>
      <c r="M124" s="281">
        <f t="shared" si="311"/>
        <v>-3.9281705948372991E-3</v>
      </c>
      <c r="N124" s="395">
        <f t="shared" si="312"/>
        <v>0.87836186051348875</v>
      </c>
      <c r="O124" s="395">
        <f t="shared" si="313"/>
        <v>0.9863829129119368</v>
      </c>
      <c r="P124" s="395">
        <f t="shared" si="314"/>
        <v>0.77155560233236642</v>
      </c>
      <c r="Q124" s="395">
        <f t="shared" si="315"/>
        <v>0.99884985247342639</v>
      </c>
    </row>
    <row r="125" spans="2:17">
      <c r="B125" s="283">
        <f t="shared" si="291"/>
        <v>2018</v>
      </c>
      <c r="C125" s="281">
        <f t="shared" si="302"/>
        <v>0.66666666666666663</v>
      </c>
      <c r="D125" s="281">
        <f t="shared" si="303"/>
        <v>0.7142857142857143</v>
      </c>
      <c r="E125" s="281">
        <f t="shared" si="304"/>
        <v>-4.7619047619047672E-2</v>
      </c>
      <c r="F125" s="395">
        <f t="shared" si="305"/>
        <v>0.50451253573676913</v>
      </c>
      <c r="G125" s="395">
        <f t="shared" si="306"/>
        <v>0.80433195196348173</v>
      </c>
      <c r="H125" s="395">
        <f t="shared" si="307"/>
        <v>0.57790128104092331</v>
      </c>
      <c r="I125" s="492">
        <f t="shared" si="308"/>
        <v>0.82704824396580501</v>
      </c>
      <c r="J125" s="490"/>
      <c r="K125" s="487">
        <f t="shared" si="309"/>
        <v>0.96428571428571441</v>
      </c>
      <c r="L125" s="281">
        <f t="shared" si="310"/>
        <v>0.875</v>
      </c>
      <c r="M125" s="281">
        <f t="shared" si="311"/>
        <v>8.9285714285714413E-2</v>
      </c>
      <c r="N125" s="395">
        <f t="shared" si="312"/>
        <v>0.81652240245537633</v>
      </c>
      <c r="O125" s="395">
        <f t="shared" si="313"/>
        <v>0.99909620124434184</v>
      </c>
      <c r="P125" s="395">
        <f t="shared" si="314"/>
        <v>0.73196708263827959</v>
      </c>
      <c r="Q125" s="395">
        <f t="shared" si="315"/>
        <v>0.95814037386138329</v>
      </c>
    </row>
    <row r="126" spans="2:17">
      <c r="B126" s="283">
        <f t="shared" si="291"/>
        <v>2019</v>
      </c>
      <c r="C126" s="281">
        <f t="shared" si="302"/>
        <v>0.76388888888888884</v>
      </c>
      <c r="D126" s="281">
        <f t="shared" si="303"/>
        <v>0.75</v>
      </c>
      <c r="E126" s="281">
        <f t="shared" si="304"/>
        <v>1.388888888888884E-2</v>
      </c>
      <c r="F126" s="395">
        <f t="shared" si="305"/>
        <v>0.64909996598707598</v>
      </c>
      <c r="G126" s="395">
        <f t="shared" si="306"/>
        <v>0.85603393635459279</v>
      </c>
      <c r="H126" s="395">
        <f t="shared" si="307"/>
        <v>0.59661959226414119</v>
      </c>
      <c r="I126" s="492">
        <f t="shared" si="308"/>
        <v>0.86807256206635319</v>
      </c>
      <c r="J126" s="490"/>
      <c r="K126" s="487">
        <f t="shared" si="309"/>
        <v>0.98181818181818192</v>
      </c>
      <c r="L126" s="281">
        <f t="shared" si="310"/>
        <v>0.81818181818181823</v>
      </c>
      <c r="M126" s="281">
        <f t="shared" si="311"/>
        <v>0.16363636363636369</v>
      </c>
      <c r="N126" s="395">
        <f t="shared" si="312"/>
        <v>0.90280898425074674</v>
      </c>
      <c r="O126" s="395">
        <f t="shared" si="313"/>
        <v>0.99953978215120443</v>
      </c>
      <c r="P126" s="395">
        <f t="shared" si="314"/>
        <v>0.64539944054973097</v>
      </c>
      <c r="Q126" s="395">
        <f t="shared" si="315"/>
        <v>0.93021211633368983</v>
      </c>
    </row>
    <row r="127" spans="2:17">
      <c r="B127" s="283">
        <f t="shared" si="291"/>
        <v>2020</v>
      </c>
      <c r="C127" s="281">
        <f t="shared" si="302"/>
        <v>0.81040892193308545</v>
      </c>
      <c r="D127" s="281">
        <f t="shared" si="303"/>
        <v>0.74402730375426618</v>
      </c>
      <c r="E127" s="281">
        <f t="shared" si="304"/>
        <v>6.6381618178819268E-2</v>
      </c>
      <c r="F127" s="395">
        <f t="shared" si="305"/>
        <v>0.77468550177705808</v>
      </c>
      <c r="G127" s="395">
        <f t="shared" si="306"/>
        <v>0.84267953364199133</v>
      </c>
      <c r="H127" s="395">
        <f t="shared" si="307"/>
        <v>0.69003452014360789</v>
      </c>
      <c r="I127" s="492">
        <f t="shared" si="308"/>
        <v>0.7930099514118446</v>
      </c>
      <c r="J127" s="490"/>
      <c r="K127" s="487">
        <f t="shared" si="309"/>
        <v>0.95412844036697264</v>
      </c>
      <c r="L127" s="281">
        <f t="shared" si="310"/>
        <v>0.89908256880733939</v>
      </c>
      <c r="M127" s="281">
        <f t="shared" si="311"/>
        <v>5.5045871559633253E-2</v>
      </c>
      <c r="N127" s="395">
        <f t="shared" si="312"/>
        <v>0.93004198748521261</v>
      </c>
      <c r="O127" s="395">
        <f t="shared" si="313"/>
        <v>0.97175865889321622</v>
      </c>
      <c r="P127" s="395">
        <f t="shared" si="314"/>
        <v>0.85120083841419147</v>
      </c>
      <c r="Q127" s="395">
        <f t="shared" si="315"/>
        <v>0.93566807935780005</v>
      </c>
    </row>
    <row r="128" spans="2:17">
      <c r="B128" s="283">
        <f t="shared" si="291"/>
        <v>2021</v>
      </c>
      <c r="C128" s="281">
        <f t="shared" si="302"/>
        <v>0.83916083916083917</v>
      </c>
      <c r="D128" s="281">
        <f t="shared" si="303"/>
        <v>0.70491803278688525</v>
      </c>
      <c r="E128" s="281">
        <f t="shared" si="304"/>
        <v>0.13424280637395392</v>
      </c>
      <c r="F128" s="395">
        <f t="shared" si="305"/>
        <v>0.79135439300897359</v>
      </c>
      <c r="G128" s="395">
        <f t="shared" si="306"/>
        <v>0.87977506558185781</v>
      </c>
      <c r="H128" s="395">
        <f>AC61</f>
        <v>0.6155825373797652</v>
      </c>
      <c r="I128" s="492">
        <f t="shared" ref="I128:I129" si="316">AD61</f>
        <v>0.78402185635602628</v>
      </c>
      <c r="J128" s="490"/>
      <c r="K128" s="487">
        <f t="shared" si="309"/>
        <v>0.97916666666666663</v>
      </c>
      <c r="L128" s="281">
        <f t="shared" si="310"/>
        <v>0.89534883720930236</v>
      </c>
      <c r="M128" s="281">
        <f t="shared" si="311"/>
        <v>8.3817829457364268E-2</v>
      </c>
      <c r="N128" s="395">
        <f t="shared" si="312"/>
        <v>0.95205430080055486</v>
      </c>
      <c r="O128" s="395">
        <f t="shared" si="313"/>
        <v>0.99320168937921327</v>
      </c>
      <c r="P128" s="395">
        <f t="shared" si="314"/>
        <v>0.81061445582684077</v>
      </c>
      <c r="Q128" s="395">
        <f t="shared" si="315"/>
        <v>0.95101766299158508</v>
      </c>
    </row>
    <row r="129" spans="2:26">
      <c r="B129" s="283">
        <f t="shared" si="291"/>
        <v>2022</v>
      </c>
      <c r="C129" s="281">
        <f t="shared" si="302"/>
        <v>0.75169300225733637</v>
      </c>
      <c r="D129" s="281">
        <f t="shared" si="303"/>
        <v>0.64864864864864868</v>
      </c>
      <c r="E129" s="281">
        <f t="shared" si="304"/>
        <v>0.10304435360868769</v>
      </c>
      <c r="F129" s="395">
        <f t="shared" si="305"/>
        <v>0.70873145773779667</v>
      </c>
      <c r="G129" s="395">
        <f t="shared" si="306"/>
        <v>0.79125644709005249</v>
      </c>
      <c r="H129" s="395">
        <f t="shared" ref="H129" si="317">AC62</f>
        <v>0.55228781077430256</v>
      </c>
      <c r="I129" s="492">
        <f t="shared" si="316"/>
        <v>0.73686070244020363</v>
      </c>
      <c r="J129" s="490"/>
      <c r="K129" s="487">
        <f t="shared" si="309"/>
        <v>0.96696696696696682</v>
      </c>
      <c r="L129" s="281">
        <f t="shared" si="310"/>
        <v>0.84722222222222221</v>
      </c>
      <c r="M129" s="281">
        <f t="shared" si="311"/>
        <v>0.11974474474474461</v>
      </c>
      <c r="N129" s="395">
        <f t="shared" si="312"/>
        <v>0.94166450218815412</v>
      </c>
      <c r="O129" s="395">
        <f t="shared" si="313"/>
        <v>0.98339689951767939</v>
      </c>
      <c r="P129" s="395">
        <f t="shared" si="314"/>
        <v>0.74305987675172191</v>
      </c>
      <c r="Q129" s="395">
        <f t="shared" si="315"/>
        <v>0.9211880368120583</v>
      </c>
    </row>
    <row r="131" spans="2:26">
      <c r="B131" s="282" t="s">
        <v>223</v>
      </c>
      <c r="C131" s="281">
        <f>+AVERAGE(C115:C123)</f>
        <v>0.68781254226610578</v>
      </c>
      <c r="D131" s="281">
        <f>+AVERAGE(D115:D123)</f>
        <v>0.70063895750304406</v>
      </c>
      <c r="E131" s="281">
        <f>C131-D131</f>
        <v>-1.2826415236938282E-2</v>
      </c>
      <c r="F131" s="281"/>
      <c r="G131" s="283"/>
      <c r="H131" s="283"/>
      <c r="I131" s="485"/>
      <c r="J131" s="490"/>
      <c r="K131" s="487">
        <f>+AVERAGE(K115:K123)</f>
        <v>0.95827681611224236</v>
      </c>
      <c r="L131" s="281">
        <f>+AVERAGE(L115:L123)</f>
        <v>0.85266440624601914</v>
      </c>
      <c r="M131" s="281">
        <f>K131-L131</f>
        <v>0.10561240986622322</v>
      </c>
      <c r="N131" s="283"/>
      <c r="O131" s="283"/>
      <c r="P131" s="283"/>
      <c r="Q131" s="283"/>
    </row>
    <row r="132" spans="2:26">
      <c r="B132" s="282" t="s">
        <v>226</v>
      </c>
      <c r="C132" s="281"/>
      <c r="D132" s="281"/>
      <c r="E132" s="283"/>
      <c r="F132" s="283"/>
      <c r="G132" s="283"/>
      <c r="H132" s="283"/>
      <c r="I132" s="485"/>
      <c r="J132" s="491"/>
      <c r="K132" s="488"/>
      <c r="L132" s="283"/>
      <c r="M132" s="283"/>
      <c r="N132" s="283"/>
      <c r="O132" s="283"/>
      <c r="P132" s="283"/>
      <c r="Q132" s="283"/>
    </row>
    <row r="135" spans="2:26">
      <c r="B135" t="s">
        <v>302</v>
      </c>
      <c r="C135" s="382">
        <f>AVERAGE(C108:C129)</f>
        <v>0.7099890711377681</v>
      </c>
      <c r="D135" s="382">
        <f>AVERAGE(D108:D129)</f>
        <v>0.6765357898008062</v>
      </c>
      <c r="J135" t="s">
        <v>302</v>
      </c>
      <c r="K135" s="382">
        <f>AVERAGE(K108:K129)</f>
        <v>0.94865134647596372</v>
      </c>
      <c r="L135" s="382">
        <f>AVERAGE(L108:L129)</f>
        <v>0.82639101776338686</v>
      </c>
    </row>
    <row r="137" spans="2:26">
      <c r="P137" s="272"/>
    </row>
    <row r="138" spans="2:26">
      <c r="P138" s="272"/>
    </row>
    <row r="140" spans="2:26">
      <c r="Z140" s="455"/>
    </row>
    <row r="141" spans="2:26" ht="14.4">
      <c r="K141" s="494"/>
      <c r="L141" s="494"/>
      <c r="M141" s="494"/>
      <c r="N141" s="494"/>
      <c r="O141" s="494"/>
      <c r="P141" s="494"/>
      <c r="Q141" s="494"/>
      <c r="R141" s="494"/>
      <c r="S141" s="494"/>
      <c r="T141" s="455"/>
      <c r="U141" s="455"/>
      <c r="Y141" s="499"/>
      <c r="Z141" s="500"/>
    </row>
    <row r="142" spans="2:26" ht="14.4">
      <c r="K142" s="494"/>
      <c r="L142" s="494"/>
      <c r="M142" s="494"/>
      <c r="N142" s="494"/>
      <c r="O142" s="494"/>
      <c r="P142" s="494"/>
      <c r="Q142" s="494"/>
      <c r="R142" s="494"/>
      <c r="S142" s="494"/>
      <c r="T142" s="455"/>
      <c r="U142" s="455"/>
      <c r="Y142" s="499"/>
      <c r="Z142" s="500"/>
    </row>
    <row r="143" spans="2:26" ht="14.4">
      <c r="K143" s="494"/>
      <c r="L143" s="494"/>
      <c r="M143" s="494"/>
      <c r="N143" s="494"/>
      <c r="O143" s="494"/>
      <c r="P143" s="494"/>
      <c r="Q143" s="494"/>
      <c r="R143" s="494"/>
      <c r="S143" s="494"/>
      <c r="T143" s="455"/>
      <c r="U143" s="455"/>
      <c r="Z143" s="455"/>
    </row>
    <row r="144" spans="2:26" ht="14.4">
      <c r="K144" s="494"/>
      <c r="L144" s="494"/>
      <c r="M144" s="494"/>
      <c r="N144" s="494"/>
      <c r="O144" s="494"/>
      <c r="P144" s="494"/>
      <c r="Q144" s="494"/>
      <c r="R144" s="494"/>
      <c r="S144" s="494"/>
      <c r="T144" s="455"/>
      <c r="U144" s="455"/>
      <c r="Z144" s="455"/>
    </row>
    <row r="145" spans="1:19" ht="14.4">
      <c r="K145" s="494"/>
      <c r="L145" s="494"/>
      <c r="M145" s="494"/>
      <c r="N145" s="494"/>
      <c r="O145" s="494"/>
      <c r="P145" s="494"/>
      <c r="Q145" s="494"/>
      <c r="R145" s="494"/>
      <c r="S145" s="494"/>
    </row>
    <row r="146" spans="1:19" ht="14.4">
      <c r="K146" s="494"/>
      <c r="L146" s="494"/>
      <c r="M146" s="494"/>
      <c r="N146" s="494"/>
      <c r="O146" s="494"/>
      <c r="P146" s="494"/>
      <c r="Q146" s="494"/>
      <c r="R146" s="494"/>
      <c r="S146" s="494"/>
    </row>
    <row r="147" spans="1:19" ht="14.4">
      <c r="K147" s="494"/>
      <c r="L147" s="494"/>
      <c r="M147" s="494"/>
      <c r="N147" s="494"/>
      <c r="O147" s="494"/>
      <c r="P147" s="494"/>
      <c r="Q147" s="494"/>
    </row>
    <row r="148" spans="1:19" ht="14.4">
      <c r="K148" s="494"/>
      <c r="L148" s="494"/>
      <c r="M148" s="494"/>
      <c r="N148" s="494"/>
      <c r="O148" s="494"/>
      <c r="P148" s="494"/>
      <c r="Q148" s="494"/>
    </row>
    <row r="149" spans="1:19" ht="14.4">
      <c r="K149" s="494"/>
      <c r="L149" s="494"/>
      <c r="M149" s="494"/>
      <c r="N149" s="494"/>
      <c r="O149" s="494"/>
      <c r="P149" s="494"/>
      <c r="Q149" s="494"/>
    </row>
    <row r="153" spans="1:19" ht="14.4">
      <c r="A153" s="630" t="s">
        <v>230</v>
      </c>
      <c r="B153" s="630" t="s">
        <v>333</v>
      </c>
      <c r="C153" s="630" t="s">
        <v>389</v>
      </c>
      <c r="D153" s="630" t="s">
        <v>390</v>
      </c>
      <c r="E153" s="630" t="s">
        <v>391</v>
      </c>
      <c r="F153" s="630" t="s">
        <v>392</v>
      </c>
      <c r="G153" s="630" t="s">
        <v>393</v>
      </c>
      <c r="H153" s="630" t="s">
        <v>394</v>
      </c>
      <c r="I153" s="630" t="s">
        <v>395</v>
      </c>
      <c r="J153" s="630" t="s">
        <v>396</v>
      </c>
    </row>
    <row r="154" spans="1:19" ht="14.4">
      <c r="A154" s="631"/>
      <c r="B154" s="632"/>
      <c r="C154" s="631"/>
      <c r="D154" s="631"/>
      <c r="E154" s="631"/>
      <c r="F154" s="631"/>
      <c r="G154" s="631"/>
      <c r="H154" s="631"/>
      <c r="I154" s="631"/>
      <c r="J154" s="631"/>
    </row>
    <row r="155" spans="1:19" ht="28.8">
      <c r="A155" s="633" t="s">
        <v>398</v>
      </c>
      <c r="B155" s="632"/>
      <c r="C155" s="631"/>
      <c r="D155" s="631"/>
      <c r="E155" s="631"/>
      <c r="F155" s="631"/>
      <c r="G155" s="631"/>
      <c r="H155" s="631"/>
      <c r="I155" s="631"/>
      <c r="J155" s="631"/>
    </row>
    <row r="156" spans="1:19" ht="14.4">
      <c r="A156" s="631"/>
      <c r="B156" s="632"/>
      <c r="C156" s="631"/>
      <c r="D156" s="631"/>
      <c r="E156" s="631"/>
      <c r="F156" s="631"/>
      <c r="G156" s="631"/>
      <c r="H156" s="631"/>
      <c r="I156" s="631"/>
      <c r="J156" s="631"/>
    </row>
    <row r="157" spans="1:19" ht="14.4">
      <c r="A157" s="631"/>
      <c r="B157" s="632"/>
      <c r="C157" s="631"/>
      <c r="D157" s="631"/>
      <c r="E157" s="631"/>
      <c r="F157" s="631"/>
      <c r="G157" s="631"/>
      <c r="H157" s="631"/>
      <c r="I157" s="631"/>
      <c r="J157" s="631"/>
    </row>
    <row r="158" spans="1:19" ht="14.4">
      <c r="A158" s="631"/>
      <c r="B158" s="632"/>
      <c r="C158" s="631"/>
      <c r="D158" s="631"/>
      <c r="E158" s="631"/>
      <c r="F158" s="631"/>
      <c r="G158" s="631"/>
      <c r="H158" s="631"/>
      <c r="I158" s="631"/>
      <c r="J158" s="631"/>
    </row>
    <row r="159" spans="1:19" ht="14.4">
      <c r="A159" s="633" t="s">
        <v>397</v>
      </c>
      <c r="B159" s="632"/>
      <c r="C159" s="631"/>
      <c r="D159" s="631"/>
      <c r="E159" s="631"/>
      <c r="F159" s="631"/>
      <c r="G159" s="631"/>
      <c r="H159" s="631"/>
      <c r="I159" s="631"/>
      <c r="J159" s="631"/>
    </row>
    <row r="160" spans="1:19" ht="14.4">
      <c r="A160" s="631"/>
      <c r="B160" s="632"/>
      <c r="C160" s="631"/>
      <c r="D160" s="631"/>
      <c r="E160" s="634"/>
      <c r="F160" s="631"/>
      <c r="G160" s="631"/>
      <c r="H160" s="631"/>
      <c r="I160" s="631"/>
      <c r="J160" s="631"/>
    </row>
    <row r="161" spans="1:12" ht="14.4">
      <c r="A161" s="631">
        <v>2017</v>
      </c>
      <c r="B161" s="632" t="s">
        <v>335</v>
      </c>
      <c r="C161" s="631">
        <v>104</v>
      </c>
      <c r="D161" s="631">
        <v>86</v>
      </c>
      <c r="E161" s="634">
        <v>0</v>
      </c>
      <c r="F161" s="631">
        <v>67</v>
      </c>
      <c r="G161" s="631">
        <v>61</v>
      </c>
      <c r="H161" s="631">
        <v>66</v>
      </c>
      <c r="I161" s="631">
        <v>64</v>
      </c>
      <c r="J161" s="631">
        <v>63</v>
      </c>
    </row>
    <row r="162" spans="1:12" ht="14.4">
      <c r="A162" s="631">
        <v>2018</v>
      </c>
      <c r="B162" s="632" t="s">
        <v>335</v>
      </c>
      <c r="C162" s="631">
        <v>42</v>
      </c>
      <c r="D162" s="631">
        <v>37</v>
      </c>
      <c r="E162" s="634">
        <v>0</v>
      </c>
      <c r="F162" s="631">
        <v>28</v>
      </c>
      <c r="G162" s="631">
        <v>25</v>
      </c>
      <c r="H162" s="631">
        <v>27</v>
      </c>
      <c r="I162" s="631">
        <v>27</v>
      </c>
      <c r="J162" s="631">
        <v>27</v>
      </c>
    </row>
    <row r="163" spans="1:12" ht="14.4">
      <c r="A163" s="631">
        <v>2019</v>
      </c>
      <c r="B163" s="632" t="s">
        <v>335</v>
      </c>
      <c r="C163" s="631">
        <v>72</v>
      </c>
      <c r="D163" s="631">
        <v>64</v>
      </c>
      <c r="E163" s="634">
        <v>0</v>
      </c>
      <c r="F163" s="631">
        <v>55</v>
      </c>
      <c r="G163" s="631">
        <v>51</v>
      </c>
      <c r="H163" s="631">
        <v>54</v>
      </c>
      <c r="I163" s="631">
        <v>54</v>
      </c>
      <c r="J163" s="631">
        <v>54</v>
      </c>
    </row>
    <row r="164" spans="1:12" ht="14.4">
      <c r="A164" s="631">
        <v>2020</v>
      </c>
      <c r="B164" s="632" t="s">
        <v>335</v>
      </c>
      <c r="C164" s="631">
        <v>538</v>
      </c>
      <c r="D164" s="631">
        <v>476</v>
      </c>
      <c r="E164" s="634">
        <v>0</v>
      </c>
      <c r="F164" s="631">
        <v>436</v>
      </c>
      <c r="G164" s="631">
        <v>404</v>
      </c>
      <c r="H164" s="631">
        <v>428</v>
      </c>
      <c r="I164" s="631">
        <v>419</v>
      </c>
      <c r="J164" s="631">
        <v>416</v>
      </c>
    </row>
    <row r="165" spans="1:12" ht="14.4">
      <c r="A165" s="631">
        <v>2021</v>
      </c>
      <c r="B165" s="632" t="s">
        <v>335</v>
      </c>
      <c r="C165" s="631">
        <v>286</v>
      </c>
      <c r="D165" s="631">
        <v>261</v>
      </c>
      <c r="E165" s="634">
        <v>0</v>
      </c>
      <c r="F165" s="631">
        <v>240</v>
      </c>
      <c r="G165" s="631">
        <v>220</v>
      </c>
      <c r="H165" s="631">
        <v>234</v>
      </c>
      <c r="I165" s="631">
        <v>234</v>
      </c>
      <c r="J165" s="631">
        <v>235</v>
      </c>
    </row>
    <row r="166" spans="1:12" ht="14.4">
      <c r="A166" s="631">
        <v>2022</v>
      </c>
      <c r="B166" s="632" t="s">
        <v>335</v>
      </c>
      <c r="C166" s="631">
        <v>443</v>
      </c>
      <c r="D166" s="631">
        <v>379</v>
      </c>
      <c r="E166" s="634">
        <v>0</v>
      </c>
      <c r="F166" s="631">
        <v>333</v>
      </c>
      <c r="G166" s="631">
        <v>318</v>
      </c>
      <c r="H166" s="631">
        <v>325</v>
      </c>
      <c r="I166" s="631">
        <v>323</v>
      </c>
      <c r="J166" s="631">
        <v>322</v>
      </c>
    </row>
    <row r="167" spans="1:12" ht="14.4">
      <c r="A167" s="631"/>
      <c r="B167" s="632"/>
      <c r="C167" s="631"/>
      <c r="D167" s="631"/>
      <c r="E167" s="634"/>
      <c r="F167" s="631"/>
      <c r="G167" s="631"/>
      <c r="H167" s="631"/>
      <c r="I167" s="631"/>
      <c r="J167" s="631"/>
    </row>
    <row r="168" spans="1:12" ht="14.4">
      <c r="A168" s="631"/>
      <c r="B168" s="632"/>
      <c r="C168" s="631"/>
      <c r="D168" s="631"/>
      <c r="E168" s="634"/>
      <c r="F168" s="631"/>
      <c r="G168" s="631"/>
      <c r="H168" s="631"/>
      <c r="I168" s="631"/>
      <c r="J168" s="631"/>
    </row>
    <row r="169" spans="1:12" ht="14.4">
      <c r="A169" s="631"/>
      <c r="B169" s="632"/>
      <c r="C169" s="631"/>
      <c r="D169" s="631"/>
      <c r="E169" s="634"/>
      <c r="F169" s="631"/>
      <c r="G169" s="631"/>
      <c r="H169" s="631"/>
      <c r="I169" s="631"/>
      <c r="J169" s="631"/>
    </row>
    <row r="170" spans="1:12" ht="28.8">
      <c r="A170" s="633" t="s">
        <v>281</v>
      </c>
      <c r="B170" s="632"/>
      <c r="C170" s="631"/>
      <c r="D170" s="631"/>
      <c r="E170" s="634"/>
      <c r="F170" s="631"/>
      <c r="G170" s="631"/>
      <c r="H170" s="631"/>
      <c r="I170" s="631"/>
      <c r="J170" s="631"/>
      <c r="K170" s="66"/>
      <c r="L170" s="66"/>
    </row>
    <row r="171" spans="1:12" ht="14.4">
      <c r="A171" s="631">
        <v>2017</v>
      </c>
      <c r="B171" s="632" t="s">
        <v>328</v>
      </c>
      <c r="C171" s="631">
        <v>23</v>
      </c>
      <c r="D171" s="631">
        <v>19</v>
      </c>
      <c r="E171" s="634">
        <v>0</v>
      </c>
      <c r="F171" s="631">
        <v>13</v>
      </c>
      <c r="G171" s="631">
        <v>12</v>
      </c>
      <c r="H171" s="631">
        <v>11</v>
      </c>
      <c r="I171" s="631">
        <v>12</v>
      </c>
      <c r="J171" s="631">
        <v>12</v>
      </c>
      <c r="K171" s="66"/>
      <c r="L171" s="66"/>
    </row>
    <row r="172" spans="1:12" ht="14.4">
      <c r="A172" s="631">
        <v>2018</v>
      </c>
      <c r="B172" s="632" t="s">
        <v>328</v>
      </c>
      <c r="C172" s="631">
        <v>56</v>
      </c>
      <c r="D172" s="631">
        <v>47</v>
      </c>
      <c r="E172" s="634">
        <v>0</v>
      </c>
      <c r="F172" s="631">
        <v>40</v>
      </c>
      <c r="G172" s="631">
        <v>36</v>
      </c>
      <c r="H172" s="631">
        <v>36</v>
      </c>
      <c r="I172" s="631">
        <v>34</v>
      </c>
      <c r="J172" s="631">
        <v>35</v>
      </c>
      <c r="K172" s="66"/>
      <c r="L172" s="66"/>
    </row>
    <row r="173" spans="1:12" ht="14.4">
      <c r="A173" s="631">
        <v>2019</v>
      </c>
      <c r="B173" s="632" t="s">
        <v>328</v>
      </c>
      <c r="C173" s="631">
        <v>44</v>
      </c>
      <c r="D173" s="631">
        <v>38</v>
      </c>
      <c r="E173" s="634">
        <v>0</v>
      </c>
      <c r="F173" s="631">
        <v>33</v>
      </c>
      <c r="G173" s="631">
        <v>28</v>
      </c>
      <c r="H173" s="631">
        <v>28</v>
      </c>
      <c r="I173" s="631">
        <v>27</v>
      </c>
      <c r="J173" s="631">
        <v>27</v>
      </c>
      <c r="K173" s="66"/>
      <c r="L173" s="66"/>
    </row>
    <row r="174" spans="1:12" ht="14.4">
      <c r="A174" s="631">
        <v>2020</v>
      </c>
      <c r="B174" s="632" t="s">
        <v>328</v>
      </c>
      <c r="C174" s="631">
        <v>293</v>
      </c>
      <c r="D174" s="631">
        <v>254</v>
      </c>
      <c r="E174" s="634">
        <v>0</v>
      </c>
      <c r="F174" s="631">
        <v>218</v>
      </c>
      <c r="G174" s="631">
        <v>208</v>
      </c>
      <c r="H174" s="631">
        <v>201</v>
      </c>
      <c r="I174" s="631">
        <v>196</v>
      </c>
      <c r="J174" s="631">
        <v>196</v>
      </c>
      <c r="K174" s="66"/>
      <c r="L174" s="66"/>
    </row>
    <row r="175" spans="1:12" ht="14.4">
      <c r="A175" s="631">
        <v>2021</v>
      </c>
      <c r="B175" s="632" t="s">
        <v>328</v>
      </c>
      <c r="C175" s="631">
        <v>122</v>
      </c>
      <c r="D175" s="631">
        <v>109</v>
      </c>
      <c r="E175" s="634">
        <v>0</v>
      </c>
      <c r="F175" s="631">
        <v>86</v>
      </c>
      <c r="G175" s="631">
        <v>83</v>
      </c>
      <c r="H175" s="631">
        <v>78</v>
      </c>
      <c r="I175" s="631">
        <v>77</v>
      </c>
      <c r="J175" s="631">
        <v>77</v>
      </c>
      <c r="K175" s="66"/>
      <c r="L175" s="66"/>
    </row>
    <row r="176" spans="1:12" ht="14.4">
      <c r="A176" s="631">
        <v>2022</v>
      </c>
      <c r="B176" s="632" t="s">
        <v>328</v>
      </c>
      <c r="C176" s="631">
        <v>111</v>
      </c>
      <c r="D176" s="631">
        <v>98</v>
      </c>
      <c r="E176" s="634">
        <v>0</v>
      </c>
      <c r="F176" s="631">
        <v>72</v>
      </c>
      <c r="G176" s="631">
        <v>65</v>
      </c>
      <c r="H176" s="631">
        <v>64</v>
      </c>
      <c r="I176" s="631">
        <v>63</v>
      </c>
      <c r="J176" s="631">
        <v>61</v>
      </c>
      <c r="K176" s="66"/>
      <c r="L176" s="66"/>
    </row>
    <row r="177" spans="1:12">
      <c r="A177" s="66"/>
      <c r="B177" s="66"/>
      <c r="C177" s="66"/>
      <c r="D177" s="66"/>
      <c r="E177" s="635"/>
      <c r="F177" s="66"/>
      <c r="G177" s="66"/>
      <c r="H177" s="66"/>
      <c r="I177" s="66"/>
      <c r="J177" s="66"/>
      <c r="K177" s="66"/>
      <c r="L177" s="66"/>
    </row>
    <row r="178" spans="1:12">
      <c r="A178" s="66"/>
      <c r="B178" s="66"/>
      <c r="C178" s="66"/>
      <c r="D178" s="66"/>
      <c r="E178" s="66"/>
      <c r="F178" s="66"/>
      <c r="G178" s="66"/>
      <c r="H178" s="66"/>
      <c r="I178" s="66"/>
      <c r="J178" s="66"/>
      <c r="K178" s="66"/>
      <c r="L178" s="66"/>
    </row>
    <row r="179" spans="1:12">
      <c r="A179" s="66"/>
      <c r="B179" s="66"/>
      <c r="C179" s="66"/>
      <c r="D179" s="66"/>
      <c r="E179" s="66"/>
      <c r="F179" s="66"/>
      <c r="G179" s="66"/>
      <c r="H179" s="66"/>
      <c r="I179" s="66"/>
      <c r="J179" s="66"/>
      <c r="K179" s="66"/>
      <c r="L179" s="66"/>
    </row>
    <row r="194" spans="1:1">
      <c r="A194">
        <v>2002</v>
      </c>
    </row>
  </sheetData>
  <sortState ref="A154:J175">
    <sortCondition ref="B154:B175"/>
  </sortState>
  <mergeCells count="22">
    <mergeCell ref="R39:T39"/>
    <mergeCell ref="U39:W39"/>
    <mergeCell ref="B38:P38"/>
    <mergeCell ref="B39:D39"/>
    <mergeCell ref="E39:G39"/>
    <mergeCell ref="H39:J39"/>
    <mergeCell ref="Q38:W38"/>
    <mergeCell ref="R7:T7"/>
    <mergeCell ref="U7:W7"/>
    <mergeCell ref="Q6:W6"/>
    <mergeCell ref="B6:P6"/>
    <mergeCell ref="B7:D7"/>
    <mergeCell ref="E7:G7"/>
    <mergeCell ref="H7:J7"/>
    <mergeCell ref="C106:D106"/>
    <mergeCell ref="F106:I106"/>
    <mergeCell ref="K106:L106"/>
    <mergeCell ref="N106:Q106"/>
    <mergeCell ref="K7:M7"/>
    <mergeCell ref="N7:P7"/>
    <mergeCell ref="K39:M39"/>
    <mergeCell ref="N39:P39"/>
  </mergeCells>
  <phoneticPr fontId="7" type="noConversion"/>
  <pageMargins left="0.25" right="0.25" top="0.75" bottom="0.75" header="0.3" footer="0.3"/>
  <pageSetup scale="77" orientation="landscape" r:id="rId1"/>
  <colBreaks count="1" manualBreakCount="1">
    <brk id="16" max="90"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6C15-1BEF-478A-B858-4BBEEADC486D}">
  <dimension ref="A1:K53"/>
  <sheetViews>
    <sheetView topLeftCell="A37" workbookViewId="0">
      <selection activeCell="K1" sqref="K1:K1048576"/>
    </sheetView>
  </sheetViews>
  <sheetFormatPr defaultRowHeight="13.2"/>
  <sheetData>
    <row r="1" spans="1:11" ht="14.4">
      <c r="A1" s="641" t="s">
        <v>308</v>
      </c>
      <c r="B1" s="641" t="s">
        <v>230</v>
      </c>
      <c r="C1" s="641" t="s">
        <v>333</v>
      </c>
      <c r="D1" s="641" t="s">
        <v>231</v>
      </c>
      <c r="E1" s="641" t="s">
        <v>232</v>
      </c>
      <c r="F1" s="641" t="s">
        <v>309</v>
      </c>
      <c r="G1" s="641" t="s">
        <v>233</v>
      </c>
      <c r="H1" s="641" t="s">
        <v>310</v>
      </c>
      <c r="I1" s="641" t="s">
        <v>234</v>
      </c>
      <c r="J1" s="641" t="s">
        <v>311</v>
      </c>
      <c r="K1" s="641" t="s">
        <v>312</v>
      </c>
    </row>
    <row r="2" spans="1:11" ht="28.8">
      <c r="A2" s="642" t="s">
        <v>318</v>
      </c>
      <c r="B2" s="643">
        <v>2008</v>
      </c>
      <c r="C2" s="642" t="s">
        <v>335</v>
      </c>
      <c r="D2" s="643">
        <v>1128</v>
      </c>
      <c r="E2" s="643">
        <v>0</v>
      </c>
      <c r="F2" s="643">
        <v>0</v>
      </c>
      <c r="G2" s="643">
        <v>828</v>
      </c>
      <c r="H2" s="643">
        <v>716</v>
      </c>
      <c r="I2" s="643">
        <v>0</v>
      </c>
      <c r="J2" s="643">
        <v>0</v>
      </c>
      <c r="K2" s="643">
        <v>796</v>
      </c>
    </row>
    <row r="3" spans="1:11" ht="28.8">
      <c r="A3" s="642" t="s">
        <v>318</v>
      </c>
      <c r="B3" s="643">
        <v>2008</v>
      </c>
      <c r="C3" s="642" t="s">
        <v>401</v>
      </c>
      <c r="D3" s="643">
        <v>9</v>
      </c>
      <c r="E3" s="643">
        <v>0</v>
      </c>
      <c r="F3" s="643">
        <v>0</v>
      </c>
      <c r="G3" s="643">
        <v>6</v>
      </c>
      <c r="H3" s="643">
        <v>6</v>
      </c>
      <c r="I3" s="643">
        <v>0</v>
      </c>
      <c r="J3" s="643">
        <v>0</v>
      </c>
      <c r="K3" s="643">
        <v>5</v>
      </c>
    </row>
    <row r="4" spans="1:11" ht="28.8">
      <c r="A4" s="642" t="s">
        <v>318</v>
      </c>
      <c r="B4" s="643">
        <v>2008</v>
      </c>
      <c r="C4" s="642" t="s">
        <v>328</v>
      </c>
      <c r="D4" s="643">
        <v>846</v>
      </c>
      <c r="E4" s="643">
        <v>0</v>
      </c>
      <c r="F4" s="643">
        <v>0</v>
      </c>
      <c r="G4" s="643">
        <v>653</v>
      </c>
      <c r="H4" s="643">
        <v>631</v>
      </c>
      <c r="I4" s="643">
        <v>0</v>
      </c>
      <c r="J4" s="643">
        <v>0</v>
      </c>
      <c r="K4" s="643">
        <v>612</v>
      </c>
    </row>
    <row r="5" spans="1:11" ht="28.8">
      <c r="A5" s="642" t="s">
        <v>318</v>
      </c>
      <c r="B5" s="643">
        <v>2009</v>
      </c>
      <c r="C5" s="642" t="s">
        <v>335</v>
      </c>
      <c r="D5" s="643">
        <v>1316</v>
      </c>
      <c r="E5" s="643">
        <v>0</v>
      </c>
      <c r="F5" s="643">
        <v>0</v>
      </c>
      <c r="G5" s="643">
        <v>1052</v>
      </c>
      <c r="H5" s="643">
        <v>1005</v>
      </c>
      <c r="I5" s="643">
        <v>0</v>
      </c>
      <c r="J5" s="643">
        <v>0</v>
      </c>
      <c r="K5" s="643">
        <v>1000</v>
      </c>
    </row>
    <row r="6" spans="1:11" ht="28.8">
      <c r="A6" s="642" t="s">
        <v>318</v>
      </c>
      <c r="B6" s="643">
        <v>2009</v>
      </c>
      <c r="C6" s="642" t="s">
        <v>401</v>
      </c>
      <c r="D6" s="643">
        <v>4</v>
      </c>
      <c r="E6" s="643">
        <v>0</v>
      </c>
      <c r="F6" s="643">
        <v>0</v>
      </c>
      <c r="G6" s="643">
        <v>4</v>
      </c>
      <c r="H6" s="643">
        <v>4</v>
      </c>
      <c r="I6" s="643">
        <v>0</v>
      </c>
      <c r="J6" s="643">
        <v>0</v>
      </c>
      <c r="K6" s="643">
        <v>4</v>
      </c>
    </row>
    <row r="7" spans="1:11" ht="28.8">
      <c r="A7" s="642" t="s">
        <v>318</v>
      </c>
      <c r="B7" s="643">
        <v>2009</v>
      </c>
      <c r="C7" s="642" t="s">
        <v>328</v>
      </c>
      <c r="D7" s="643">
        <v>421</v>
      </c>
      <c r="E7" s="643">
        <v>0</v>
      </c>
      <c r="F7" s="643">
        <v>0</v>
      </c>
      <c r="G7" s="643">
        <v>339</v>
      </c>
      <c r="H7" s="643">
        <v>322</v>
      </c>
      <c r="I7" s="643">
        <v>0</v>
      </c>
      <c r="J7" s="643">
        <v>0</v>
      </c>
      <c r="K7" s="643">
        <v>314</v>
      </c>
    </row>
    <row r="8" spans="1:11" ht="28.8">
      <c r="A8" s="642" t="s">
        <v>318</v>
      </c>
      <c r="B8" s="643">
        <v>2010</v>
      </c>
      <c r="C8" s="642" t="s">
        <v>335</v>
      </c>
      <c r="D8" s="643">
        <v>2380</v>
      </c>
      <c r="E8" s="643">
        <v>0</v>
      </c>
      <c r="F8" s="643">
        <v>0</v>
      </c>
      <c r="G8" s="643">
        <v>1881</v>
      </c>
      <c r="H8" s="643">
        <v>1573</v>
      </c>
      <c r="I8" s="643">
        <v>0</v>
      </c>
      <c r="J8" s="643">
        <v>0</v>
      </c>
      <c r="K8" s="643">
        <v>1776</v>
      </c>
    </row>
    <row r="9" spans="1:11" ht="28.8">
      <c r="A9" s="642" t="s">
        <v>318</v>
      </c>
      <c r="B9" s="643">
        <v>2010</v>
      </c>
      <c r="C9" s="642" t="s">
        <v>401</v>
      </c>
      <c r="D9" s="643">
        <v>16</v>
      </c>
      <c r="E9" s="643">
        <v>0</v>
      </c>
      <c r="F9" s="643">
        <v>0</v>
      </c>
      <c r="G9" s="643">
        <v>11</v>
      </c>
      <c r="H9" s="643">
        <v>11</v>
      </c>
      <c r="I9" s="643">
        <v>0</v>
      </c>
      <c r="J9" s="643">
        <v>0</v>
      </c>
      <c r="K9" s="643">
        <v>10</v>
      </c>
    </row>
    <row r="10" spans="1:11" ht="28.8">
      <c r="A10" s="642" t="s">
        <v>318</v>
      </c>
      <c r="B10" s="643">
        <v>2010</v>
      </c>
      <c r="C10" s="642" t="s">
        <v>328</v>
      </c>
      <c r="D10" s="643">
        <v>1963</v>
      </c>
      <c r="E10" s="643">
        <v>0</v>
      </c>
      <c r="F10" s="643">
        <v>0</v>
      </c>
      <c r="G10" s="643">
        <v>1468</v>
      </c>
      <c r="H10" s="643">
        <v>1410</v>
      </c>
      <c r="I10" s="643">
        <v>0</v>
      </c>
      <c r="J10" s="643">
        <v>0</v>
      </c>
      <c r="K10" s="643">
        <v>1354</v>
      </c>
    </row>
    <row r="11" spans="1:11" ht="28.8">
      <c r="A11" s="642" t="s">
        <v>318</v>
      </c>
      <c r="B11" s="643">
        <v>2011</v>
      </c>
      <c r="C11" s="642" t="s">
        <v>335</v>
      </c>
      <c r="D11" s="643">
        <v>1800</v>
      </c>
      <c r="E11" s="643">
        <v>0</v>
      </c>
      <c r="F11" s="643">
        <v>0</v>
      </c>
      <c r="G11" s="643">
        <v>1302</v>
      </c>
      <c r="H11" s="643">
        <v>1135</v>
      </c>
      <c r="I11" s="643">
        <v>0</v>
      </c>
      <c r="J11" s="643">
        <v>0</v>
      </c>
      <c r="K11" s="643">
        <v>1212</v>
      </c>
    </row>
    <row r="12" spans="1:11" ht="28.8">
      <c r="A12" s="642" t="s">
        <v>318</v>
      </c>
      <c r="B12" s="643">
        <v>2011</v>
      </c>
      <c r="C12" s="642" t="s">
        <v>401</v>
      </c>
      <c r="D12" s="643">
        <v>15</v>
      </c>
      <c r="E12" s="643">
        <v>0</v>
      </c>
      <c r="F12" s="643">
        <v>0</v>
      </c>
      <c r="G12" s="643">
        <v>12</v>
      </c>
      <c r="H12" s="643">
        <v>12</v>
      </c>
      <c r="I12" s="643">
        <v>0</v>
      </c>
      <c r="J12" s="643">
        <v>0</v>
      </c>
      <c r="K12" s="643">
        <v>12</v>
      </c>
    </row>
    <row r="13" spans="1:11" ht="28.8">
      <c r="A13" s="642" t="s">
        <v>318</v>
      </c>
      <c r="B13" s="643">
        <v>2011</v>
      </c>
      <c r="C13" s="642" t="s">
        <v>328</v>
      </c>
      <c r="D13" s="643">
        <v>970</v>
      </c>
      <c r="E13" s="643">
        <v>0</v>
      </c>
      <c r="F13" s="643">
        <v>0</v>
      </c>
      <c r="G13" s="643">
        <v>733</v>
      </c>
      <c r="H13" s="643">
        <v>686</v>
      </c>
      <c r="I13" s="643">
        <v>0</v>
      </c>
      <c r="J13" s="643">
        <v>0</v>
      </c>
      <c r="K13" s="643">
        <v>642</v>
      </c>
    </row>
    <row r="14" spans="1:11" ht="28.8">
      <c r="A14" s="642" t="s">
        <v>318</v>
      </c>
      <c r="B14" s="643">
        <v>2012</v>
      </c>
      <c r="C14" s="642" t="s">
        <v>335</v>
      </c>
      <c r="D14" s="643">
        <v>1630</v>
      </c>
      <c r="E14" s="643">
        <v>0</v>
      </c>
      <c r="F14" s="643">
        <v>0</v>
      </c>
      <c r="G14" s="643">
        <v>1315</v>
      </c>
      <c r="H14" s="643">
        <v>1215</v>
      </c>
      <c r="I14" s="643">
        <v>0</v>
      </c>
      <c r="J14" s="643">
        <v>0</v>
      </c>
      <c r="K14" s="643">
        <v>1217</v>
      </c>
    </row>
    <row r="15" spans="1:11" ht="28.8">
      <c r="A15" s="642" t="s">
        <v>318</v>
      </c>
      <c r="B15" s="643">
        <v>2012</v>
      </c>
      <c r="C15" s="642" t="s">
        <v>401</v>
      </c>
      <c r="D15" s="643">
        <v>7</v>
      </c>
      <c r="E15" s="643">
        <v>0</v>
      </c>
      <c r="F15" s="643">
        <v>0</v>
      </c>
      <c r="G15" s="643">
        <v>6</v>
      </c>
      <c r="H15" s="643">
        <v>5</v>
      </c>
      <c r="I15" s="643">
        <v>0</v>
      </c>
      <c r="J15" s="643">
        <v>0</v>
      </c>
      <c r="K15" s="643">
        <v>5</v>
      </c>
    </row>
    <row r="16" spans="1:11" ht="28.8">
      <c r="A16" s="642" t="s">
        <v>318</v>
      </c>
      <c r="B16" s="643">
        <v>2012</v>
      </c>
      <c r="C16" s="642" t="s">
        <v>328</v>
      </c>
      <c r="D16" s="643">
        <v>452</v>
      </c>
      <c r="E16" s="643">
        <v>0</v>
      </c>
      <c r="F16" s="643">
        <v>0</v>
      </c>
      <c r="G16" s="643">
        <v>349</v>
      </c>
      <c r="H16" s="643">
        <v>322</v>
      </c>
      <c r="I16" s="643">
        <v>0</v>
      </c>
      <c r="J16" s="643">
        <v>0</v>
      </c>
      <c r="K16" s="643">
        <v>296</v>
      </c>
    </row>
    <row r="17" spans="1:11" ht="28.8">
      <c r="A17" s="642" t="s">
        <v>318</v>
      </c>
      <c r="B17" s="643">
        <v>2013</v>
      </c>
      <c r="C17" s="642" t="s">
        <v>335</v>
      </c>
      <c r="D17" s="643">
        <v>757</v>
      </c>
      <c r="E17" s="643">
        <v>689</v>
      </c>
      <c r="F17" s="643">
        <v>0</v>
      </c>
      <c r="G17" s="643">
        <v>646</v>
      </c>
      <c r="H17" s="643">
        <v>552</v>
      </c>
      <c r="I17" s="643">
        <v>0</v>
      </c>
      <c r="J17" s="643">
        <v>0</v>
      </c>
      <c r="K17" s="643">
        <v>595</v>
      </c>
    </row>
    <row r="18" spans="1:11" ht="28.8">
      <c r="A18" s="642" t="s">
        <v>318</v>
      </c>
      <c r="B18" s="643">
        <v>2013</v>
      </c>
      <c r="C18" s="642" t="s">
        <v>401</v>
      </c>
      <c r="D18" s="643">
        <v>2</v>
      </c>
      <c r="E18" s="643">
        <v>2</v>
      </c>
      <c r="F18" s="643">
        <v>0</v>
      </c>
      <c r="G18" s="643">
        <v>2</v>
      </c>
      <c r="H18" s="643">
        <v>2</v>
      </c>
      <c r="I18" s="643">
        <v>0</v>
      </c>
      <c r="J18" s="643">
        <v>0</v>
      </c>
      <c r="K18" s="643">
        <v>2</v>
      </c>
    </row>
    <row r="19" spans="1:11" ht="28.8">
      <c r="A19" s="642" t="s">
        <v>318</v>
      </c>
      <c r="B19" s="643">
        <v>2013</v>
      </c>
      <c r="C19" s="642" t="s">
        <v>328</v>
      </c>
      <c r="D19" s="643">
        <v>284</v>
      </c>
      <c r="E19" s="643">
        <v>251</v>
      </c>
      <c r="F19" s="643">
        <v>0</v>
      </c>
      <c r="G19" s="643">
        <v>211</v>
      </c>
      <c r="H19" s="643">
        <v>206</v>
      </c>
      <c r="I19" s="643">
        <v>0</v>
      </c>
      <c r="J19" s="643">
        <v>0</v>
      </c>
      <c r="K19" s="643">
        <v>194</v>
      </c>
    </row>
    <row r="20" spans="1:11" ht="28.8">
      <c r="A20" s="642" t="s">
        <v>318</v>
      </c>
      <c r="B20" s="643">
        <v>2014</v>
      </c>
      <c r="C20" s="642" t="s">
        <v>335</v>
      </c>
      <c r="D20" s="643">
        <v>1566</v>
      </c>
      <c r="E20" s="643">
        <v>1307</v>
      </c>
      <c r="F20" s="643">
        <v>0</v>
      </c>
      <c r="G20" s="643">
        <v>1163</v>
      </c>
      <c r="H20" s="643">
        <v>1047</v>
      </c>
      <c r="I20" s="643">
        <v>1145</v>
      </c>
      <c r="J20" s="643">
        <v>1126</v>
      </c>
      <c r="K20" s="643">
        <v>1115</v>
      </c>
    </row>
    <row r="21" spans="1:11" ht="28.8">
      <c r="A21" s="642" t="s">
        <v>318</v>
      </c>
      <c r="B21" s="643">
        <v>2014</v>
      </c>
      <c r="C21" s="642" t="s">
        <v>401</v>
      </c>
      <c r="D21" s="643">
        <v>7</v>
      </c>
      <c r="E21" s="643">
        <v>6</v>
      </c>
      <c r="F21" s="643">
        <v>0</v>
      </c>
      <c r="G21" s="643">
        <v>5</v>
      </c>
      <c r="H21" s="643">
        <v>5</v>
      </c>
      <c r="I21" s="643">
        <v>5</v>
      </c>
      <c r="J21" s="643">
        <v>5</v>
      </c>
      <c r="K21" s="643">
        <v>5</v>
      </c>
    </row>
    <row r="22" spans="1:11" ht="28.8">
      <c r="A22" s="642" t="s">
        <v>318</v>
      </c>
      <c r="B22" s="643">
        <v>2014</v>
      </c>
      <c r="C22" s="642" t="s">
        <v>328</v>
      </c>
      <c r="D22" s="643">
        <v>420</v>
      </c>
      <c r="E22" s="643">
        <v>353</v>
      </c>
      <c r="F22" s="643">
        <v>0</v>
      </c>
      <c r="G22" s="643">
        <v>300</v>
      </c>
      <c r="H22" s="643">
        <v>296</v>
      </c>
      <c r="I22" s="643">
        <v>295</v>
      </c>
      <c r="J22" s="643">
        <v>287</v>
      </c>
      <c r="K22" s="643">
        <v>283</v>
      </c>
    </row>
    <row r="23" spans="1:11" ht="28.8">
      <c r="A23" s="642" t="s">
        <v>318</v>
      </c>
      <c r="B23" s="643">
        <v>2015</v>
      </c>
      <c r="C23" s="642" t="s">
        <v>335</v>
      </c>
      <c r="D23" s="643">
        <v>2076</v>
      </c>
      <c r="E23" s="643">
        <v>1818</v>
      </c>
      <c r="F23" s="643">
        <v>0</v>
      </c>
      <c r="G23" s="643">
        <v>1576</v>
      </c>
      <c r="H23" s="643">
        <v>1469</v>
      </c>
      <c r="I23" s="643">
        <v>1520</v>
      </c>
      <c r="J23" s="643">
        <v>1436</v>
      </c>
      <c r="K23" s="643">
        <v>1444</v>
      </c>
    </row>
    <row r="24" spans="1:11" ht="28.8">
      <c r="A24" s="642" t="s">
        <v>318</v>
      </c>
      <c r="B24" s="643">
        <v>2015</v>
      </c>
      <c r="C24" s="642" t="s">
        <v>401</v>
      </c>
      <c r="D24" s="643">
        <v>8</v>
      </c>
      <c r="E24" s="643">
        <v>6</v>
      </c>
      <c r="F24" s="643">
        <v>0</v>
      </c>
      <c r="G24" s="643">
        <v>6</v>
      </c>
      <c r="H24" s="643">
        <v>6</v>
      </c>
      <c r="I24" s="643">
        <v>6</v>
      </c>
      <c r="J24" s="643">
        <v>5</v>
      </c>
      <c r="K24" s="643">
        <v>5</v>
      </c>
    </row>
    <row r="25" spans="1:11" ht="28.8">
      <c r="A25" s="642" t="s">
        <v>318</v>
      </c>
      <c r="B25" s="643">
        <v>2015</v>
      </c>
      <c r="C25" s="642" t="s">
        <v>328</v>
      </c>
      <c r="D25" s="643">
        <v>686</v>
      </c>
      <c r="E25" s="643">
        <v>589</v>
      </c>
      <c r="F25" s="643">
        <v>0</v>
      </c>
      <c r="G25" s="643">
        <v>467</v>
      </c>
      <c r="H25" s="643">
        <v>439</v>
      </c>
      <c r="I25" s="643">
        <v>425</v>
      </c>
      <c r="J25" s="643">
        <v>409</v>
      </c>
      <c r="K25" s="643">
        <v>408</v>
      </c>
    </row>
    <row r="26" spans="1:11" ht="28.8">
      <c r="A26" s="642" t="s">
        <v>318</v>
      </c>
      <c r="B26" s="643">
        <v>2016</v>
      </c>
      <c r="C26" s="642" t="s">
        <v>335</v>
      </c>
      <c r="D26" s="643">
        <v>881</v>
      </c>
      <c r="E26" s="643">
        <v>751</v>
      </c>
      <c r="F26" s="643">
        <v>0</v>
      </c>
      <c r="G26" s="643">
        <v>679</v>
      </c>
      <c r="H26" s="643">
        <v>628</v>
      </c>
      <c r="I26" s="643">
        <v>651</v>
      </c>
      <c r="J26" s="643">
        <v>640</v>
      </c>
      <c r="K26" s="643">
        <v>632</v>
      </c>
    </row>
    <row r="27" spans="1:11" ht="28.8">
      <c r="A27" s="642" t="s">
        <v>318</v>
      </c>
      <c r="B27" s="643">
        <v>2016</v>
      </c>
      <c r="C27" s="642" t="s">
        <v>409</v>
      </c>
      <c r="D27" s="643">
        <v>2</v>
      </c>
      <c r="E27" s="643">
        <v>2</v>
      </c>
      <c r="F27" s="643">
        <v>0</v>
      </c>
      <c r="G27" s="643">
        <v>1</v>
      </c>
      <c r="H27" s="643">
        <v>1</v>
      </c>
      <c r="I27" s="643">
        <v>1</v>
      </c>
      <c r="J27" s="643">
        <v>1</v>
      </c>
      <c r="K27" s="643">
        <v>1</v>
      </c>
    </row>
    <row r="28" spans="1:11" ht="28.8">
      <c r="A28" s="642" t="s">
        <v>318</v>
      </c>
      <c r="B28" s="643">
        <v>2016</v>
      </c>
      <c r="C28" s="642" t="s">
        <v>401</v>
      </c>
      <c r="D28" s="643">
        <v>3</v>
      </c>
      <c r="E28" s="643">
        <v>3</v>
      </c>
      <c r="F28" s="643">
        <v>0</v>
      </c>
      <c r="G28" s="643">
        <v>2</v>
      </c>
      <c r="H28" s="643">
        <v>1</v>
      </c>
      <c r="I28" s="643">
        <v>1</v>
      </c>
      <c r="J28" s="643">
        <v>1</v>
      </c>
      <c r="K28" s="643">
        <v>1</v>
      </c>
    </row>
    <row r="29" spans="1:11" ht="28.8">
      <c r="A29" s="642" t="s">
        <v>318</v>
      </c>
      <c r="B29" s="643">
        <v>2016</v>
      </c>
      <c r="C29" s="642" t="s">
        <v>328</v>
      </c>
      <c r="D29" s="643">
        <v>477</v>
      </c>
      <c r="E29" s="643">
        <v>425</v>
      </c>
      <c r="F29" s="643">
        <v>0</v>
      </c>
      <c r="G29" s="643">
        <v>381</v>
      </c>
      <c r="H29" s="643">
        <v>369</v>
      </c>
      <c r="I29" s="643">
        <v>365</v>
      </c>
      <c r="J29" s="643">
        <v>357</v>
      </c>
      <c r="K29" s="643">
        <v>356</v>
      </c>
    </row>
    <row r="30" spans="1:11" ht="28.8">
      <c r="A30" s="642" t="s">
        <v>318</v>
      </c>
      <c r="B30" s="643">
        <v>2017</v>
      </c>
      <c r="C30" s="642" t="s">
        <v>335</v>
      </c>
      <c r="D30" s="643">
        <v>487</v>
      </c>
      <c r="E30" s="643">
        <v>381</v>
      </c>
      <c r="F30" s="643">
        <v>0</v>
      </c>
      <c r="G30" s="643">
        <v>353</v>
      </c>
      <c r="H30" s="643">
        <v>336</v>
      </c>
      <c r="I30" s="643">
        <v>349</v>
      </c>
      <c r="J30" s="643">
        <v>341</v>
      </c>
      <c r="K30" s="643">
        <v>331</v>
      </c>
    </row>
    <row r="31" spans="1:11" ht="28.8">
      <c r="A31" s="642" t="s">
        <v>318</v>
      </c>
      <c r="B31" s="643">
        <v>2017</v>
      </c>
      <c r="C31" s="642" t="s">
        <v>401</v>
      </c>
      <c r="D31" s="643">
        <v>5</v>
      </c>
      <c r="E31" s="643">
        <v>4</v>
      </c>
      <c r="F31" s="643">
        <v>0</v>
      </c>
      <c r="G31" s="643">
        <v>3</v>
      </c>
      <c r="H31" s="643">
        <v>3</v>
      </c>
      <c r="I31" s="643">
        <v>2</v>
      </c>
      <c r="J31" s="643">
        <v>2</v>
      </c>
      <c r="K31" s="643">
        <v>2</v>
      </c>
    </row>
    <row r="32" spans="1:11" ht="28.8">
      <c r="A32" s="642" t="s">
        <v>318</v>
      </c>
      <c r="B32" s="643">
        <v>2017</v>
      </c>
      <c r="C32" s="642" t="s">
        <v>328</v>
      </c>
      <c r="D32" s="643">
        <v>138</v>
      </c>
      <c r="E32" s="643">
        <v>113</v>
      </c>
      <c r="F32" s="643">
        <v>0</v>
      </c>
      <c r="G32" s="643">
        <v>108</v>
      </c>
      <c r="H32" s="643">
        <v>102</v>
      </c>
      <c r="I32" s="643">
        <v>101</v>
      </c>
      <c r="J32" s="643">
        <v>101</v>
      </c>
      <c r="K32" s="643">
        <v>98</v>
      </c>
    </row>
    <row r="33" spans="1:11" ht="28.8">
      <c r="A33" s="642" t="s">
        <v>318</v>
      </c>
      <c r="B33" s="643">
        <v>2018</v>
      </c>
      <c r="C33" s="642" t="s">
        <v>335</v>
      </c>
      <c r="D33" s="643">
        <v>529</v>
      </c>
      <c r="E33" s="643">
        <v>430</v>
      </c>
      <c r="F33" s="643">
        <v>401</v>
      </c>
      <c r="G33" s="643">
        <v>390</v>
      </c>
      <c r="H33" s="643">
        <v>362</v>
      </c>
      <c r="I33" s="643">
        <v>380</v>
      </c>
      <c r="J33" s="643">
        <v>361</v>
      </c>
      <c r="K33" s="643">
        <v>352</v>
      </c>
    </row>
    <row r="34" spans="1:11" ht="28.8">
      <c r="A34" s="642" t="s">
        <v>318</v>
      </c>
      <c r="B34" s="643">
        <v>2018</v>
      </c>
      <c r="C34" s="642" t="s">
        <v>401</v>
      </c>
      <c r="D34" s="643">
        <v>3</v>
      </c>
      <c r="E34" s="643">
        <v>3</v>
      </c>
      <c r="F34" s="643">
        <v>2</v>
      </c>
      <c r="G34" s="643">
        <v>2</v>
      </c>
      <c r="H34" s="643">
        <v>2</v>
      </c>
      <c r="I34" s="643">
        <v>2</v>
      </c>
      <c r="J34" s="643">
        <v>2</v>
      </c>
      <c r="K34" s="643">
        <v>2</v>
      </c>
    </row>
    <row r="35" spans="1:11" ht="28.8">
      <c r="A35" s="642" t="s">
        <v>318</v>
      </c>
      <c r="B35" s="643">
        <v>2018</v>
      </c>
      <c r="C35" s="642" t="s">
        <v>328</v>
      </c>
      <c r="D35" s="643">
        <v>235</v>
      </c>
      <c r="E35" s="643">
        <v>191</v>
      </c>
      <c r="F35" s="643">
        <v>173</v>
      </c>
      <c r="G35" s="643">
        <v>167</v>
      </c>
      <c r="H35" s="643">
        <v>161</v>
      </c>
      <c r="I35" s="643">
        <v>159</v>
      </c>
      <c r="J35" s="643">
        <v>156</v>
      </c>
      <c r="K35" s="643">
        <v>154</v>
      </c>
    </row>
    <row r="36" spans="1:11" ht="28.8">
      <c r="A36" s="642" t="s">
        <v>318</v>
      </c>
      <c r="B36" s="643">
        <v>2019</v>
      </c>
      <c r="C36" s="642" t="s">
        <v>335</v>
      </c>
      <c r="D36" s="643">
        <v>432</v>
      </c>
      <c r="E36" s="643">
        <v>361</v>
      </c>
      <c r="F36" s="643">
        <v>334</v>
      </c>
      <c r="G36" s="643">
        <v>335</v>
      </c>
      <c r="H36" s="643">
        <v>311</v>
      </c>
      <c r="I36" s="643">
        <v>329</v>
      </c>
      <c r="J36" s="643">
        <v>312</v>
      </c>
      <c r="K36" s="643">
        <v>307</v>
      </c>
    </row>
    <row r="37" spans="1:11" ht="28.8">
      <c r="A37" s="642" t="s">
        <v>318</v>
      </c>
      <c r="B37" s="643">
        <v>2019</v>
      </c>
      <c r="C37" s="642" t="s">
        <v>401</v>
      </c>
      <c r="D37" s="643">
        <v>2</v>
      </c>
      <c r="E37" s="643">
        <v>2</v>
      </c>
      <c r="F37" s="643">
        <v>2</v>
      </c>
      <c r="G37" s="643">
        <v>2</v>
      </c>
      <c r="H37" s="643">
        <v>2</v>
      </c>
      <c r="I37" s="643">
        <v>2</v>
      </c>
      <c r="J37" s="643">
        <v>2</v>
      </c>
      <c r="K37" s="643">
        <v>2</v>
      </c>
    </row>
    <row r="38" spans="1:11" ht="28.8">
      <c r="A38" s="642" t="s">
        <v>318</v>
      </c>
      <c r="B38" s="643">
        <v>2019</v>
      </c>
      <c r="C38" s="642" t="s">
        <v>328</v>
      </c>
      <c r="D38" s="643">
        <v>76</v>
      </c>
      <c r="E38" s="643">
        <v>67</v>
      </c>
      <c r="F38" s="643">
        <v>61</v>
      </c>
      <c r="G38" s="643">
        <v>62</v>
      </c>
      <c r="H38" s="643">
        <v>62</v>
      </c>
      <c r="I38" s="643">
        <v>61</v>
      </c>
      <c r="J38" s="643">
        <v>60</v>
      </c>
      <c r="K38" s="643">
        <v>57</v>
      </c>
    </row>
    <row r="39" spans="1:11" ht="28.8">
      <c r="A39" s="642" t="s">
        <v>318</v>
      </c>
      <c r="B39" s="643">
        <v>2020</v>
      </c>
      <c r="C39" s="642" t="s">
        <v>335</v>
      </c>
      <c r="D39" s="643">
        <v>553</v>
      </c>
      <c r="E39" s="643">
        <v>492</v>
      </c>
      <c r="F39" s="643">
        <v>463</v>
      </c>
      <c r="G39" s="643">
        <v>453</v>
      </c>
      <c r="H39" s="643">
        <v>420</v>
      </c>
      <c r="I39" s="643">
        <v>443</v>
      </c>
      <c r="J39" s="643">
        <v>434</v>
      </c>
      <c r="K39" s="643">
        <v>433</v>
      </c>
    </row>
    <row r="40" spans="1:11" ht="28.8">
      <c r="A40" s="642" t="s">
        <v>318</v>
      </c>
      <c r="B40" s="643">
        <v>2020</v>
      </c>
      <c r="C40" s="642" t="s">
        <v>401</v>
      </c>
      <c r="D40" s="643">
        <v>9</v>
      </c>
      <c r="E40" s="643">
        <v>8</v>
      </c>
      <c r="F40" s="643">
        <v>8</v>
      </c>
      <c r="G40" s="643">
        <v>7</v>
      </c>
      <c r="H40" s="643">
        <v>6</v>
      </c>
      <c r="I40" s="643">
        <v>6</v>
      </c>
      <c r="J40" s="643">
        <v>6</v>
      </c>
      <c r="K40" s="643">
        <v>6</v>
      </c>
    </row>
    <row r="41" spans="1:11" ht="28.8">
      <c r="A41" s="642" t="s">
        <v>318</v>
      </c>
      <c r="B41" s="643">
        <v>2020</v>
      </c>
      <c r="C41" s="642" t="s">
        <v>328</v>
      </c>
      <c r="D41" s="643">
        <v>238</v>
      </c>
      <c r="E41" s="643">
        <v>205</v>
      </c>
      <c r="F41" s="643">
        <v>182</v>
      </c>
      <c r="G41" s="643">
        <v>176</v>
      </c>
      <c r="H41" s="643">
        <v>168</v>
      </c>
      <c r="I41" s="643">
        <v>162</v>
      </c>
      <c r="J41" s="643">
        <v>157</v>
      </c>
      <c r="K41" s="643">
        <v>157</v>
      </c>
    </row>
    <row r="42" spans="1:11" ht="28.8">
      <c r="A42" s="642" t="s">
        <v>318</v>
      </c>
      <c r="B42" s="643">
        <v>2021</v>
      </c>
      <c r="C42" s="642" t="s">
        <v>335</v>
      </c>
      <c r="D42" s="643">
        <v>741</v>
      </c>
      <c r="E42" s="643">
        <v>660</v>
      </c>
      <c r="F42" s="643">
        <v>625</v>
      </c>
      <c r="G42" s="643">
        <v>609</v>
      </c>
      <c r="H42" s="643">
        <v>566</v>
      </c>
      <c r="I42" s="643">
        <v>601</v>
      </c>
      <c r="J42" s="643">
        <v>590</v>
      </c>
      <c r="K42" s="643">
        <v>588</v>
      </c>
    </row>
    <row r="43" spans="1:11" ht="28.8">
      <c r="A43" s="642" t="s">
        <v>318</v>
      </c>
      <c r="B43" s="643">
        <v>2021</v>
      </c>
      <c r="C43" s="642" t="s">
        <v>401</v>
      </c>
      <c r="D43" s="643">
        <v>5</v>
      </c>
      <c r="E43" s="643">
        <v>4</v>
      </c>
      <c r="F43" s="643">
        <v>3</v>
      </c>
      <c r="G43" s="643">
        <v>3</v>
      </c>
      <c r="H43" s="643">
        <v>3</v>
      </c>
      <c r="I43" s="643">
        <v>3</v>
      </c>
      <c r="J43" s="643">
        <v>2</v>
      </c>
      <c r="K43" s="643">
        <v>2</v>
      </c>
    </row>
    <row r="44" spans="1:11" ht="28.8">
      <c r="A44" s="642" t="s">
        <v>318</v>
      </c>
      <c r="B44" s="643">
        <v>2021</v>
      </c>
      <c r="C44" s="642" t="s">
        <v>328</v>
      </c>
      <c r="D44" s="643">
        <v>213</v>
      </c>
      <c r="E44" s="643">
        <v>189</v>
      </c>
      <c r="F44" s="643">
        <v>170</v>
      </c>
      <c r="G44" s="643">
        <v>158</v>
      </c>
      <c r="H44" s="643">
        <v>153</v>
      </c>
      <c r="I44" s="643">
        <v>149</v>
      </c>
      <c r="J44" s="643">
        <v>145</v>
      </c>
      <c r="K44" s="643">
        <v>146</v>
      </c>
    </row>
    <row r="45" spans="1:11" ht="28.8">
      <c r="A45" s="642" t="s">
        <v>318</v>
      </c>
      <c r="B45" s="643">
        <v>2022</v>
      </c>
      <c r="C45" s="642" t="s">
        <v>335</v>
      </c>
      <c r="D45" s="643">
        <v>1384</v>
      </c>
      <c r="E45" s="643">
        <v>1174</v>
      </c>
      <c r="F45" s="643">
        <v>1104</v>
      </c>
      <c r="G45" s="643">
        <v>1072</v>
      </c>
      <c r="H45" s="643">
        <v>1036</v>
      </c>
      <c r="I45" s="643">
        <v>1038</v>
      </c>
      <c r="J45" s="643">
        <v>1023</v>
      </c>
      <c r="K45" s="643">
        <v>1019</v>
      </c>
    </row>
    <row r="46" spans="1:11" ht="28.8">
      <c r="A46" s="642" t="s">
        <v>318</v>
      </c>
      <c r="B46" s="643">
        <v>2022</v>
      </c>
      <c r="C46" s="642" t="s">
        <v>401</v>
      </c>
      <c r="D46" s="643">
        <v>9</v>
      </c>
      <c r="E46" s="643">
        <v>5</v>
      </c>
      <c r="F46" s="643">
        <v>4</v>
      </c>
      <c r="G46" s="643">
        <v>4</v>
      </c>
      <c r="H46" s="643">
        <v>4</v>
      </c>
      <c r="I46" s="643">
        <v>4</v>
      </c>
      <c r="J46" s="643">
        <v>4</v>
      </c>
      <c r="K46" s="643">
        <v>4</v>
      </c>
    </row>
    <row r="47" spans="1:11" ht="28.8">
      <c r="A47" s="642" t="s">
        <v>318</v>
      </c>
      <c r="B47" s="643">
        <v>2022</v>
      </c>
      <c r="C47" s="642" t="s">
        <v>328</v>
      </c>
      <c r="D47" s="643">
        <v>239</v>
      </c>
      <c r="E47" s="643">
        <v>214</v>
      </c>
      <c r="F47" s="643">
        <v>189</v>
      </c>
      <c r="G47" s="643">
        <v>177</v>
      </c>
      <c r="H47" s="643">
        <v>168</v>
      </c>
      <c r="I47" s="643">
        <v>166</v>
      </c>
      <c r="J47" s="643">
        <v>165</v>
      </c>
      <c r="K47" s="643">
        <v>162</v>
      </c>
    </row>
    <row r="48" spans="1:11" ht="28.8">
      <c r="A48" s="642" t="s">
        <v>318</v>
      </c>
      <c r="B48" s="643">
        <v>2023</v>
      </c>
      <c r="C48" s="642" t="s">
        <v>335</v>
      </c>
      <c r="D48" s="643">
        <v>959</v>
      </c>
      <c r="E48" s="643">
        <v>833</v>
      </c>
      <c r="F48" s="643">
        <v>783</v>
      </c>
      <c r="G48" s="643">
        <v>774</v>
      </c>
      <c r="H48" s="643">
        <v>742</v>
      </c>
      <c r="I48" s="643">
        <v>768</v>
      </c>
      <c r="J48" s="643">
        <v>765</v>
      </c>
      <c r="K48" s="643">
        <v>761</v>
      </c>
    </row>
    <row r="49" spans="1:11" ht="28.8">
      <c r="A49" s="642" t="s">
        <v>318</v>
      </c>
      <c r="B49" s="643">
        <v>2023</v>
      </c>
      <c r="C49" s="642" t="s">
        <v>401</v>
      </c>
      <c r="D49" s="643">
        <v>1</v>
      </c>
      <c r="E49" s="643">
        <v>1</v>
      </c>
      <c r="F49" s="643">
        <v>1</v>
      </c>
      <c r="G49" s="643">
        <v>1</v>
      </c>
      <c r="H49" s="643">
        <v>0</v>
      </c>
      <c r="I49" s="643">
        <v>0</v>
      </c>
      <c r="J49" s="643">
        <v>0</v>
      </c>
      <c r="K49" s="643">
        <v>0</v>
      </c>
    </row>
    <row r="50" spans="1:11" ht="28.8">
      <c r="A50" s="642" t="s">
        <v>318</v>
      </c>
      <c r="B50" s="643">
        <v>2023</v>
      </c>
      <c r="C50" s="642" t="s">
        <v>328</v>
      </c>
      <c r="D50" s="643">
        <v>45</v>
      </c>
      <c r="E50" s="643">
        <v>39</v>
      </c>
      <c r="F50" s="643">
        <v>37</v>
      </c>
      <c r="G50" s="643">
        <v>37</v>
      </c>
      <c r="H50" s="643">
        <v>33</v>
      </c>
      <c r="I50" s="643">
        <v>34</v>
      </c>
      <c r="J50" s="643">
        <v>33</v>
      </c>
      <c r="K50" s="643">
        <v>33</v>
      </c>
    </row>
    <row r="51" spans="1:11" ht="14.4">
      <c r="A51" s="642"/>
      <c r="B51" s="643"/>
      <c r="C51" s="642"/>
      <c r="D51" s="643"/>
      <c r="E51" s="643"/>
      <c r="F51" s="643"/>
      <c r="G51" s="643"/>
      <c r="H51" s="643"/>
      <c r="I51" s="643"/>
      <c r="J51" s="643"/>
      <c r="K51" s="643"/>
    </row>
    <row r="52" spans="1:11" ht="14.4">
      <c r="A52" s="642"/>
      <c r="B52" s="643"/>
      <c r="C52" s="642"/>
      <c r="D52" s="643"/>
      <c r="E52" s="643"/>
      <c r="F52" s="643"/>
      <c r="G52" s="643"/>
      <c r="H52" s="643"/>
      <c r="I52" s="643"/>
      <c r="J52" s="643"/>
      <c r="K52" s="643"/>
    </row>
    <row r="53" spans="1:11" ht="14.4">
      <c r="A53" s="642"/>
      <c r="B53" s="643"/>
      <c r="C53" s="642"/>
      <c r="D53" s="643"/>
      <c r="E53" s="643"/>
      <c r="F53" s="643"/>
      <c r="G53" s="643"/>
      <c r="H53" s="643"/>
      <c r="I53" s="643"/>
      <c r="J53" s="643"/>
      <c r="K53" s="6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3" tint="0.59999389629810485"/>
  </sheetPr>
  <dimension ref="A1:AR311"/>
  <sheetViews>
    <sheetView topLeftCell="A43" zoomScaleNormal="100" zoomScaleSheetLayoutView="80" workbookViewId="0">
      <selection activeCell="B58" sqref="B58:M61"/>
    </sheetView>
  </sheetViews>
  <sheetFormatPr defaultRowHeight="13.2"/>
  <cols>
    <col min="1" max="1" width="9.6640625" customWidth="1"/>
    <col min="2" max="2" width="14.88671875" customWidth="1"/>
    <col min="3" max="12" width="9.6640625" customWidth="1"/>
    <col min="13" max="13" width="20.5546875" bestFit="1" customWidth="1"/>
    <col min="14" max="23" width="9.6640625" customWidth="1"/>
  </cols>
  <sheetData>
    <row r="1" spans="1:44" ht="15" customHeight="1">
      <c r="A1" s="33" t="s">
        <v>18</v>
      </c>
      <c r="B1" s="34"/>
      <c r="C1" s="34"/>
      <c r="D1" s="34"/>
      <c r="E1" s="34"/>
      <c r="F1" s="34"/>
      <c r="G1" s="34"/>
      <c r="H1" s="34"/>
      <c r="I1" s="34"/>
      <c r="J1" s="34"/>
      <c r="K1" s="34"/>
      <c r="L1" s="34"/>
      <c r="M1" s="34"/>
      <c r="N1" s="34"/>
      <c r="O1" s="11"/>
      <c r="P1" s="60">
        <v>39652</v>
      </c>
      <c r="Q1" s="54" t="s">
        <v>35</v>
      </c>
      <c r="W1" s="60">
        <f>P1</f>
        <v>39652</v>
      </c>
    </row>
    <row r="2" spans="1:44" ht="15" customHeight="1">
      <c r="A2" s="117" t="s">
        <v>87</v>
      </c>
      <c r="B2" s="11"/>
      <c r="C2" s="11"/>
      <c r="D2" s="11"/>
      <c r="E2" s="11"/>
      <c r="F2" s="11"/>
      <c r="G2" s="11"/>
      <c r="H2" s="11"/>
      <c r="I2" s="11"/>
      <c r="J2" s="11"/>
      <c r="K2" s="11"/>
      <c r="L2" s="11"/>
      <c r="M2" s="11"/>
      <c r="N2" s="11"/>
      <c r="O2" s="11"/>
      <c r="P2" s="11"/>
      <c r="Q2" s="11"/>
    </row>
    <row r="3" spans="1:44" ht="15" customHeight="1">
      <c r="A3" s="35" t="s">
        <v>19</v>
      </c>
    </row>
    <row r="4" spans="1:44" ht="15" customHeight="1" thickBot="1">
      <c r="A4" s="10" t="s">
        <v>20</v>
      </c>
      <c r="B4" s="9"/>
      <c r="C4" s="9"/>
      <c r="D4" s="9"/>
      <c r="E4" s="9"/>
      <c r="F4" s="9"/>
      <c r="G4" s="9"/>
      <c r="H4" s="9"/>
      <c r="I4" s="9"/>
      <c r="J4" s="9"/>
      <c r="K4" s="9"/>
      <c r="L4" s="9"/>
      <c r="M4" s="9"/>
      <c r="N4" s="9"/>
      <c r="O4" s="9"/>
      <c r="P4" s="9"/>
      <c r="Q4" s="9"/>
      <c r="R4" s="35" t="s">
        <v>36</v>
      </c>
      <c r="S4" s="35"/>
    </row>
    <row r="5" spans="1:44" ht="15" customHeight="1">
      <c r="A5" s="32"/>
      <c r="B5" s="15"/>
      <c r="C5" s="15"/>
      <c r="D5" s="15"/>
      <c r="E5" s="15"/>
      <c r="F5" s="15"/>
      <c r="G5" s="15"/>
      <c r="H5" s="15"/>
      <c r="I5" s="15"/>
      <c r="J5" s="15"/>
      <c r="K5" s="15"/>
      <c r="L5" s="15"/>
      <c r="M5" s="15"/>
      <c r="N5" s="15"/>
      <c r="O5" s="15"/>
      <c r="P5" s="16"/>
      <c r="Q5" s="38"/>
      <c r="R5" s="39"/>
      <c r="S5" s="39"/>
      <c r="T5" s="39"/>
      <c r="U5" s="39"/>
      <c r="V5" s="39"/>
      <c r="W5" s="40"/>
    </row>
    <row r="6" spans="1:44" ht="15" customHeight="1">
      <c r="A6" s="105"/>
      <c r="B6" s="664" t="s">
        <v>2</v>
      </c>
      <c r="C6" s="665"/>
      <c r="D6" s="665"/>
      <c r="E6" s="665"/>
      <c r="F6" s="665"/>
      <c r="G6" s="665"/>
      <c r="H6" s="665"/>
      <c r="I6" s="665"/>
      <c r="J6" s="665"/>
      <c r="K6" s="665"/>
      <c r="L6" s="665"/>
      <c r="M6" s="665"/>
      <c r="N6" s="665"/>
      <c r="O6" s="665"/>
      <c r="P6" s="666"/>
      <c r="Q6" s="679" t="s">
        <v>39</v>
      </c>
      <c r="R6" s="680"/>
      <c r="S6" s="680"/>
      <c r="T6" s="680"/>
      <c r="U6" s="680"/>
      <c r="V6" s="680"/>
      <c r="W6" s="680"/>
    </row>
    <row r="7" spans="1:44" ht="30" customHeight="1">
      <c r="A7" s="104"/>
      <c r="B7" s="667" t="s">
        <v>15</v>
      </c>
      <c r="C7" s="668"/>
      <c r="D7" s="668"/>
      <c r="E7" s="667" t="s">
        <v>11</v>
      </c>
      <c r="F7" s="669"/>
      <c r="G7" s="670"/>
      <c r="H7" s="671" t="s">
        <v>23</v>
      </c>
      <c r="I7" s="681"/>
      <c r="J7" s="672"/>
      <c r="K7" s="673" t="s">
        <v>12</v>
      </c>
      <c r="L7" s="660"/>
      <c r="M7" s="674"/>
      <c r="N7" s="667" t="s">
        <v>16</v>
      </c>
      <c r="O7" s="669"/>
      <c r="P7" s="675"/>
      <c r="Q7" s="107"/>
      <c r="R7" s="676" t="s">
        <v>30</v>
      </c>
      <c r="S7" s="656"/>
      <c r="T7" s="657"/>
      <c r="U7" s="676" t="s">
        <v>46</v>
      </c>
      <c r="V7" s="656"/>
      <c r="W7" s="677"/>
      <c r="Y7" t="s">
        <v>304</v>
      </c>
      <c r="AE7" t="s">
        <v>177</v>
      </c>
    </row>
    <row r="8" spans="1:44" ht="57" customHeight="1">
      <c r="A8" s="106" t="s">
        <v>0</v>
      </c>
      <c r="B8" s="30" t="s">
        <v>1</v>
      </c>
      <c r="C8" s="18" t="s">
        <v>27</v>
      </c>
      <c r="D8" s="22" t="s">
        <v>24</v>
      </c>
      <c r="E8" s="30" t="s">
        <v>13</v>
      </c>
      <c r="F8" s="18" t="s">
        <v>29</v>
      </c>
      <c r="G8" s="22" t="s">
        <v>14</v>
      </c>
      <c r="H8" s="30" t="s">
        <v>32</v>
      </c>
      <c r="I8" s="71" t="s">
        <v>62</v>
      </c>
      <c r="J8" s="22" t="s">
        <v>17</v>
      </c>
      <c r="K8" s="30" t="s">
        <v>13</v>
      </c>
      <c r="L8" s="18" t="s">
        <v>29</v>
      </c>
      <c r="M8" s="18" t="s">
        <v>14</v>
      </c>
      <c r="N8" s="30" t="s">
        <v>25</v>
      </c>
      <c r="O8" s="18" t="s">
        <v>59</v>
      </c>
      <c r="P8" s="28" t="s">
        <v>26</v>
      </c>
      <c r="Q8" s="106" t="s">
        <v>0</v>
      </c>
      <c r="R8" s="30" t="s">
        <v>13</v>
      </c>
      <c r="S8" s="18" t="s">
        <v>29</v>
      </c>
      <c r="T8" s="18" t="s">
        <v>14</v>
      </c>
      <c r="U8" s="30" t="s">
        <v>21</v>
      </c>
      <c r="V8" s="18" t="s">
        <v>31</v>
      </c>
      <c r="W8" s="18" t="s">
        <v>22</v>
      </c>
      <c r="X8" s="589" t="s">
        <v>172</v>
      </c>
      <c r="Y8" s="589" t="s">
        <v>173</v>
      </c>
      <c r="Z8" s="590" t="s">
        <v>174</v>
      </c>
      <c r="AA8" s="590" t="s">
        <v>175</v>
      </c>
      <c r="AB8" s="590" t="s">
        <v>176</v>
      </c>
      <c r="AC8" s="591" t="s">
        <v>179</v>
      </c>
      <c r="AD8" s="591" t="s">
        <v>180</v>
      </c>
      <c r="AE8" s="283" t="s">
        <v>170</v>
      </c>
      <c r="AF8" s="283" t="s">
        <v>172</v>
      </c>
      <c r="AG8" s="283" t="s">
        <v>174</v>
      </c>
      <c r="AH8" s="283" t="s">
        <v>175</v>
      </c>
      <c r="AI8" s="283" t="s">
        <v>176</v>
      </c>
      <c r="AJ8" s="437" t="s">
        <v>181</v>
      </c>
      <c r="AK8" s="437" t="s">
        <v>182</v>
      </c>
      <c r="AL8" s="283" t="s">
        <v>170</v>
      </c>
      <c r="AM8" s="283" t="s">
        <v>171</v>
      </c>
      <c r="AN8" s="283" t="s">
        <v>174</v>
      </c>
      <c r="AO8" s="283" t="s">
        <v>175</v>
      </c>
      <c r="AP8" s="283" t="s">
        <v>176</v>
      </c>
      <c r="AQ8" s="437" t="s">
        <v>183</v>
      </c>
      <c r="AR8" s="437" t="s">
        <v>184</v>
      </c>
    </row>
    <row r="9" spans="1:44" ht="15" customHeight="1">
      <c r="A9" s="216" t="s">
        <v>60</v>
      </c>
      <c r="B9" s="217">
        <v>1136</v>
      </c>
      <c r="C9" s="127">
        <v>989</v>
      </c>
      <c r="D9" s="128">
        <v>963</v>
      </c>
      <c r="E9" s="142">
        <f t="shared" ref="E9:E18" si="0">C9/B9</f>
        <v>0.87059859154929575</v>
      </c>
      <c r="F9" s="129">
        <f>D9/B9</f>
        <v>0.84771126760563376</v>
      </c>
      <c r="G9" s="141">
        <f t="shared" ref="G9:G18" si="1">D9/B9</f>
        <v>0.84771126760563376</v>
      </c>
      <c r="H9" s="212">
        <v>0.11379943595461402</v>
      </c>
      <c r="I9" s="211">
        <v>1.0574248594599035E-2</v>
      </c>
      <c r="J9" s="141">
        <v>0.02</v>
      </c>
      <c r="K9" s="129">
        <f>(C9/B9)/((1-H9)*(1-J9))</f>
        <v>1.0024434036567398</v>
      </c>
      <c r="L9" s="129">
        <f t="shared" ref="L9:L16" si="2">M9/K9</f>
        <v>0.98411711806168467</v>
      </c>
      <c r="M9" s="129">
        <f t="shared" ref="M9:M16" si="3">(D9/B9)/((1-H9)*(1-I9)*(1-J9))</f>
        <v>0.98652171342661676</v>
      </c>
      <c r="N9" s="142">
        <f t="shared" ref="N9:N16" si="4">K9^(1/3)</f>
        <v>1.000813805426652</v>
      </c>
      <c r="O9" s="129">
        <f t="shared" ref="O9:O16" si="5">L9^(1/4)</f>
        <v>0.99600540804520321</v>
      </c>
      <c r="P9" s="218">
        <f t="shared" ref="P9:P16" si="6">M9^(1/7)</f>
        <v>0.99806331448705299</v>
      </c>
      <c r="Q9" s="216" t="s">
        <v>60</v>
      </c>
      <c r="R9" s="219">
        <f t="shared" ref="R9:W16" si="7">1-K9</f>
        <v>-2.4434036567397843E-3</v>
      </c>
      <c r="S9" s="220">
        <f t="shared" si="7"/>
        <v>1.588288193831533E-2</v>
      </c>
      <c r="T9" s="220">
        <f t="shared" si="7"/>
        <v>1.3478286573383236E-2</v>
      </c>
      <c r="U9" s="219">
        <f t="shared" si="7"/>
        <v>-8.1380542665199229E-4</v>
      </c>
      <c r="V9" s="220">
        <f t="shared" si="7"/>
        <v>3.994591954796789E-3</v>
      </c>
      <c r="W9" s="232">
        <f t="shared" si="7"/>
        <v>1.9366855129470117E-3</v>
      </c>
      <c r="X9" s="590">
        <f>C9</f>
        <v>989</v>
      </c>
      <c r="Y9" s="590">
        <f>B9</f>
        <v>1136</v>
      </c>
      <c r="Z9" s="590">
        <f>X9/Y9</f>
        <v>0.87059859154929575</v>
      </c>
      <c r="AA9" s="590">
        <f t="shared" ref="AA9" si="8">_xlfn.F.INV(0.05/2, 2*X9, 2*(Y9-X9+1))</f>
        <v>0.84585654030747126</v>
      </c>
      <c r="AB9" s="590">
        <f>_xlfn.F.INV(1-0.05/2, 2*(X9+1), 2*(Y9-X9))</f>
        <v>1.1962140695885088</v>
      </c>
      <c r="AC9" s="590">
        <f>IF(X9=0, 0, 1/(1 +(Y9-X9+1)/(X9*AA9)))</f>
        <v>0.84967784108177669</v>
      </c>
      <c r="AD9" s="590">
        <f>IF(X9=Y9, 1, 1/(1 + (Y9-X9)/(AB9*(X9+1))))</f>
        <v>0.88957762478340285</v>
      </c>
      <c r="AE9" s="283">
        <f>D9</f>
        <v>963</v>
      </c>
      <c r="AF9" s="283">
        <f>C9</f>
        <v>989</v>
      </c>
      <c r="AG9" s="283">
        <f>AE9/AF9</f>
        <v>0.97371081900910006</v>
      </c>
      <c r="AH9" s="283">
        <f t="shared" ref="AH9" si="9">_xlfn.F.INV(0.05/2, 2*AE9, 2*(AF9-AE9+1))</f>
        <v>0.70432145109619193</v>
      </c>
      <c r="AI9" s="283">
        <f>_xlfn.F.INV(1-0.05/2, 2*(AE9+1), 2*(AF9-AE9))</f>
        <v>1.5371761663853736</v>
      </c>
      <c r="AJ9" s="436">
        <f>IF(AE9=0, 0, 1/(1 +(AF9-AE9+1)/(AE9*AH9)))</f>
        <v>0.96171633103139509</v>
      </c>
      <c r="AK9" s="436">
        <f>IF(AE9=AF9, 1, 1/(1 + (AF9-AE9)/(AI9*(AE9+1))))</f>
        <v>0.98275676629187658</v>
      </c>
      <c r="AL9" s="283">
        <f>D9</f>
        <v>963</v>
      </c>
      <c r="AM9" s="283">
        <f>B9</f>
        <v>1136</v>
      </c>
      <c r="AN9" s="283">
        <f>AL9/AM9</f>
        <v>0.84771126760563376</v>
      </c>
      <c r="AO9" s="283">
        <f t="shared" ref="AO9" si="10">_xlfn.F.INV(0.05/2, 2*AL9, 2*(AM9-AL9+1))</f>
        <v>0.85464433993366384</v>
      </c>
      <c r="AP9" s="283">
        <f>_xlfn.F.INV(1-0.05/2, 2*(AL9+1), 2*(AM9-AL9))</f>
        <v>1.1813651208309559</v>
      </c>
      <c r="AQ9" s="436">
        <f>IF(AL9=0, 0, 1/(1 +(AM9-AL9+1)/(AL9*AO9)))</f>
        <v>0.82548036768240429</v>
      </c>
      <c r="AR9" s="436">
        <f>IF(AL9=AM9, 1, 1/(1 + (AM9-AL9)/(AP9*(AL9+1))))</f>
        <v>0.86812375700804689</v>
      </c>
    </row>
    <row r="10" spans="1:44" ht="15" customHeight="1">
      <c r="A10" s="214">
        <v>2003</v>
      </c>
      <c r="B10" s="138">
        <v>913</v>
      </c>
      <c r="C10" s="139">
        <v>774</v>
      </c>
      <c r="D10" s="140">
        <v>749</v>
      </c>
      <c r="E10" s="142">
        <f t="shared" si="0"/>
        <v>0.84775465498357061</v>
      </c>
      <c r="F10" s="129">
        <f t="shared" ref="F10:F18" si="11">G10/E10</f>
        <v>0.96770025839793283</v>
      </c>
      <c r="G10" s="141">
        <f t="shared" si="1"/>
        <v>0.8203723986856517</v>
      </c>
      <c r="H10" s="212">
        <v>8.5391657479989017E-2</v>
      </c>
      <c r="I10" s="122">
        <v>7.0751704937294067E-3</v>
      </c>
      <c r="J10" s="141">
        <v>0.02</v>
      </c>
      <c r="K10" s="142">
        <f t="shared" ref="K10:K16" si="12">(C10/B10)/((1-H10)*(1-J10))</f>
        <v>0.94582099263157748</v>
      </c>
      <c r="L10" s="129">
        <f t="shared" si="2"/>
        <v>0.97459568906048966</v>
      </c>
      <c r="M10" s="129">
        <f t="shared" si="3"/>
        <v>0.92179306204164857</v>
      </c>
      <c r="N10" s="142">
        <f t="shared" si="4"/>
        <v>0.98160399295164225</v>
      </c>
      <c r="O10" s="129">
        <f t="shared" si="5"/>
        <v>0.9935875053941382</v>
      </c>
      <c r="P10" s="218">
        <f t="shared" si="6"/>
        <v>0.98843390394635611</v>
      </c>
      <c r="Q10" s="214">
        <v>2003</v>
      </c>
      <c r="R10" s="144">
        <f t="shared" si="7"/>
        <v>5.4179007368422516E-2</v>
      </c>
      <c r="S10" s="145">
        <f t="shared" si="7"/>
        <v>2.5404310939510344E-2</v>
      </c>
      <c r="T10" s="145">
        <f t="shared" si="7"/>
        <v>7.820693795835143E-2</v>
      </c>
      <c r="U10" s="144">
        <f t="shared" si="7"/>
        <v>1.8396007048357754E-2</v>
      </c>
      <c r="V10" s="145">
        <f t="shared" si="7"/>
        <v>6.412494605861796E-3</v>
      </c>
      <c r="W10" s="145">
        <f t="shared" si="7"/>
        <v>1.1566096053643893E-2</v>
      </c>
      <c r="X10" s="283">
        <f t="shared" ref="X10:X21" si="13">C10</f>
        <v>774</v>
      </c>
      <c r="Y10" s="283">
        <f t="shared" ref="Y10:Y21" si="14">B10</f>
        <v>913</v>
      </c>
      <c r="Z10" s="283">
        <f t="shared" ref="Z10:Z21" si="15">X10/Y10</f>
        <v>0.84775465498357061</v>
      </c>
      <c r="AA10" s="283">
        <f t="shared" ref="AA10:AA21" si="16">_xlfn.F.INV(0.05/2, 2*X10, 2*(Y10-X10+1))</f>
        <v>0.83980119587103885</v>
      </c>
      <c r="AB10" s="283">
        <f t="shared" ref="AB10:AB21" si="17">_xlfn.F.INV(1-0.05/2, 2*(X10+1), 2*(Y10-X10))</f>
        <v>1.2051336199495588</v>
      </c>
      <c r="AC10" s="436">
        <f t="shared" ref="AC10:AC21" si="18">IF(X10=0, 0, 1/(1 +(Y10-X10+1)/(X10*AA10)))</f>
        <v>0.82278618422998906</v>
      </c>
      <c r="AD10" s="436">
        <f t="shared" ref="AD10:AD21" si="19">IF(X10=Y10, 1, 1/(1 + (Y10-X10)/(AB10*(X10+1))))</f>
        <v>0.87045407450823542</v>
      </c>
      <c r="AE10" s="283">
        <f t="shared" ref="AE10:AE21" si="20">D10</f>
        <v>749</v>
      </c>
      <c r="AF10" s="283">
        <f t="shared" ref="AF10:AF21" si="21">C10</f>
        <v>774</v>
      </c>
      <c r="AG10" s="283">
        <f t="shared" ref="AG10:AG21" si="22">AE10/AF10</f>
        <v>0.96770025839793283</v>
      </c>
      <c r="AH10" s="283">
        <f t="shared" ref="AH10:AH21" si="23">_xlfn.F.INV(0.05/2, 2*AE10, 2*(AF10-AE10+1))</f>
        <v>0.69897194270448526</v>
      </c>
      <c r="AI10" s="283">
        <f t="shared" ref="AI10:AI21" si="24">_xlfn.F.INV(1-0.05/2, 2*(AE10+1), 2*(AF10-AE10))</f>
        <v>1.5532454727441409</v>
      </c>
      <c r="AJ10" s="436">
        <f t="shared" ref="AJ10:AJ21" si="25">IF(AE10=0, 0, 1/(1 +(AF10-AE10+1)/(AE10*AH10)))</f>
        <v>0.95268684019863414</v>
      </c>
      <c r="AK10" s="436">
        <f t="shared" ref="AK10:AK21" si="26">IF(AE10=AF10, 1, 1/(1 + (AF10-AE10)/(AI10*(AE10+1))))</f>
        <v>0.97899043324816382</v>
      </c>
      <c r="AL10" s="283">
        <f t="shared" ref="AL10:AL21" si="27">D10</f>
        <v>749</v>
      </c>
      <c r="AM10" s="283">
        <f t="shared" ref="AM10:AM21" si="28">B10</f>
        <v>913</v>
      </c>
      <c r="AN10" s="283">
        <f t="shared" ref="AN10:AN21" si="29">AL10/AM10</f>
        <v>0.8203723986856517</v>
      </c>
      <c r="AO10" s="283">
        <f t="shared" ref="AO10:AO21" si="30">_xlfn.F.INV(0.05/2, 2*AL10, 2*(AM10-AL10+1))</f>
        <v>0.84859331937050531</v>
      </c>
      <c r="AP10" s="283">
        <f t="shared" ref="AP10:AP21" si="31">_xlfn.F.INV(1-0.05/2, 2*(AL10+1), 2*(AM10-AL10))</f>
        <v>1.1898569778145998</v>
      </c>
      <c r="AQ10" s="436">
        <f t="shared" ref="AQ10:AQ21" si="32">IF(AL10=0, 0, 1/(1 +(AM10-AL10+1)/(AL10*AO10)))</f>
        <v>0.79390364385673917</v>
      </c>
      <c r="AR10" s="436">
        <f t="shared" ref="AR10:AR21" si="33">IF(AL10=AM10, 1, 1/(1 + (AM10-AL10)/(AP10*(AL10+1))))</f>
        <v>0.84475470644499007</v>
      </c>
    </row>
    <row r="11" spans="1:44" ht="15" customHeight="1">
      <c r="A11" s="214">
        <v>2004</v>
      </c>
      <c r="B11" s="138">
        <v>1774</v>
      </c>
      <c r="C11" s="139">
        <v>1527</v>
      </c>
      <c r="D11" s="140">
        <v>1481</v>
      </c>
      <c r="E11" s="142">
        <f t="shared" si="0"/>
        <v>0.86076662908680945</v>
      </c>
      <c r="F11" s="129">
        <f t="shared" si="11"/>
        <v>0.96987557301899152</v>
      </c>
      <c r="G11" s="141">
        <f t="shared" si="1"/>
        <v>0.83483652762119509</v>
      </c>
      <c r="H11" s="212">
        <v>9.531324845581747E-2</v>
      </c>
      <c r="I11" s="122">
        <v>1.6315475727652073E-2</v>
      </c>
      <c r="J11" s="141">
        <v>0.02</v>
      </c>
      <c r="K11" s="142">
        <f t="shared" si="12"/>
        <v>0.97087007573321882</v>
      </c>
      <c r="L11" s="129">
        <f t="shared" si="2"/>
        <v>0.98596201229904368</v>
      </c>
      <c r="M11" s="129">
        <f t="shared" si="3"/>
        <v>0.95724101355084934</v>
      </c>
      <c r="N11" s="142">
        <f t="shared" si="4"/>
        <v>0.99019418553653349</v>
      </c>
      <c r="O11" s="129">
        <f t="shared" si="5"/>
        <v>0.99647187545876159</v>
      </c>
      <c r="P11" s="218">
        <f t="shared" si="6"/>
        <v>0.99377657814944376</v>
      </c>
      <c r="Q11" s="214">
        <v>2004</v>
      </c>
      <c r="R11" s="144">
        <f t="shared" si="7"/>
        <v>2.9129924266781182E-2</v>
      </c>
      <c r="S11" s="145">
        <f t="shared" si="7"/>
        <v>1.4037987700956323E-2</v>
      </c>
      <c r="T11" s="145">
        <f t="shared" si="7"/>
        <v>4.275898644915066E-2</v>
      </c>
      <c r="U11" s="144">
        <f t="shared" si="7"/>
        <v>9.8058144634665112E-3</v>
      </c>
      <c r="V11" s="145">
        <f t="shared" si="7"/>
        <v>3.5281245412384088E-3</v>
      </c>
      <c r="W11" s="145">
        <f t="shared" si="7"/>
        <v>6.2234218505562433E-3</v>
      </c>
      <c r="X11" s="283">
        <f t="shared" si="13"/>
        <v>1527</v>
      </c>
      <c r="Y11" s="283">
        <f t="shared" si="14"/>
        <v>1774</v>
      </c>
      <c r="Z11" s="283">
        <f t="shared" si="15"/>
        <v>0.86076662908680945</v>
      </c>
      <c r="AA11" s="283">
        <f t="shared" si="16"/>
        <v>0.87720382611369718</v>
      </c>
      <c r="AB11" s="283">
        <f t="shared" si="17"/>
        <v>1.1477965075928362</v>
      </c>
      <c r="AC11" s="436">
        <f t="shared" si="18"/>
        <v>0.84377856734838519</v>
      </c>
      <c r="AD11" s="436">
        <f t="shared" si="19"/>
        <v>0.87655142025924127</v>
      </c>
      <c r="AE11" s="283">
        <f t="shared" si="20"/>
        <v>1481</v>
      </c>
      <c r="AF11" s="283">
        <f t="shared" si="21"/>
        <v>1527</v>
      </c>
      <c r="AG11" s="283">
        <f t="shared" si="22"/>
        <v>0.96987557301899152</v>
      </c>
      <c r="AH11" s="283">
        <f t="shared" si="23"/>
        <v>0.7620660546798923</v>
      </c>
      <c r="AI11" s="283">
        <f t="shared" si="24"/>
        <v>1.3710684921831722</v>
      </c>
      <c r="AJ11" s="436">
        <f t="shared" si="25"/>
        <v>0.96002108936806585</v>
      </c>
      <c r="AK11" s="436">
        <f t="shared" si="26"/>
        <v>0.97786251520803569</v>
      </c>
      <c r="AL11" s="283">
        <f t="shared" si="27"/>
        <v>1481</v>
      </c>
      <c r="AM11" s="283">
        <f t="shared" si="28"/>
        <v>1774</v>
      </c>
      <c r="AN11" s="283">
        <f t="shared" si="29"/>
        <v>0.83483652762119509</v>
      </c>
      <c r="AO11" s="283">
        <f t="shared" si="30"/>
        <v>0.88463553857743982</v>
      </c>
      <c r="AP11" s="283">
        <f t="shared" si="31"/>
        <v>1.1366397096286245</v>
      </c>
      <c r="AQ11" s="436">
        <f t="shared" si="32"/>
        <v>0.81672482390051304</v>
      </c>
      <c r="AR11" s="436">
        <f t="shared" si="33"/>
        <v>0.85183312635114661</v>
      </c>
    </row>
    <row r="12" spans="1:44" ht="15" customHeight="1">
      <c r="A12" s="214">
        <v>2005</v>
      </c>
      <c r="B12" s="138">
        <v>608</v>
      </c>
      <c r="C12" s="139">
        <v>533</v>
      </c>
      <c r="D12" s="140">
        <v>509</v>
      </c>
      <c r="E12" s="142">
        <f t="shared" si="0"/>
        <v>0.87664473684210531</v>
      </c>
      <c r="F12" s="129">
        <f t="shared" si="11"/>
        <v>0.95497185741088175</v>
      </c>
      <c r="G12" s="141">
        <f t="shared" si="1"/>
        <v>0.83717105263157898</v>
      </c>
      <c r="H12" s="212">
        <v>6.7887101245418233E-2</v>
      </c>
      <c r="I12" s="122">
        <v>3.0314918506366131E-3</v>
      </c>
      <c r="J12" s="141">
        <v>0.02</v>
      </c>
      <c r="K12" s="142">
        <f t="shared" si="12"/>
        <v>0.95968572793323681</v>
      </c>
      <c r="L12" s="129">
        <f t="shared" si="2"/>
        <v>0.95787564963667848</v>
      </c>
      <c r="M12" s="129">
        <f t="shared" si="3"/>
        <v>0.91925959009109792</v>
      </c>
      <c r="N12" s="142">
        <f t="shared" si="4"/>
        <v>0.9863771705436436</v>
      </c>
      <c r="O12" s="129">
        <f t="shared" si="5"/>
        <v>0.98929834666495731</v>
      </c>
      <c r="P12" s="218">
        <f t="shared" si="6"/>
        <v>0.98804535621161471</v>
      </c>
      <c r="Q12" s="214">
        <v>2005</v>
      </c>
      <c r="R12" s="144">
        <f t="shared" si="7"/>
        <v>4.031427206676319E-2</v>
      </c>
      <c r="S12" s="145">
        <f t="shared" si="7"/>
        <v>4.2124350363321517E-2</v>
      </c>
      <c r="T12" s="145">
        <f t="shared" si="7"/>
        <v>8.0740409908902078E-2</v>
      </c>
      <c r="U12" s="144">
        <f t="shared" si="7"/>
        <v>1.36228294563564E-2</v>
      </c>
      <c r="V12" s="145">
        <f t="shared" si="7"/>
        <v>1.0701653335042693E-2</v>
      </c>
      <c r="W12" s="145">
        <f t="shared" si="7"/>
        <v>1.1954643788385289E-2</v>
      </c>
      <c r="X12" s="283">
        <f t="shared" si="13"/>
        <v>533</v>
      </c>
      <c r="Y12" s="283">
        <f t="shared" si="14"/>
        <v>608</v>
      </c>
      <c r="Z12" s="283">
        <f t="shared" si="15"/>
        <v>0.87664473684210531</v>
      </c>
      <c r="AA12" s="283">
        <f t="shared" si="16"/>
        <v>0.79451693160759407</v>
      </c>
      <c r="AB12" s="283">
        <f t="shared" si="17"/>
        <v>1.2886917405009595</v>
      </c>
      <c r="AC12" s="436">
        <f t="shared" si="18"/>
        <v>0.84784100131642315</v>
      </c>
      <c r="AD12" s="436">
        <f t="shared" si="19"/>
        <v>0.9017245879586997</v>
      </c>
      <c r="AE12" s="283">
        <f t="shared" si="20"/>
        <v>509</v>
      </c>
      <c r="AF12" s="283">
        <f t="shared" si="21"/>
        <v>533</v>
      </c>
      <c r="AG12" s="283">
        <f t="shared" si="22"/>
        <v>0.95497185741088175</v>
      </c>
      <c r="AH12" s="283">
        <f t="shared" si="23"/>
        <v>0.6921466671686316</v>
      </c>
      <c r="AI12" s="283">
        <f t="shared" si="24"/>
        <v>1.5722993677891628</v>
      </c>
      <c r="AJ12" s="436">
        <f t="shared" si="25"/>
        <v>0.93374019566996258</v>
      </c>
      <c r="AK12" s="436">
        <f t="shared" si="26"/>
        <v>0.97093983049476307</v>
      </c>
      <c r="AL12" s="283">
        <f t="shared" si="27"/>
        <v>509</v>
      </c>
      <c r="AM12" s="283">
        <f t="shared" si="28"/>
        <v>608</v>
      </c>
      <c r="AN12" s="283">
        <f t="shared" si="29"/>
        <v>0.83717105263157898</v>
      </c>
      <c r="AO12" s="283">
        <f t="shared" si="30"/>
        <v>0.81299791145004774</v>
      </c>
      <c r="AP12" s="283">
        <f t="shared" si="31"/>
        <v>1.2506912664444745</v>
      </c>
      <c r="AQ12" s="436">
        <f t="shared" si="32"/>
        <v>0.805377776723188</v>
      </c>
      <c r="AR12" s="436">
        <f t="shared" si="33"/>
        <v>0.8656447608783524</v>
      </c>
    </row>
    <row r="13" spans="1:44" ht="15" customHeight="1">
      <c r="A13" s="214">
        <v>2006</v>
      </c>
      <c r="B13" s="138">
        <v>267</v>
      </c>
      <c r="C13" s="139">
        <v>213</v>
      </c>
      <c r="D13" s="140">
        <v>198</v>
      </c>
      <c r="E13" s="142">
        <f t="shared" si="0"/>
        <v>0.797752808988764</v>
      </c>
      <c r="F13" s="129">
        <f t="shared" si="11"/>
        <v>0.92957746478873249</v>
      </c>
      <c r="G13" s="141">
        <f t="shared" si="1"/>
        <v>0.7415730337078652</v>
      </c>
      <c r="H13" s="212">
        <v>7.1727516289097792E-2</v>
      </c>
      <c r="I13" s="122">
        <v>7.9028072658645903E-3</v>
      </c>
      <c r="J13" s="141">
        <v>0.02</v>
      </c>
      <c r="K13" s="142">
        <f t="shared" si="12"/>
        <v>0.87693375904642545</v>
      </c>
      <c r="L13" s="129">
        <f t="shared" si="2"/>
        <v>0.93698225496122634</v>
      </c>
      <c r="M13" s="129">
        <f t="shared" si="3"/>
        <v>0.82167137100294441</v>
      </c>
      <c r="N13" s="142">
        <f t="shared" si="4"/>
        <v>0.95716967258028363</v>
      </c>
      <c r="O13" s="129">
        <f t="shared" si="5"/>
        <v>0.98385895190307171</v>
      </c>
      <c r="P13" s="218">
        <f t="shared" si="6"/>
        <v>0.97233075368730304</v>
      </c>
      <c r="Q13" s="214">
        <v>2006</v>
      </c>
      <c r="R13" s="144">
        <f t="shared" si="7"/>
        <v>0.12306624095357455</v>
      </c>
      <c r="S13" s="145">
        <f t="shared" si="7"/>
        <v>6.3017745038773665E-2</v>
      </c>
      <c r="T13" s="145">
        <f t="shared" si="7"/>
        <v>0.17832862899705559</v>
      </c>
      <c r="U13" s="144">
        <f t="shared" si="7"/>
        <v>4.2830327419716374E-2</v>
      </c>
      <c r="V13" s="145">
        <f t="shared" si="7"/>
        <v>1.614104809692829E-2</v>
      </c>
      <c r="W13" s="145">
        <f t="shared" si="7"/>
        <v>2.766924631269696E-2</v>
      </c>
      <c r="X13" s="283">
        <f t="shared" si="13"/>
        <v>213</v>
      </c>
      <c r="Y13" s="283">
        <f t="shared" si="14"/>
        <v>267</v>
      </c>
      <c r="Z13" s="283">
        <f t="shared" si="15"/>
        <v>0.797752808988764</v>
      </c>
      <c r="AA13" s="283">
        <f t="shared" si="16"/>
        <v>0.75242420314963143</v>
      </c>
      <c r="AB13" s="283">
        <f t="shared" si="17"/>
        <v>1.3679017209493609</v>
      </c>
      <c r="AC13" s="436">
        <f t="shared" si="18"/>
        <v>0.7445025724953952</v>
      </c>
      <c r="AD13" s="436">
        <f t="shared" si="19"/>
        <v>0.84425965679563975</v>
      </c>
      <c r="AE13" s="283">
        <f t="shared" si="20"/>
        <v>198</v>
      </c>
      <c r="AF13" s="283">
        <f t="shared" si="21"/>
        <v>213</v>
      </c>
      <c r="AG13" s="283">
        <f t="shared" si="22"/>
        <v>0.92957746478873238</v>
      </c>
      <c r="AH13" s="283">
        <f t="shared" si="23"/>
        <v>0.63120936594816113</v>
      </c>
      <c r="AI13" s="283">
        <f t="shared" si="24"/>
        <v>1.8114914618143734</v>
      </c>
      <c r="AJ13" s="436">
        <f t="shared" si="25"/>
        <v>0.88650828546937932</v>
      </c>
      <c r="AK13" s="436">
        <f t="shared" si="26"/>
        <v>0.96005185811057991</v>
      </c>
      <c r="AL13" s="283">
        <f t="shared" si="27"/>
        <v>198</v>
      </c>
      <c r="AM13" s="283">
        <f t="shared" si="28"/>
        <v>267</v>
      </c>
      <c r="AN13" s="283">
        <f t="shared" si="29"/>
        <v>0.7415730337078652</v>
      </c>
      <c r="AO13" s="283">
        <f t="shared" si="30"/>
        <v>0.76767722917124603</v>
      </c>
      <c r="AP13" s="283">
        <f t="shared" si="31"/>
        <v>1.3283988101493089</v>
      </c>
      <c r="AQ13" s="436">
        <f t="shared" si="32"/>
        <v>0.68468481446941887</v>
      </c>
      <c r="AR13" s="436">
        <f t="shared" si="33"/>
        <v>0.79301119595385605</v>
      </c>
    </row>
    <row r="14" spans="1:44" ht="15" customHeight="1" thickBot="1">
      <c r="A14" s="214">
        <v>2007</v>
      </c>
      <c r="B14" s="138">
        <v>168</v>
      </c>
      <c r="C14" s="139">
        <v>142</v>
      </c>
      <c r="D14" s="140">
        <v>133</v>
      </c>
      <c r="E14" s="142">
        <f t="shared" ref="E14" si="34">C14/B14</f>
        <v>0.84523809523809523</v>
      </c>
      <c r="F14" s="129">
        <f t="shared" ref="F14" si="35">G14/E14</f>
        <v>0.93661971830985913</v>
      </c>
      <c r="G14" s="141">
        <f t="shared" ref="G14" si="36">D14/B14</f>
        <v>0.79166666666666663</v>
      </c>
      <c r="H14" s="212">
        <v>8.3571490430414827E-2</v>
      </c>
      <c r="I14" s="122">
        <v>1.0339418140330861E-2</v>
      </c>
      <c r="J14" s="141">
        <v>0.02</v>
      </c>
      <c r="K14" s="142">
        <f t="shared" ref="K14" si="37">(C14/B14)/((1-H14)*(1-J14))</f>
        <v>0.94114035440566046</v>
      </c>
      <c r="L14" s="129">
        <f t="shared" ref="L14" si="38">M14/K14</f>
        <v>0.94640499528622124</v>
      </c>
      <c r="M14" s="129">
        <f t="shared" ref="M14" si="39">(D14/B14)/((1-H14)*(1-I14)*(1-J14))</f>
        <v>0.89069993267496173</v>
      </c>
      <c r="N14" s="142">
        <f t="shared" ref="N14" si="40">K14^(1/3)</f>
        <v>0.9799820746428537</v>
      </c>
      <c r="O14" s="129">
        <f t="shared" ref="O14" si="41">L14^(1/4)</f>
        <v>0.98632321677772472</v>
      </c>
      <c r="P14" s="218">
        <f t="shared" ref="P14" si="42">M14^(1/7)</f>
        <v>0.98360057559582348</v>
      </c>
      <c r="Q14" s="214">
        <v>2007</v>
      </c>
      <c r="R14" s="144">
        <f t="shared" ref="R14" si="43">1-K14</f>
        <v>5.8859645594339538E-2</v>
      </c>
      <c r="S14" s="145">
        <f t="shared" ref="S14" si="44">1-L14</f>
        <v>5.359500471377876E-2</v>
      </c>
      <c r="T14" s="145">
        <f t="shared" ref="T14" si="45">1-M14</f>
        <v>0.10930006732503827</v>
      </c>
      <c r="U14" s="144">
        <f t="shared" ref="U14" si="46">1-N14</f>
        <v>2.0017925357146304E-2</v>
      </c>
      <c r="V14" s="145">
        <f t="shared" ref="V14" si="47">1-O14</f>
        <v>1.3676783222275279E-2</v>
      </c>
      <c r="W14" s="145">
        <f t="shared" ref="W14" si="48">1-P14</f>
        <v>1.6399424404176521E-2</v>
      </c>
      <c r="X14" s="283">
        <f t="shared" si="13"/>
        <v>142</v>
      </c>
      <c r="Y14" s="283">
        <f t="shared" si="14"/>
        <v>168</v>
      </c>
      <c r="Z14" s="283">
        <f t="shared" si="15"/>
        <v>0.84523809523809523</v>
      </c>
      <c r="AA14" s="283">
        <f t="shared" si="16"/>
        <v>0.68014073437886657</v>
      </c>
      <c r="AB14" s="283">
        <f t="shared" si="17"/>
        <v>1.5722512239711366</v>
      </c>
      <c r="AC14" s="436">
        <f t="shared" si="18"/>
        <v>0.7815180172022681</v>
      </c>
      <c r="AD14" s="436">
        <f t="shared" si="19"/>
        <v>0.89634493297808537</v>
      </c>
      <c r="AE14" s="283">
        <f t="shared" si="20"/>
        <v>133</v>
      </c>
      <c r="AF14" s="283">
        <f t="shared" si="21"/>
        <v>142</v>
      </c>
      <c r="AG14" s="283">
        <f t="shared" si="22"/>
        <v>0.93661971830985913</v>
      </c>
      <c r="AH14" s="283">
        <f t="shared" si="23"/>
        <v>0.56796696701896565</v>
      </c>
      <c r="AI14" s="283">
        <f t="shared" si="24"/>
        <v>2.2182315498621548</v>
      </c>
      <c r="AJ14" s="436">
        <f t="shared" si="25"/>
        <v>0.88309509014717436</v>
      </c>
      <c r="AK14" s="436">
        <f t="shared" si="26"/>
        <v>0.97061157581892976</v>
      </c>
      <c r="AL14" s="283">
        <f t="shared" si="27"/>
        <v>133</v>
      </c>
      <c r="AM14" s="283">
        <f t="shared" si="28"/>
        <v>168</v>
      </c>
      <c r="AN14" s="283">
        <f t="shared" si="29"/>
        <v>0.79166666666666663</v>
      </c>
      <c r="AO14" s="283">
        <f t="shared" si="30"/>
        <v>0.7042386482720624</v>
      </c>
      <c r="AP14" s="283">
        <f t="shared" si="31"/>
        <v>1.4846520953732958</v>
      </c>
      <c r="AQ14" s="436">
        <f t="shared" si="32"/>
        <v>0.7223587724766557</v>
      </c>
      <c r="AR14" s="436">
        <f t="shared" si="33"/>
        <v>0.85039115069936222</v>
      </c>
    </row>
    <row r="15" spans="1:44" ht="15" customHeight="1" thickBot="1">
      <c r="A15" s="215" t="s">
        <v>81</v>
      </c>
      <c r="B15" s="156"/>
      <c r="C15" s="157"/>
      <c r="D15" s="157"/>
      <c r="E15" s="221">
        <f xml:space="preserve"> AVERAGE(E9:E14)</f>
        <v>0.84979258611477337</v>
      </c>
      <c r="F15" s="221">
        <f t="shared" ref="F15:W15" si="49" xml:space="preserve"> AVERAGE(F9:F14)</f>
        <v>0.93440935658867186</v>
      </c>
      <c r="G15" s="221">
        <f t="shared" si="49"/>
        <v>0.81222182448643199</v>
      </c>
      <c r="H15" s="221">
        <f t="shared" si="49"/>
        <v>8.6281741642558571E-2</v>
      </c>
      <c r="I15" s="221">
        <f t="shared" si="49"/>
        <v>9.2064353454687636E-3</v>
      </c>
      <c r="J15" s="221">
        <f t="shared" si="49"/>
        <v>0.02</v>
      </c>
      <c r="K15" s="221">
        <f t="shared" si="49"/>
        <v>0.94948238556780984</v>
      </c>
      <c r="L15" s="221">
        <f t="shared" si="49"/>
        <v>0.96432295321755712</v>
      </c>
      <c r="M15" s="221">
        <f t="shared" si="49"/>
        <v>0.91619778046468647</v>
      </c>
      <c r="N15" s="221">
        <f t="shared" si="49"/>
        <v>0.98269015028026807</v>
      </c>
      <c r="O15" s="221">
        <f t="shared" si="49"/>
        <v>0.99092421737397629</v>
      </c>
      <c r="P15" s="221">
        <f t="shared" si="49"/>
        <v>0.98737508034626575</v>
      </c>
      <c r="Q15" s="214" t="s">
        <v>81</v>
      </c>
      <c r="R15" s="221">
        <f t="shared" si="49"/>
        <v>5.0517614432190196E-2</v>
      </c>
      <c r="S15" s="221">
        <f t="shared" si="49"/>
        <v>3.5677046782442656E-2</v>
      </c>
      <c r="T15" s="221">
        <f t="shared" si="49"/>
        <v>8.3802219535313541E-2</v>
      </c>
      <c r="U15" s="221">
        <f t="shared" si="49"/>
        <v>1.7309849719731891E-2</v>
      </c>
      <c r="V15" s="221">
        <f t="shared" si="49"/>
        <v>9.0757826260238761E-3</v>
      </c>
      <c r="W15" s="221">
        <f t="shared" si="49"/>
        <v>1.262491965373432E-2</v>
      </c>
      <c r="X15" s="283"/>
      <c r="Y15" s="283"/>
      <c r="Z15" s="283"/>
      <c r="AA15" s="283"/>
      <c r="AB15" s="283"/>
      <c r="AC15" s="436"/>
      <c r="AD15" s="436"/>
      <c r="AE15" s="283"/>
      <c r="AF15" s="283"/>
      <c r="AG15" s="283"/>
      <c r="AH15" s="283"/>
      <c r="AI15" s="283"/>
      <c r="AJ15" s="436"/>
      <c r="AK15" s="436"/>
      <c r="AL15" s="283"/>
      <c r="AM15" s="283"/>
      <c r="AN15" s="283"/>
      <c r="AO15" s="283"/>
      <c r="AP15" s="283"/>
      <c r="AQ15" s="436"/>
      <c r="AR15" s="436"/>
    </row>
    <row r="16" spans="1:44" ht="15" customHeight="1">
      <c r="A16" s="222">
        <v>2008</v>
      </c>
      <c r="B16" s="223">
        <v>1115</v>
      </c>
      <c r="C16" s="223">
        <v>829</v>
      </c>
      <c r="D16" s="223">
        <v>794</v>
      </c>
      <c r="E16" s="151">
        <f t="shared" si="0"/>
        <v>0.74349775784753358</v>
      </c>
      <c r="F16" s="149">
        <f t="shared" si="11"/>
        <v>0.95778045838359471</v>
      </c>
      <c r="G16" s="150">
        <f t="shared" si="1"/>
        <v>0.71210762331838562</v>
      </c>
      <c r="H16" s="213">
        <v>0.14699999999999999</v>
      </c>
      <c r="I16" s="224">
        <v>1.0010914154529375E-2</v>
      </c>
      <c r="J16" s="150">
        <v>0.02</v>
      </c>
      <c r="K16" s="151">
        <f t="shared" si="12"/>
        <v>0.88941521861321815</v>
      </c>
      <c r="L16" s="149">
        <f t="shared" si="2"/>
        <v>0.96746567419541907</v>
      </c>
      <c r="M16" s="149">
        <f t="shared" si="3"/>
        <v>0.86047869411530309</v>
      </c>
      <c r="N16" s="151">
        <f t="shared" si="4"/>
        <v>0.9616894507987519</v>
      </c>
      <c r="O16" s="149">
        <f t="shared" si="5"/>
        <v>0.99176525937514626</v>
      </c>
      <c r="P16" s="225">
        <f t="shared" si="6"/>
        <v>0.97876213632545928</v>
      </c>
      <c r="Q16" s="222">
        <v>2008</v>
      </c>
      <c r="R16" s="152">
        <f t="shared" si="7"/>
        <v>0.11058478138678185</v>
      </c>
      <c r="S16" s="153">
        <f t="shared" si="7"/>
        <v>3.2534325804580932E-2</v>
      </c>
      <c r="T16" s="153">
        <f t="shared" si="7"/>
        <v>0.13952130588469691</v>
      </c>
      <c r="U16" s="152">
        <f t="shared" si="7"/>
        <v>3.8310549201248101E-2</v>
      </c>
      <c r="V16" s="153">
        <f t="shared" si="7"/>
        <v>8.2347406248537425E-3</v>
      </c>
      <c r="W16" s="153">
        <f t="shared" si="7"/>
        <v>2.1237863674540725E-2</v>
      </c>
      <c r="X16" s="283">
        <f t="shared" si="13"/>
        <v>829</v>
      </c>
      <c r="Y16" s="283">
        <f t="shared" si="14"/>
        <v>1115</v>
      </c>
      <c r="Z16" s="283">
        <f t="shared" si="15"/>
        <v>0.74349775784753358</v>
      </c>
      <c r="AA16" s="283">
        <f t="shared" si="16"/>
        <v>0.87623710770434238</v>
      </c>
      <c r="AB16" s="283">
        <f t="shared" si="17"/>
        <v>1.1465145752558854</v>
      </c>
      <c r="AC16" s="436">
        <f t="shared" si="18"/>
        <v>0.71679510483757891</v>
      </c>
      <c r="AD16" s="436">
        <f t="shared" si="19"/>
        <v>0.76890888830031734</v>
      </c>
      <c r="AE16" s="283">
        <f t="shared" si="20"/>
        <v>794</v>
      </c>
      <c r="AF16" s="283">
        <f t="shared" si="21"/>
        <v>829</v>
      </c>
      <c r="AG16" s="283">
        <f t="shared" si="22"/>
        <v>0.95778045838359471</v>
      </c>
      <c r="AH16" s="283">
        <f t="shared" si="23"/>
        <v>0.7332898668247213</v>
      </c>
      <c r="AI16" s="283">
        <f t="shared" si="24"/>
        <v>1.4442819430884646</v>
      </c>
      <c r="AJ16" s="436">
        <f t="shared" si="25"/>
        <v>0.94176944736373536</v>
      </c>
      <c r="AK16" s="436">
        <f t="shared" si="26"/>
        <v>0.97041930578493907</v>
      </c>
      <c r="AL16" s="283">
        <f t="shared" si="27"/>
        <v>794</v>
      </c>
      <c r="AM16" s="283">
        <f t="shared" si="28"/>
        <v>1115</v>
      </c>
      <c r="AN16" s="283">
        <f t="shared" si="29"/>
        <v>0.71210762331838562</v>
      </c>
      <c r="AO16" s="283">
        <f t="shared" si="30"/>
        <v>0.8800439082443412</v>
      </c>
      <c r="AP16" s="283">
        <f t="shared" si="31"/>
        <v>1.1405530731865599</v>
      </c>
      <c r="AQ16" s="436">
        <f t="shared" si="32"/>
        <v>0.68454718010592353</v>
      </c>
      <c r="AR16" s="436">
        <f t="shared" si="33"/>
        <v>0.73854392606000796</v>
      </c>
    </row>
    <row r="17" spans="1:44" ht="15" customHeight="1">
      <c r="A17" s="137">
        <v>2009</v>
      </c>
      <c r="B17" s="223">
        <v>916</v>
      </c>
      <c r="C17" s="223">
        <v>711</v>
      </c>
      <c r="D17" s="223">
        <v>659</v>
      </c>
      <c r="E17" s="129">
        <f t="shared" si="0"/>
        <v>0.77620087336244536</v>
      </c>
      <c r="F17" s="129">
        <f t="shared" si="11"/>
        <v>0.92686357243319284</v>
      </c>
      <c r="G17" s="129">
        <f t="shared" si="1"/>
        <v>0.71943231441048039</v>
      </c>
      <c r="H17" s="124">
        <v>7.6999999999999999E-2</v>
      </c>
      <c r="I17" s="446">
        <v>8.0000000000000002E-3</v>
      </c>
      <c r="J17" s="129">
        <v>0.02</v>
      </c>
      <c r="K17" s="151">
        <f t="shared" ref="K17:K18" si="50">(C17/B17)/((1-H17)*(1-J17))</f>
        <v>0.85811669286316283</v>
      </c>
      <c r="L17" s="149">
        <f t="shared" ref="L17:L18" si="51">M17/K17</f>
        <v>0.93433827866249286</v>
      </c>
      <c r="M17" s="149">
        <f t="shared" ref="M17:M18" si="52">(D17/B17)/((1-H17)*(1-I17)*(1-J17))</f>
        <v>0.80177127370131862</v>
      </c>
      <c r="N17" s="151">
        <f t="shared" ref="N17:N18" si="53">K17^(1/3)</f>
        <v>0.95027386116077839</v>
      </c>
      <c r="O17" s="149">
        <f t="shared" ref="O17:O18" si="54">L17^(1/4)</f>
        <v>0.98316415301380766</v>
      </c>
      <c r="P17" s="225">
        <f t="shared" ref="P17:P18" si="55">M17^(1/7)</f>
        <v>0.96893117063181089</v>
      </c>
      <c r="Q17" s="143"/>
      <c r="R17" s="145"/>
      <c r="S17" s="145"/>
      <c r="T17" s="145"/>
      <c r="U17" s="144"/>
      <c r="V17" s="145"/>
      <c r="W17" s="145"/>
      <c r="X17" s="283">
        <f t="shared" si="13"/>
        <v>711</v>
      </c>
      <c r="Y17" s="283">
        <f t="shared" si="14"/>
        <v>916</v>
      </c>
      <c r="Z17" s="283">
        <f t="shared" si="15"/>
        <v>0.77620087336244536</v>
      </c>
      <c r="AA17" s="283">
        <f t="shared" si="16"/>
        <v>0.85908273997850748</v>
      </c>
      <c r="AB17" s="283">
        <f t="shared" si="17"/>
        <v>1.1722307603142985</v>
      </c>
      <c r="AC17" s="436">
        <f t="shared" si="18"/>
        <v>0.74779869522927034</v>
      </c>
      <c r="AD17" s="436">
        <f t="shared" si="19"/>
        <v>0.80281414065486145</v>
      </c>
      <c r="AE17" s="283">
        <f t="shared" si="20"/>
        <v>659</v>
      </c>
      <c r="AF17" s="283">
        <f t="shared" si="21"/>
        <v>711</v>
      </c>
      <c r="AG17" s="283">
        <f t="shared" si="22"/>
        <v>0.92686357243319273</v>
      </c>
      <c r="AH17" s="283">
        <f t="shared" si="23"/>
        <v>0.76789124611147219</v>
      </c>
      <c r="AI17" s="283">
        <f t="shared" si="24"/>
        <v>1.3510938272754982</v>
      </c>
      <c r="AJ17" s="436">
        <f t="shared" si="25"/>
        <v>0.90519467551219002</v>
      </c>
      <c r="AK17" s="436">
        <f t="shared" si="26"/>
        <v>0.944899023147313</v>
      </c>
      <c r="AL17" s="283">
        <f t="shared" si="27"/>
        <v>659</v>
      </c>
      <c r="AM17" s="283">
        <f t="shared" si="28"/>
        <v>916</v>
      </c>
      <c r="AN17" s="283">
        <f t="shared" si="29"/>
        <v>0.71943231441048039</v>
      </c>
      <c r="AO17" s="283">
        <f t="shared" si="30"/>
        <v>0.86782396815732865</v>
      </c>
      <c r="AP17" s="283">
        <f t="shared" si="31"/>
        <v>1.1578361091374885</v>
      </c>
      <c r="AQ17" s="436">
        <f t="shared" si="32"/>
        <v>0.68911767070869467</v>
      </c>
      <c r="AR17" s="436">
        <f t="shared" si="33"/>
        <v>0.74832834990275854</v>
      </c>
    </row>
    <row r="18" spans="1:44" ht="15" customHeight="1">
      <c r="A18" s="143">
        <v>2010</v>
      </c>
      <c r="B18" s="277">
        <v>840</v>
      </c>
      <c r="C18" s="277">
        <v>634</v>
      </c>
      <c r="D18" s="277">
        <v>587</v>
      </c>
      <c r="E18" s="149">
        <f t="shared" si="0"/>
        <v>0.75476190476190474</v>
      </c>
      <c r="F18" s="149">
        <f t="shared" si="11"/>
        <v>0.92586750788643535</v>
      </c>
      <c r="G18" s="149">
        <f t="shared" si="1"/>
        <v>0.69880952380952377</v>
      </c>
      <c r="H18" s="129">
        <v>0.14899999999999999</v>
      </c>
      <c r="I18" s="447">
        <v>1.6E-2</v>
      </c>
      <c r="J18" s="129">
        <v>0.02</v>
      </c>
      <c r="K18" s="149">
        <f t="shared" si="50"/>
        <v>0.90501199640507546</v>
      </c>
      <c r="L18" s="149">
        <f t="shared" si="51"/>
        <v>0.94092226411223101</v>
      </c>
      <c r="M18" s="149">
        <f t="shared" si="52"/>
        <v>0.85154593670619383</v>
      </c>
      <c r="N18" s="151">
        <f t="shared" si="53"/>
        <v>0.96727830103046342</v>
      </c>
      <c r="O18" s="149">
        <f t="shared" si="54"/>
        <v>0.98489160636012207</v>
      </c>
      <c r="P18" s="150">
        <f t="shared" si="55"/>
        <v>0.97730411152487329</v>
      </c>
      <c r="Q18" s="143">
        <v>2010</v>
      </c>
      <c r="R18" s="152">
        <f t="shared" ref="R18:W18" si="56">1-K18</f>
        <v>9.4988003594924542E-2</v>
      </c>
      <c r="S18" s="153">
        <f t="shared" si="56"/>
        <v>5.907773588776899E-2</v>
      </c>
      <c r="T18" s="154">
        <f t="shared" si="56"/>
        <v>0.14845406329380617</v>
      </c>
      <c r="U18" s="152">
        <f t="shared" si="56"/>
        <v>3.2721698969536583E-2</v>
      </c>
      <c r="V18" s="153">
        <f t="shared" si="56"/>
        <v>1.5108393639877926E-2</v>
      </c>
      <c r="W18" s="153">
        <f t="shared" si="56"/>
        <v>2.2695888475126713E-2</v>
      </c>
      <c r="X18" s="283">
        <f t="shared" si="13"/>
        <v>634</v>
      </c>
      <c r="Y18" s="283">
        <f t="shared" si="14"/>
        <v>840</v>
      </c>
      <c r="Z18" s="283">
        <f t="shared" si="15"/>
        <v>0.75476190476190474</v>
      </c>
      <c r="AA18" s="283">
        <f t="shared" si="16"/>
        <v>0.85736190236739729</v>
      </c>
      <c r="AB18" s="283">
        <f t="shared" si="17"/>
        <v>1.1741250244175852</v>
      </c>
      <c r="AC18" s="436">
        <f t="shared" si="18"/>
        <v>0.72420866229233649</v>
      </c>
      <c r="AD18" s="436">
        <f t="shared" si="19"/>
        <v>0.78351552492599696</v>
      </c>
      <c r="AE18" s="283">
        <f t="shared" si="20"/>
        <v>587</v>
      </c>
      <c r="AF18" s="283">
        <f t="shared" si="21"/>
        <v>634</v>
      </c>
      <c r="AG18" s="283">
        <f t="shared" si="22"/>
        <v>0.92586750788643535</v>
      </c>
      <c r="AH18" s="283">
        <f t="shared" si="23"/>
        <v>0.75808959486038263</v>
      </c>
      <c r="AI18" s="283">
        <f t="shared" si="24"/>
        <v>1.3740311350530861</v>
      </c>
      <c r="AJ18" s="436">
        <f t="shared" si="25"/>
        <v>0.90263663880366996</v>
      </c>
      <c r="AK18" s="436">
        <f t="shared" si="26"/>
        <v>0.94502475863521662</v>
      </c>
      <c r="AL18" s="283">
        <f t="shared" si="27"/>
        <v>587</v>
      </c>
      <c r="AM18" s="283">
        <f t="shared" si="28"/>
        <v>840</v>
      </c>
      <c r="AN18" s="283">
        <f t="shared" si="29"/>
        <v>0.69880952380952377</v>
      </c>
      <c r="AO18" s="283">
        <f t="shared" si="30"/>
        <v>0.86488801544031402</v>
      </c>
      <c r="AP18" s="283">
        <f t="shared" si="31"/>
        <v>1.1614785672514136</v>
      </c>
      <c r="AQ18" s="436">
        <f t="shared" si="32"/>
        <v>0.66653068166998963</v>
      </c>
      <c r="AR18" s="436">
        <f t="shared" si="33"/>
        <v>0.72968624087591039</v>
      </c>
    </row>
    <row r="19" spans="1:44" ht="15" customHeight="1">
      <c r="A19" s="143">
        <v>2011</v>
      </c>
      <c r="B19" s="277">
        <v>1874</v>
      </c>
      <c r="C19" s="277">
        <v>1363</v>
      </c>
      <c r="D19" s="277">
        <v>1259</v>
      </c>
      <c r="E19" s="149">
        <f t="shared" ref="E19" si="57">C19/B19</f>
        <v>0.7273212379935966</v>
      </c>
      <c r="F19" s="149">
        <f t="shared" ref="F19" si="58">G19/E19</f>
        <v>0.9236977256052824</v>
      </c>
      <c r="G19" s="149">
        <f t="shared" ref="G19" si="59">D19/B19</f>
        <v>0.67182497331910351</v>
      </c>
      <c r="H19" s="285">
        <v>8.6999999999999994E-2</v>
      </c>
      <c r="I19" s="447">
        <v>2.8000000000000001E-2</v>
      </c>
      <c r="J19" s="129">
        <v>0.02</v>
      </c>
      <c r="K19" s="149">
        <f t="shared" ref="K19" si="60">(C19/B19)/((1-H19)*(1-J19))</f>
        <v>0.81288557345552526</v>
      </c>
      <c r="L19" s="149">
        <f t="shared" ref="L19" si="61">M19/K19</f>
        <v>0.95030630206304778</v>
      </c>
      <c r="M19" s="149">
        <f>(D19/B19)/((1-H19)*(1-I19)*(1-J19))</f>
        <v>0.77249028331092018</v>
      </c>
      <c r="N19" s="151">
        <f t="shared" ref="N19" si="62">K19^(1/3)</f>
        <v>0.93327537173076336</v>
      </c>
      <c r="O19" s="149">
        <f t="shared" ref="O19" si="63">L19^(1/4)</f>
        <v>0.98733811405228311</v>
      </c>
      <c r="P19" s="150">
        <f t="shared" ref="P19" si="64">M19^(1/7)</f>
        <v>0.9637951087141523</v>
      </c>
      <c r="Q19" s="143">
        <v>2011</v>
      </c>
      <c r="R19" s="152">
        <f t="shared" ref="R19" si="65">1-K19</f>
        <v>0.18711442654447474</v>
      </c>
      <c r="S19" s="153">
        <f t="shared" ref="S19" si="66">1-L19</f>
        <v>4.9693697936952219E-2</v>
      </c>
      <c r="T19" s="154">
        <f t="shared" ref="T19" si="67">1-M19</f>
        <v>0.22750971668907982</v>
      </c>
      <c r="U19" s="152">
        <f t="shared" ref="U19" si="68">1-N19</f>
        <v>6.6724628269236641E-2</v>
      </c>
      <c r="V19" s="153">
        <f t="shared" ref="V19" si="69">1-O19</f>
        <v>1.2661885947716889E-2</v>
      </c>
      <c r="W19" s="153">
        <f t="shared" ref="W19" si="70">1-P19</f>
        <v>3.6204891285847696E-2</v>
      </c>
      <c r="X19" s="283">
        <f t="shared" si="13"/>
        <v>1363</v>
      </c>
      <c r="Y19" s="283">
        <f t="shared" si="14"/>
        <v>1874</v>
      </c>
      <c r="Z19" s="283">
        <f t="shared" si="15"/>
        <v>0.7273212379935966</v>
      </c>
      <c r="AA19" s="283">
        <f t="shared" si="16"/>
        <v>0.904430163655078</v>
      </c>
      <c r="AB19" s="283">
        <f t="shared" si="17"/>
        <v>1.1083723932099416</v>
      </c>
      <c r="AC19" s="436">
        <f t="shared" si="18"/>
        <v>0.70654625042222952</v>
      </c>
      <c r="AD19" s="436">
        <f t="shared" si="19"/>
        <v>0.74738236023911564</v>
      </c>
      <c r="AE19" s="283">
        <f t="shared" si="20"/>
        <v>1259</v>
      </c>
      <c r="AF19" s="283">
        <f t="shared" si="21"/>
        <v>1363</v>
      </c>
      <c r="AG19" s="283">
        <f t="shared" si="22"/>
        <v>0.92369772560528252</v>
      </c>
      <c r="AH19" s="283">
        <f t="shared" si="23"/>
        <v>0.82612064302698518</v>
      </c>
      <c r="AI19" s="283">
        <f t="shared" si="24"/>
        <v>1.2324773066589814</v>
      </c>
      <c r="AJ19" s="436">
        <f t="shared" si="25"/>
        <v>0.90830382161172218</v>
      </c>
      <c r="AK19" s="436">
        <f t="shared" si="26"/>
        <v>0.93723299149923522</v>
      </c>
      <c r="AL19" s="283">
        <f t="shared" si="27"/>
        <v>1259</v>
      </c>
      <c r="AM19" s="283">
        <f t="shared" si="28"/>
        <v>1874</v>
      </c>
      <c r="AN19" s="283">
        <f t="shared" si="29"/>
        <v>0.67182497331910351</v>
      </c>
      <c r="AO19" s="283">
        <f t="shared" si="30"/>
        <v>0.90882821329891994</v>
      </c>
      <c r="AP19" s="283">
        <f t="shared" si="31"/>
        <v>1.1021444721461509</v>
      </c>
      <c r="AQ19" s="436">
        <f t="shared" si="32"/>
        <v>0.65004269489925981</v>
      </c>
      <c r="AR19" s="436">
        <f t="shared" si="33"/>
        <v>0.69306813623642427</v>
      </c>
    </row>
    <row r="20" spans="1:44" ht="15" customHeight="1">
      <c r="A20" s="143">
        <v>2012</v>
      </c>
      <c r="B20" s="277">
        <v>1691</v>
      </c>
      <c r="C20" s="277">
        <v>1352</v>
      </c>
      <c r="D20" s="277">
        <v>1279</v>
      </c>
      <c r="E20" s="149">
        <f t="shared" ref="E20" si="71">C20/B20</f>
        <v>0.79952690715552932</v>
      </c>
      <c r="F20" s="149">
        <f t="shared" ref="F20" si="72">G20/E20</f>
        <v>0.94600591715976334</v>
      </c>
      <c r="G20" s="149">
        <f t="shared" ref="G20" si="73">D20/B20</f>
        <v>0.75635718509757544</v>
      </c>
      <c r="H20" s="129">
        <v>0.106</v>
      </c>
      <c r="I20" s="447">
        <v>3.2000000000000001E-2</v>
      </c>
      <c r="J20" s="129">
        <v>0.02</v>
      </c>
      <c r="K20" s="149">
        <f t="shared" ref="K20" si="74">(C20/B20)/((1-H20)*(1-J20))</f>
        <v>0.91257693826819308</v>
      </c>
      <c r="L20" s="149">
        <f t="shared" ref="L20" si="75">M20/K20</f>
        <v>0.97727884004107779</v>
      </c>
      <c r="M20" s="149">
        <f t="shared" ref="M20" si="76">(D20/B20)/((1-H20)*(1-I20)*(1-J20))</f>
        <v>0.89184213167897797</v>
      </c>
      <c r="N20" s="151">
        <f t="shared" ref="N20" si="77">K20^(1/3)</f>
        <v>0.96996596694573589</v>
      </c>
      <c r="O20" s="149">
        <f t="shared" ref="O20" si="78">L20^(1/4)</f>
        <v>0.99427065979973317</v>
      </c>
      <c r="P20" s="150">
        <f t="shared" ref="P20" si="79">M20^(1/7)</f>
        <v>0.98378066681352949</v>
      </c>
      <c r="Q20" s="143">
        <v>2012</v>
      </c>
      <c r="R20" s="152">
        <f t="shared" ref="R20" si="80">1-K20</f>
        <v>8.7423061731806917E-2</v>
      </c>
      <c r="S20" s="153">
        <f t="shared" ref="S20" si="81">1-L20</f>
        <v>2.272115995892221E-2</v>
      </c>
      <c r="T20" s="154">
        <f t="shared" ref="T20" si="82">1-M20</f>
        <v>0.10815786832102203</v>
      </c>
      <c r="U20" s="152">
        <f t="shared" ref="U20" si="83">1-N20</f>
        <v>3.0034033054264109E-2</v>
      </c>
      <c r="V20" s="153">
        <f t="shared" ref="V20" si="84">1-O20</f>
        <v>5.7293402002668303E-3</v>
      </c>
      <c r="W20" s="153">
        <f t="shared" ref="W20" si="85">1-P20</f>
        <v>1.6219333186470508E-2</v>
      </c>
      <c r="X20" s="283">
        <f t="shared" si="13"/>
        <v>1352</v>
      </c>
      <c r="Y20" s="283">
        <f t="shared" si="14"/>
        <v>1691</v>
      </c>
      <c r="Z20" s="283">
        <f t="shared" si="15"/>
        <v>0.79952690715552932</v>
      </c>
      <c r="AA20" s="283">
        <f t="shared" si="16"/>
        <v>0.88972410176873828</v>
      </c>
      <c r="AB20" s="283">
        <f t="shared" si="17"/>
        <v>1.1289352795404315</v>
      </c>
      <c r="AC20" s="436">
        <f t="shared" si="18"/>
        <v>0.77963674856933018</v>
      </c>
      <c r="AD20" s="436">
        <f t="shared" si="19"/>
        <v>0.81837172014058635</v>
      </c>
      <c r="AE20" s="283">
        <f t="shared" si="20"/>
        <v>1279</v>
      </c>
      <c r="AF20" s="283">
        <f t="shared" si="21"/>
        <v>1352</v>
      </c>
      <c r="AG20" s="283">
        <f t="shared" si="22"/>
        <v>0.94600591715976334</v>
      </c>
      <c r="AH20" s="283">
        <f t="shared" si="23"/>
        <v>0.80039071220605662</v>
      </c>
      <c r="AI20" s="283">
        <f t="shared" si="24"/>
        <v>1.2830438527666461</v>
      </c>
      <c r="AJ20" s="436">
        <f t="shared" si="25"/>
        <v>0.93258629970448625</v>
      </c>
      <c r="AK20" s="436">
        <f t="shared" si="26"/>
        <v>0.95744175092705153</v>
      </c>
      <c r="AL20" s="283">
        <f t="shared" si="27"/>
        <v>1279</v>
      </c>
      <c r="AM20" s="283">
        <f t="shared" si="28"/>
        <v>1691</v>
      </c>
      <c r="AN20" s="283">
        <f t="shared" si="29"/>
        <v>0.75635718509757544</v>
      </c>
      <c r="AO20" s="283">
        <f t="shared" si="30"/>
        <v>0.89638069598756631</v>
      </c>
      <c r="AP20" s="283">
        <f t="shared" si="31"/>
        <v>1.1192764779514015</v>
      </c>
      <c r="AQ20" s="436">
        <f t="shared" si="32"/>
        <v>0.73516658931747425</v>
      </c>
      <c r="AR20" s="436">
        <f t="shared" si="33"/>
        <v>0.77665429004205322</v>
      </c>
    </row>
    <row r="21" spans="1:44" ht="15" customHeight="1">
      <c r="A21" s="143">
        <v>2013</v>
      </c>
      <c r="B21" s="277">
        <v>719</v>
      </c>
      <c r="C21">
        <v>612</v>
      </c>
      <c r="D21">
        <v>560</v>
      </c>
      <c r="E21" s="149">
        <f t="shared" ref="E21" si="86">C21/B21</f>
        <v>0.85118219749652291</v>
      </c>
      <c r="F21" s="149">
        <f t="shared" ref="F21" si="87">G21/E21</f>
        <v>0.91503267973856206</v>
      </c>
      <c r="G21" s="149">
        <f t="shared" ref="G21" si="88">D21/B21</f>
        <v>0.77885952712100137</v>
      </c>
      <c r="H21" s="129">
        <v>6.0999999999999999E-2</v>
      </c>
      <c r="I21" s="447">
        <v>8.9999999999999993E-3</v>
      </c>
      <c r="J21" s="129">
        <v>0.02</v>
      </c>
      <c r="K21" s="149">
        <f t="shared" ref="K21" si="89">(C21/B21)/((1-H21)*(1-J21))</f>
        <v>0.92497685064063251</v>
      </c>
      <c r="L21" s="149">
        <f t="shared" ref="L21" si="90">M21/K21</f>
        <v>0.92334276462014353</v>
      </c>
      <c r="M21" s="149">
        <f t="shared" ref="M21" si="91">(D21/B21)/((1-H21)*(1-I21)*(1-J21))</f>
        <v>0.85407068248015516</v>
      </c>
      <c r="N21" s="151">
        <f t="shared" ref="N21" si="92">K21^(1/3)</f>
        <v>0.97433945200338445</v>
      </c>
      <c r="O21" s="149">
        <f t="shared" ref="O21" si="93">L21^(1/4)</f>
        <v>0.98025877256798477</v>
      </c>
      <c r="P21" s="150">
        <f t="shared" ref="P21" si="94">M21^(1/7)</f>
        <v>0.97771753018480811</v>
      </c>
      <c r="Q21" s="143">
        <v>2013</v>
      </c>
      <c r="R21" s="152">
        <f t="shared" ref="R21" si="95">1-K21</f>
        <v>7.5023149359367491E-2</v>
      </c>
      <c r="S21" s="153">
        <f t="shared" ref="S21" si="96">1-L21</f>
        <v>7.665723537985647E-2</v>
      </c>
      <c r="T21" s="154">
        <f t="shared" ref="T21" si="97">1-M21</f>
        <v>0.14592931751984484</v>
      </c>
      <c r="U21" s="152">
        <f t="shared" ref="U21" si="98">1-N21</f>
        <v>2.5660547996615546E-2</v>
      </c>
      <c r="V21" s="153">
        <f t="shared" ref="V21" si="99">1-O21</f>
        <v>1.9741227432015229E-2</v>
      </c>
      <c r="W21" s="153">
        <f t="shared" ref="W21" si="100">1-P21</f>
        <v>2.2282469815191885E-2</v>
      </c>
      <c r="X21" s="283">
        <f t="shared" si="13"/>
        <v>612</v>
      </c>
      <c r="Y21" s="283">
        <f t="shared" si="14"/>
        <v>719</v>
      </c>
      <c r="Z21" s="283">
        <f t="shared" si="15"/>
        <v>0.85118219749652291</v>
      </c>
      <c r="AA21" s="283">
        <f t="shared" si="16"/>
        <v>0.82073878093727293</v>
      </c>
      <c r="AB21" s="283">
        <f t="shared" si="17"/>
        <v>1.2377758031322008</v>
      </c>
      <c r="AC21" s="436">
        <f t="shared" si="18"/>
        <v>0.8230355693692285</v>
      </c>
      <c r="AD21" s="436">
        <f t="shared" si="19"/>
        <v>0.87640867648140408</v>
      </c>
      <c r="AE21" s="283">
        <f t="shared" si="20"/>
        <v>560</v>
      </c>
      <c r="AF21" s="283">
        <f t="shared" si="21"/>
        <v>612</v>
      </c>
      <c r="AG21" s="283">
        <f t="shared" si="22"/>
        <v>0.91503267973856206</v>
      </c>
      <c r="AH21" s="283">
        <f t="shared" si="23"/>
        <v>0.76628276123837036</v>
      </c>
      <c r="AI21" s="283">
        <f t="shared" si="24"/>
        <v>1.3531940661813247</v>
      </c>
      <c r="AJ21" s="436">
        <f t="shared" si="25"/>
        <v>0.89006848545079742</v>
      </c>
      <c r="AK21" s="436">
        <f t="shared" si="26"/>
        <v>0.93589284211440738</v>
      </c>
      <c r="AL21" s="283">
        <f t="shared" si="27"/>
        <v>560</v>
      </c>
      <c r="AM21" s="283">
        <f t="shared" si="28"/>
        <v>719</v>
      </c>
      <c r="AN21" s="283">
        <f t="shared" si="29"/>
        <v>0.77885952712100137</v>
      </c>
      <c r="AO21" s="283">
        <f t="shared" si="30"/>
        <v>0.84232699775149433</v>
      </c>
      <c r="AP21" s="283">
        <f t="shared" si="31"/>
        <v>1.1980972466133311</v>
      </c>
      <c r="AQ21" s="436">
        <f t="shared" si="32"/>
        <v>0.74671646339355546</v>
      </c>
      <c r="AR21" s="436">
        <f t="shared" si="33"/>
        <v>0.80869477560889413</v>
      </c>
    </row>
    <row r="22" spans="1:44" ht="15" customHeight="1">
      <c r="A22" s="143">
        <v>2014</v>
      </c>
      <c r="B22">
        <v>1649</v>
      </c>
      <c r="C22">
        <v>1221</v>
      </c>
      <c r="D22">
        <v>1169</v>
      </c>
      <c r="E22" s="149">
        <f t="shared" ref="E22" si="101">C22/B22</f>
        <v>0.74044875682231659</v>
      </c>
      <c r="F22" s="149">
        <f t="shared" ref="F22" si="102">G22/E22</f>
        <v>0.95741195741195739</v>
      </c>
      <c r="G22" s="149">
        <f t="shared" ref="G22" si="103">D22/B22</f>
        <v>0.70891449363250458</v>
      </c>
      <c r="H22" s="129">
        <v>0.11899999999999999</v>
      </c>
      <c r="I22" s="447">
        <v>1.7999999999999999E-2</v>
      </c>
      <c r="J22" s="129">
        <v>0.02</v>
      </c>
      <c r="K22" s="149">
        <f t="shared" ref="K22" si="104">(C22/B22)/((1-H22)*(1-J22))</f>
        <v>0.85761629505237158</v>
      </c>
      <c r="L22" s="149">
        <f t="shared" ref="L22" si="105">M22/K22</f>
        <v>0.97496126009364303</v>
      </c>
      <c r="M22" s="149">
        <f t="shared" ref="M22" si="106">(D22/B22)/((1-H22)*(1-I22)*(1-J22))</f>
        <v>0.8361426637011018</v>
      </c>
      <c r="N22" s="151">
        <f t="shared" ref="N22" si="107">K22^(1/3)</f>
        <v>0.95008911262036766</v>
      </c>
      <c r="O22" s="149">
        <f t="shared" ref="O22" si="108">L22^(1/4)</f>
        <v>0.99368066600774207</v>
      </c>
      <c r="P22" s="150">
        <f t="shared" ref="P22" si="109">M22^(1/7)</f>
        <v>0.97475887412813833</v>
      </c>
      <c r="Q22" s="143">
        <v>2014</v>
      </c>
      <c r="R22" s="152">
        <f t="shared" ref="R22" si="110">1-K22</f>
        <v>0.14238370494762842</v>
      </c>
      <c r="S22" s="153">
        <f t="shared" ref="S22" si="111">1-L22</f>
        <v>2.5038739906356966E-2</v>
      </c>
      <c r="T22" s="154">
        <f t="shared" ref="T22" si="112">1-M22</f>
        <v>0.1638573362988982</v>
      </c>
      <c r="U22" s="152">
        <f t="shared" ref="U22" si="113">1-N22</f>
        <v>4.991088737963234E-2</v>
      </c>
      <c r="V22" s="153">
        <f t="shared" ref="V22" si="114">1-O22</f>
        <v>6.319333992257925E-3</v>
      </c>
      <c r="W22" s="153">
        <f t="shared" ref="W22" si="115">1-P22</f>
        <v>2.5241125871861669E-2</v>
      </c>
      <c r="X22" s="283">
        <f t="shared" ref="X22" si="116">C22</f>
        <v>1221</v>
      </c>
      <c r="Y22" s="283">
        <f t="shared" ref="Y22" si="117">B22</f>
        <v>1649</v>
      </c>
      <c r="Z22" s="283">
        <f t="shared" ref="Z22" si="118">X22/Y22</f>
        <v>0.74044875682231659</v>
      </c>
      <c r="AA22" s="283">
        <f t="shared" ref="AA22" si="119">_xlfn.F.INV(0.05/2, 2*X22, 2*(Y22-X22+1))</f>
        <v>0.89710064400735068</v>
      </c>
      <c r="AB22" s="283">
        <f t="shared" ref="AB22" si="120">_xlfn.F.INV(1-0.05/2, 2*(X22+1), 2*(Y22-X22))</f>
        <v>1.1180913429873478</v>
      </c>
      <c r="AC22" s="436">
        <f t="shared" ref="AC22" si="121">IF(X22=0, 0, 1/(1 +(Y22-X22+1)/(X22*AA22)))</f>
        <v>0.71857039545168733</v>
      </c>
      <c r="AD22" s="436">
        <f t="shared" ref="AD22" si="122">IF(X22=Y22, 1, 1/(1 + (Y22-X22)/(AB22*(X22+1))))</f>
        <v>0.76146788044609082</v>
      </c>
      <c r="AE22" s="283">
        <f t="shared" ref="AE22" si="123">D22</f>
        <v>1169</v>
      </c>
      <c r="AF22" s="283">
        <f t="shared" ref="AF22" si="124">C22</f>
        <v>1221</v>
      </c>
      <c r="AG22" s="283">
        <f t="shared" ref="AG22" si="125">AE22/AF22</f>
        <v>0.95741195741195739</v>
      </c>
      <c r="AH22" s="283">
        <f t="shared" ref="AH22" si="126">_xlfn.F.INV(0.05/2, 2*AE22, 2*(AF22-AE22+1))</f>
        <v>0.7719135947666792</v>
      </c>
      <c r="AI22" s="283">
        <f t="shared" ref="AI22" si="127">_xlfn.F.INV(1-0.05/2, 2*(AE22+1), 2*(AF22-AE22))</f>
        <v>1.3458545951625143</v>
      </c>
      <c r="AJ22" s="436">
        <f t="shared" ref="AJ22" si="128">IF(AE22=0, 0, 1/(1 +(AF22-AE22+1)/(AE22*AH22)))</f>
        <v>0.94452393642636745</v>
      </c>
      <c r="AK22" s="436">
        <f t="shared" ref="AK22" si="129">IF(AE22=AF22, 1, 1/(1 + (AF22-AE22)/(AI22*(AE22+1))))</f>
        <v>0.96803245691875828</v>
      </c>
      <c r="AL22" s="283">
        <f t="shared" ref="AL22" si="130">D22</f>
        <v>1169</v>
      </c>
      <c r="AM22" s="283">
        <f t="shared" ref="AM22" si="131">B22</f>
        <v>1649</v>
      </c>
      <c r="AN22" s="283">
        <f t="shared" ref="AN22" si="132">AL22/AM22</f>
        <v>0.70891449363250458</v>
      </c>
      <c r="AO22" s="283">
        <f t="shared" ref="AO22" si="133">_xlfn.F.INV(0.05/2, 2*AL22, 2*(AM22-AL22+1))</f>
        <v>0.90029753008223479</v>
      </c>
      <c r="AP22" s="283">
        <f t="shared" ref="AP22" si="134">_xlfn.F.INV(1-0.05/2, 2*(AL22+1), 2*(AM22-AL22))</f>
        <v>1.1134734134269451</v>
      </c>
      <c r="AQ22" s="436">
        <f t="shared" ref="AQ22" si="135">IF(AL22=0, 0, 1/(1 +(AM22-AL22+1)/(AL22*AO22)))</f>
        <v>0.6863277667312927</v>
      </c>
      <c r="AR22" s="436">
        <f t="shared" ref="AR22" si="136">IF(AL22=AM22, 1, 1/(1 + (AM22-AL22)/(AP22*(AL22+1))))</f>
        <v>0.73075514839980893</v>
      </c>
    </row>
    <row r="23" spans="1:44" ht="15" customHeight="1">
      <c r="A23" s="143">
        <v>2015</v>
      </c>
      <c r="B23">
        <v>2210</v>
      </c>
      <c r="C23">
        <v>2042</v>
      </c>
      <c r="D23">
        <v>1737</v>
      </c>
      <c r="E23" s="149">
        <f t="shared" ref="E23" si="137">C23/B23</f>
        <v>0.92398190045248874</v>
      </c>
      <c r="F23" s="149">
        <f t="shared" ref="F23" si="138">G23/E23</f>
        <v>0.85063663075416251</v>
      </c>
      <c r="G23" s="149">
        <f t="shared" ref="G23" si="139">D23/B23</f>
        <v>0.78597285067873301</v>
      </c>
      <c r="H23" s="129">
        <v>0.124</v>
      </c>
      <c r="I23" s="472">
        <v>2.1000000000000001E-2</v>
      </c>
      <c r="J23" s="129">
        <v>0.02</v>
      </c>
      <c r="K23" s="149">
        <f t="shared" ref="K23" si="140">(C23/B23)/((1-H23)*(1-J23))</f>
        <v>1.0762998560857431</v>
      </c>
      <c r="L23" s="149">
        <f t="shared" ref="L23" si="141">M23/K23</f>
        <v>0.86888317748126909</v>
      </c>
      <c r="M23" s="149">
        <f t="shared" ref="M23" si="142">(D23/B23)/((1-H23)*(1-I23)*(1-J23))</f>
        <v>0.93517883887841313</v>
      </c>
      <c r="N23" s="151">
        <f t="shared" ref="N23" si="143">K23^(1/3)</f>
        <v>1.0248125315957306</v>
      </c>
      <c r="O23" s="149">
        <f t="shared" ref="O23" si="144">L23^(1/4)</f>
        <v>0.96547347625028546</v>
      </c>
      <c r="P23" s="150">
        <f t="shared" ref="P23" si="145">M23^(1/7)</f>
        <v>0.99047175607571469</v>
      </c>
      <c r="Q23" s="143">
        <v>2015</v>
      </c>
      <c r="R23" s="152">
        <f t="shared" ref="R23" si="146">1-K23</f>
        <v>-7.6299856085743079E-2</v>
      </c>
      <c r="S23" s="153">
        <f t="shared" ref="S23" si="147">1-L23</f>
        <v>0.13111682251873091</v>
      </c>
      <c r="T23" s="154">
        <f t="shared" ref="T23" si="148">1-M23</f>
        <v>6.4821161121586868E-2</v>
      </c>
      <c r="U23" s="152">
        <f t="shared" ref="U23" si="149">1-N23</f>
        <v>-2.4812531595730603E-2</v>
      </c>
      <c r="V23" s="153">
        <f t="shared" ref="V23" si="150">1-O23</f>
        <v>3.4526523749714544E-2</v>
      </c>
      <c r="W23" s="153">
        <f t="shared" ref="W23" si="151">1-P23</f>
        <v>9.5282439242853068E-3</v>
      </c>
      <c r="X23" s="283">
        <f t="shared" ref="X23" si="152">C23</f>
        <v>2042</v>
      </c>
      <c r="Y23" s="283">
        <f t="shared" ref="Y23" si="153">B23</f>
        <v>2210</v>
      </c>
      <c r="Z23" s="283">
        <f t="shared" ref="Z23" si="154">X23/Y23</f>
        <v>0.92398190045248874</v>
      </c>
      <c r="AA23" s="283">
        <f t="shared" ref="AA23" si="155">_xlfn.F.INV(0.05/2, 2*X23, 2*(Y23-X23+1))</f>
        <v>0.85915406445775755</v>
      </c>
      <c r="AB23" s="283">
        <f t="shared" ref="AB23" si="156">_xlfn.F.INV(1-0.05/2, 2*(X23+1), 2*(Y23-X23))</f>
        <v>1.1768666722934245</v>
      </c>
      <c r="AC23" s="436">
        <f t="shared" ref="AC23" si="157">IF(X23=0, 0, 1/(1 +(Y23-X23+1)/(X23*AA23)))</f>
        <v>0.91213442329291061</v>
      </c>
      <c r="AD23" s="436">
        <f t="shared" ref="AD23" si="158">IF(X23=Y23, 1, 1/(1 + (Y23-X23)/(AB23*(X23+1))))</f>
        <v>0.9346897802454045</v>
      </c>
      <c r="AE23" s="283">
        <f t="shared" ref="AE23" si="159">D23</f>
        <v>1737</v>
      </c>
      <c r="AF23" s="283">
        <f t="shared" ref="AF23" si="160">C23</f>
        <v>2042</v>
      </c>
      <c r="AG23" s="283">
        <f t="shared" ref="AG23" si="161">AE23/AF23</f>
        <v>0.85063663075416263</v>
      </c>
      <c r="AH23" s="283">
        <f t="shared" ref="AH23" si="162">_xlfn.F.INV(0.05/2, 2*AE23, 2*(AF23-AE23+1))</f>
        <v>0.88782611267769096</v>
      </c>
      <c r="AI23" s="283">
        <f t="shared" ref="AI23" si="163">_xlfn.F.INV(1-0.05/2, 2*(AE23+1), 2*(AF23-AE23))</f>
        <v>1.1324707066824105</v>
      </c>
      <c r="AJ23" s="436">
        <f t="shared" ref="AJ23" si="164">IF(AE23=0, 0, 1/(1 +(AF23-AE23+1)/(AE23*AH23)))</f>
        <v>0.83442937817945073</v>
      </c>
      <c r="AK23" s="436">
        <f t="shared" ref="AK23" si="165">IF(AE23=AF23, 1, 1/(1 + (AF23-AE23)/(AI23*(AE23+1))))</f>
        <v>0.86582991976878909</v>
      </c>
      <c r="AL23" s="283">
        <f t="shared" ref="AL23" si="166">D23</f>
        <v>1737</v>
      </c>
      <c r="AM23" s="283">
        <f t="shared" ref="AM23" si="167">B23</f>
        <v>2210</v>
      </c>
      <c r="AN23" s="283">
        <f t="shared" ref="AN23" si="168">AL23/AM23</f>
        <v>0.78597285067873301</v>
      </c>
      <c r="AO23" s="283">
        <f t="shared" ref="AO23" si="169">_xlfn.F.INV(0.05/2, 2*AL23, 2*(AM23-AL23+1))</f>
        <v>0.90472811645705753</v>
      </c>
      <c r="AP23" s="283">
        <f t="shared" ref="AP23" si="170">_xlfn.F.INV(1-0.05/2, 2*(AL23+1), 2*(AM23-AL23))</f>
        <v>1.1087048630229295</v>
      </c>
      <c r="AQ23" s="436">
        <f t="shared" ref="AQ23" si="171">IF(AL23=0, 0, 1/(1 +(AM23-AL23+1)/(AL23*AO23)))</f>
        <v>0.76827325925273837</v>
      </c>
      <c r="AR23" s="436">
        <f t="shared" ref="AR23" si="172">IF(AL23=AM23, 1, 1/(1 + (AM23-AL23)/(AP23*(AL23+1))))</f>
        <v>0.80291084037719407</v>
      </c>
    </row>
    <row r="24" spans="1:44" ht="15" customHeight="1">
      <c r="A24" s="143">
        <v>2016</v>
      </c>
      <c r="B24">
        <v>1143</v>
      </c>
      <c r="C24">
        <v>894</v>
      </c>
      <c r="D24">
        <v>836</v>
      </c>
      <c r="E24" s="149">
        <f t="shared" ref="E24" si="173">C24/B24</f>
        <v>0.78215223097112863</v>
      </c>
      <c r="F24" s="149">
        <f t="shared" ref="F24" si="174">G24/E24</f>
        <v>0.93512304250559286</v>
      </c>
      <c r="G24" s="149">
        <f t="shared" ref="G24" si="175">D24/B24</f>
        <v>0.73140857392825898</v>
      </c>
      <c r="H24" s="301">
        <v>9.9000000000000005E-2</v>
      </c>
      <c r="I24" s="472">
        <v>2.1000000000000001E-2</v>
      </c>
      <c r="J24" s="129">
        <v>0.02</v>
      </c>
      <c r="K24" s="149">
        <f t="shared" ref="K24" si="176">(C24/B24)/((1-H24)*(1-J24))</f>
        <v>0.88580967968824731</v>
      </c>
      <c r="L24" s="149">
        <f t="shared" ref="L24" si="177">M24/K24</f>
        <v>0.95518186159917551</v>
      </c>
      <c r="M24" s="149">
        <f t="shared" ref="M24" si="178">(D24/B24)/((1-H24)*(1-I24)*(1-J24))</f>
        <v>0.84610933886718942</v>
      </c>
      <c r="N24" s="151">
        <f t="shared" ref="N24" si="179">K24^(1/3)</f>
        <v>0.96038818202262</v>
      </c>
      <c r="O24" s="149">
        <f t="shared" ref="O24" si="180">L24^(1/4)</f>
        <v>0.98860207279977486</v>
      </c>
      <c r="P24" s="150">
        <f t="shared" ref="P24" si="181">M24^(1/7)</f>
        <v>0.97641030772455151</v>
      </c>
      <c r="Q24" s="143">
        <v>2016</v>
      </c>
      <c r="R24" s="152">
        <f t="shared" ref="R24" si="182">1-K24</f>
        <v>0.11419032031175269</v>
      </c>
      <c r="S24" s="153">
        <f t="shared" ref="S24" si="183">1-L24</f>
        <v>4.4818138400824492E-2</v>
      </c>
      <c r="T24" s="154">
        <f t="shared" ref="T24" si="184">1-M24</f>
        <v>0.15389066113281058</v>
      </c>
      <c r="U24" s="152">
        <f t="shared" ref="U24" si="185">1-N24</f>
        <v>3.9611817977380004E-2</v>
      </c>
      <c r="V24" s="153">
        <f t="shared" ref="V24" si="186">1-O24</f>
        <v>1.1397927200225144E-2</v>
      </c>
      <c r="W24" s="153">
        <f t="shared" ref="W24" si="187">1-P24</f>
        <v>2.3589692275448493E-2</v>
      </c>
      <c r="X24" s="283">
        <f t="shared" ref="X24" si="188">C24</f>
        <v>894</v>
      </c>
      <c r="Y24" s="283">
        <f t="shared" ref="Y24" si="189">B24</f>
        <v>1143</v>
      </c>
      <c r="Z24" s="283">
        <f t="shared" ref="Z24" si="190">X24/Y24</f>
        <v>0.78215223097112863</v>
      </c>
      <c r="AA24" s="283">
        <f t="shared" ref="AA24" si="191">_xlfn.F.INV(0.05/2, 2*X24, 2*(Y24-X24+1))</f>
        <v>0.87149857616440118</v>
      </c>
      <c r="AB24" s="283">
        <f t="shared" ref="AB24" si="192">_xlfn.F.INV(1-0.05/2, 2*(X24+1), 2*(Y24-X24))</f>
        <v>1.1541671024109519</v>
      </c>
      <c r="AC24" s="436">
        <f t="shared" ref="AC24" si="193">IF(X24=0, 0, 1/(1 +(Y24-X24+1)/(X24*AA24)))</f>
        <v>0.75707394055434341</v>
      </c>
      <c r="AD24" s="436">
        <f t="shared" ref="AD24" si="194">IF(X24=Y24, 1, 1/(1 + (Y24-X24)/(AB24*(X24+1))))</f>
        <v>0.80576913359745139</v>
      </c>
      <c r="AE24" s="283">
        <f t="shared" ref="AE24" si="195">D24</f>
        <v>836</v>
      </c>
      <c r="AF24" s="283">
        <f t="shared" ref="AF24" si="196">C24</f>
        <v>894</v>
      </c>
      <c r="AG24" s="283">
        <f t="shared" ref="AG24" si="197">AE24/AF24</f>
        <v>0.93512304250559286</v>
      </c>
      <c r="AH24" s="283">
        <f t="shared" ref="AH24" si="198">_xlfn.F.INV(0.05/2, 2*AE24, 2*(AF24-AE24+1))</f>
        <v>0.77905707845235872</v>
      </c>
      <c r="AI24" s="283">
        <f t="shared" ref="AI24" si="199">_xlfn.F.INV(1-0.05/2, 2*(AE24+1), 2*(AF24-AE24))</f>
        <v>1.3269728509275549</v>
      </c>
      <c r="AJ24" s="436">
        <f t="shared" ref="AJ24" si="200">IF(AE24=0, 0, 1/(1 +(AF24-AE24+1)/(AE24*AH24)))</f>
        <v>0.91693553713324527</v>
      </c>
      <c r="AK24" s="436">
        <f t="shared" ref="AK24" si="201">IF(AE24=AF24, 1, 1/(1 + (AF24-AE24)/(AI24*(AE24+1))))</f>
        <v>0.95037120100762118</v>
      </c>
      <c r="AL24" s="283">
        <f t="shared" ref="AL24" si="202">D24</f>
        <v>836</v>
      </c>
      <c r="AM24" s="283">
        <f t="shared" ref="AM24" si="203">B24</f>
        <v>1143</v>
      </c>
      <c r="AN24" s="283">
        <f t="shared" ref="AN24" si="204">AL24/AM24</f>
        <v>0.73140857392825898</v>
      </c>
      <c r="AO24" s="283">
        <f t="shared" ref="AO24" si="205">_xlfn.F.INV(0.05/2, 2*AL24, 2*(AM24-AL24+1))</f>
        <v>0.87920349257607788</v>
      </c>
      <c r="AP24" s="283">
        <f t="shared" ref="AP24" si="206">_xlfn.F.INV(1-0.05/2, 2*(AL24+1), 2*(AM24-AL24))</f>
        <v>1.1421158171415635</v>
      </c>
      <c r="AQ24" s="436">
        <f t="shared" ref="AQ24" si="207">IF(AL24=0, 0, 1/(1 +(AM24-AL24+1)/(AL24*AO24)))</f>
        <v>0.7047019842253438</v>
      </c>
      <c r="AR24" s="436">
        <f t="shared" ref="AR24" si="208">IF(AL24=AM24, 1, 1/(1 + (AM24-AL24)/(AP24*(AL24+1))))</f>
        <v>0.75691850686152062</v>
      </c>
    </row>
    <row r="25" spans="1:44" ht="15" customHeight="1">
      <c r="A25" s="143">
        <v>2017</v>
      </c>
      <c r="B25">
        <v>747</v>
      </c>
      <c r="C25">
        <v>561</v>
      </c>
      <c r="D25">
        <v>528</v>
      </c>
      <c r="E25" s="149">
        <f t="shared" ref="E25:E26" si="209">C25/B25</f>
        <v>0.75100401606425704</v>
      </c>
      <c r="F25" s="149">
        <f t="shared" ref="F25:F26" si="210">G25/E25</f>
        <v>0.94117647058823528</v>
      </c>
      <c r="G25" s="149">
        <f t="shared" ref="G25:G26" si="211">D25/B25</f>
        <v>0.70682730923694781</v>
      </c>
      <c r="H25" s="301">
        <v>7.4999999999999997E-2</v>
      </c>
      <c r="I25" s="472"/>
      <c r="J25" s="129">
        <v>0.02</v>
      </c>
      <c r="K25" s="149">
        <f t="shared" ref="K25:K26" si="212">(C25/B25)/((1-H25)*(1-J25))</f>
        <v>0.82846554447242915</v>
      </c>
      <c r="L25" s="149">
        <f t="shared" ref="L25:L26" si="213">M25/K25</f>
        <v>0.94117647058823539</v>
      </c>
      <c r="M25" s="149">
        <f t="shared" ref="M25:M26" si="214">(D25/B25)/((1-H25)*(1-I25)*(1-J25))</f>
        <v>0.77973227715052162</v>
      </c>
      <c r="N25" s="151">
        <f t="shared" ref="N25:N26" si="215">K25^(1/3)</f>
        <v>0.93920014366693838</v>
      </c>
      <c r="O25" s="149">
        <f t="shared" ref="O25:O26" si="216">L25^(1/4)</f>
        <v>0.98495812101090463</v>
      </c>
      <c r="P25" s="150">
        <f t="shared" ref="P25:P26" si="217">M25^(1/7)</f>
        <v>0.96508073125999316</v>
      </c>
      <c r="Q25" s="143">
        <v>2017</v>
      </c>
      <c r="R25" s="152">
        <f t="shared" ref="R25:R26" si="218">1-K25</f>
        <v>0.17153445552757085</v>
      </c>
      <c r="S25" s="153">
        <f t="shared" ref="S25:S26" si="219">1-L25</f>
        <v>5.8823529411764608E-2</v>
      </c>
      <c r="T25" s="154">
        <f t="shared" ref="T25:T26" si="220">1-M25</f>
        <v>0.22026772284947838</v>
      </c>
      <c r="U25" s="152">
        <f t="shared" ref="U25:U26" si="221">1-N25</f>
        <v>6.0799856333061619E-2</v>
      </c>
      <c r="V25" s="153">
        <f t="shared" ref="V25:V26" si="222">1-O25</f>
        <v>1.504187898909537E-2</v>
      </c>
      <c r="W25" s="153">
        <f t="shared" ref="W25:W26" si="223">1-P25</f>
        <v>3.4919268740006837E-2</v>
      </c>
      <c r="X25" s="283">
        <f t="shared" ref="X25:X26" si="224">C25</f>
        <v>561</v>
      </c>
      <c r="Y25" s="283">
        <f t="shared" ref="Y25:Y26" si="225">B25</f>
        <v>747</v>
      </c>
      <c r="Z25" s="283">
        <f t="shared" ref="Z25:Z26" si="226">X25/Y25</f>
        <v>0.75100401606425704</v>
      </c>
      <c r="AA25" s="283">
        <f t="shared" ref="AA25:AA26" si="227">_xlfn.F.INV(0.05/2, 2*X25, 2*(Y25-X25+1))</f>
        <v>0.85025294994471745</v>
      </c>
      <c r="AB25" s="283">
        <f t="shared" ref="AB25:AB26" si="228">_xlfn.F.INV(1-0.05/2, 2*(X25+1), 2*(Y25-X25))</f>
        <v>1.1847174311027622</v>
      </c>
      <c r="AC25" s="436">
        <f t="shared" ref="AC25:AC28" si="229">IF(X25=0, 0, 1/(1 +(Y25-X25+1)/(X25*AA25)))</f>
        <v>0.71837006051630126</v>
      </c>
      <c r="AD25" s="436">
        <f t="shared" ref="AD25:AD28" si="230">IF(X25=Y25, 1, 1/(1 + (Y25-X25)/(AB25*(X25+1))))</f>
        <v>0.78164175252409607</v>
      </c>
      <c r="AE25" s="283">
        <f t="shared" ref="AE25:AE26" si="231">D25</f>
        <v>528</v>
      </c>
      <c r="AF25" s="283">
        <f t="shared" ref="AF25:AF26" si="232">C25</f>
        <v>561</v>
      </c>
      <c r="AG25" s="283">
        <f t="shared" ref="AG25:AG26" si="233">AE25/AF25</f>
        <v>0.94117647058823528</v>
      </c>
      <c r="AH25" s="283">
        <f t="shared" ref="AH25:AH26" si="234">_xlfn.F.INV(0.05/2, 2*AE25, 2*(AF25-AE25+1))</f>
        <v>0.72454041895909971</v>
      </c>
      <c r="AI25" s="283">
        <f t="shared" ref="AI25:AI26" si="235">_xlfn.F.INV(1-0.05/2, 2*(AE25+1), 2*(AF25-AE25))</f>
        <v>1.4653248118327233</v>
      </c>
      <c r="AJ25" s="436">
        <f t="shared" ref="AJ25:AJ26" si="236">IF(AE25=0, 0, 1/(1 +(AF25-AE25+1)/(AE25*AH25)))</f>
        <v>0.91837858408351392</v>
      </c>
      <c r="AK25" s="436">
        <f t="shared" ref="AK25:AK26" si="237">IF(AE25=AF25, 1, 1/(1 + (AF25-AE25)/(AI25*(AE25+1))))</f>
        <v>0.95916634128377676</v>
      </c>
      <c r="AL25" s="283">
        <f t="shared" ref="AL25:AL26" si="238">D25</f>
        <v>528</v>
      </c>
      <c r="AM25" s="283">
        <f t="shared" ref="AM25:AM26" si="239">B25</f>
        <v>747</v>
      </c>
      <c r="AN25" s="283">
        <f t="shared" ref="AN25:AN26" si="240">AL25/AM25</f>
        <v>0.70682730923694781</v>
      </c>
      <c r="AO25" s="283">
        <f t="shared" ref="AO25:AO26" si="241">_xlfn.F.INV(0.05/2, 2*AL25, 2*(AM25-AL25+1))</f>
        <v>0.85653884167909999</v>
      </c>
      <c r="AP25" s="283">
        <f t="shared" ref="AP25:AP26" si="242">_xlfn.F.INV(1-0.05/2, 2*(AL25+1), 2*(AM25-AL25))</f>
        <v>1.1738170317453249</v>
      </c>
      <c r="AQ25" s="436">
        <f t="shared" ref="AQ25:AQ26" si="243">IF(AL25=0, 0, 1/(1 +(AM25-AL25+1)/(AL25*AO25)))</f>
        <v>0.67274201695213542</v>
      </c>
      <c r="AR25" s="436">
        <f t="shared" ref="AR25:AR26" si="244">IF(AL25=AM25, 1, 1/(1 + (AM25-AL25)/(AP25*(AL25+1))))</f>
        <v>0.73926994936527313</v>
      </c>
    </row>
    <row r="26" spans="1:44" ht="15" customHeight="1">
      <c r="A26" s="143">
        <v>2018</v>
      </c>
      <c r="B26">
        <v>525</v>
      </c>
      <c r="C26">
        <v>387</v>
      </c>
      <c r="D26">
        <v>350</v>
      </c>
      <c r="E26" s="149">
        <f t="shared" si="209"/>
        <v>0.7371428571428571</v>
      </c>
      <c r="F26" s="149">
        <f t="shared" si="210"/>
        <v>0.90439276485788112</v>
      </c>
      <c r="G26" s="149">
        <f t="shared" si="211"/>
        <v>0.66666666666666663</v>
      </c>
      <c r="H26" s="301">
        <v>0.10199999999999999</v>
      </c>
      <c r="I26" s="472">
        <v>1.0999999999999999E-2</v>
      </c>
      <c r="J26" s="129">
        <v>0.02</v>
      </c>
      <c r="K26" s="149">
        <f t="shared" si="212"/>
        <v>0.83762426383216337</v>
      </c>
      <c r="L26" s="149">
        <f t="shared" si="213"/>
        <v>0.91445173393112356</v>
      </c>
      <c r="M26" s="149">
        <f t="shared" si="214"/>
        <v>0.76596696044410273</v>
      </c>
      <c r="N26" s="151">
        <f t="shared" si="215"/>
        <v>0.94264843263334608</v>
      </c>
      <c r="O26" s="149">
        <f t="shared" si="216"/>
        <v>0.97789043214332516</v>
      </c>
      <c r="P26" s="150">
        <f t="shared" si="217"/>
        <v>0.9626281924971688</v>
      </c>
      <c r="Q26" s="143">
        <v>2018</v>
      </c>
      <c r="R26" s="152">
        <f t="shared" si="218"/>
        <v>0.16237573616783663</v>
      </c>
      <c r="S26" s="153">
        <f t="shared" si="219"/>
        <v>8.5548266068876444E-2</v>
      </c>
      <c r="T26" s="154">
        <f t="shared" si="220"/>
        <v>0.23403303955589727</v>
      </c>
      <c r="U26" s="152">
        <f t="shared" si="221"/>
        <v>5.7351567366653922E-2</v>
      </c>
      <c r="V26" s="153">
        <f t="shared" si="222"/>
        <v>2.2109567856674839E-2</v>
      </c>
      <c r="W26" s="153">
        <f t="shared" si="223"/>
        <v>3.73718075028312E-2</v>
      </c>
      <c r="X26" s="283">
        <f t="shared" si="224"/>
        <v>387</v>
      </c>
      <c r="Y26" s="283">
        <f t="shared" si="225"/>
        <v>525</v>
      </c>
      <c r="Z26" s="283">
        <f t="shared" si="226"/>
        <v>0.7371428571428571</v>
      </c>
      <c r="AA26" s="283">
        <f t="shared" si="227"/>
        <v>0.82726877902808049</v>
      </c>
      <c r="AB26" s="283">
        <f t="shared" si="228"/>
        <v>1.2203459059924382</v>
      </c>
      <c r="AC26" s="436">
        <f t="shared" si="229"/>
        <v>0.69726867796336789</v>
      </c>
      <c r="AD26" s="436">
        <f t="shared" si="230"/>
        <v>0.77432329301069236</v>
      </c>
      <c r="AE26" s="283">
        <f t="shared" si="231"/>
        <v>350</v>
      </c>
      <c r="AF26" s="283">
        <f t="shared" si="232"/>
        <v>387</v>
      </c>
      <c r="AG26" s="283">
        <f t="shared" si="233"/>
        <v>0.90439276485788112</v>
      </c>
      <c r="AH26" s="283">
        <f t="shared" si="234"/>
        <v>0.73065271621749595</v>
      </c>
      <c r="AI26" s="283">
        <f t="shared" si="235"/>
        <v>1.4399624503418522</v>
      </c>
      <c r="AJ26" s="436">
        <f t="shared" si="236"/>
        <v>0.87062880727920944</v>
      </c>
      <c r="AK26" s="436">
        <f t="shared" si="237"/>
        <v>0.93178803364622376</v>
      </c>
      <c r="AL26" s="283">
        <f t="shared" si="238"/>
        <v>350</v>
      </c>
      <c r="AM26" s="283">
        <f t="shared" si="239"/>
        <v>525</v>
      </c>
      <c r="AN26" s="283">
        <f t="shared" si="240"/>
        <v>0.66666666666666663</v>
      </c>
      <c r="AO26" s="283">
        <f t="shared" si="241"/>
        <v>0.83644398173820478</v>
      </c>
      <c r="AP26" s="283">
        <f t="shared" si="242"/>
        <v>1.2025041272468822</v>
      </c>
      <c r="AQ26" s="436">
        <f t="shared" si="243"/>
        <v>0.6245376535399576</v>
      </c>
      <c r="AR26" s="436">
        <f t="shared" si="244"/>
        <v>0.70690643106464568</v>
      </c>
    </row>
    <row r="27" spans="1:44" ht="15" customHeight="1">
      <c r="A27" s="143">
        <v>2019</v>
      </c>
      <c r="B27" s="66">
        <v>432</v>
      </c>
      <c r="C27" s="66">
        <v>335</v>
      </c>
      <c r="D27" s="66">
        <v>307</v>
      </c>
      <c r="E27" s="149">
        <f t="shared" ref="E27:E31" si="245">C27/B27</f>
        <v>0.77546296296296291</v>
      </c>
      <c r="F27" s="149">
        <f t="shared" ref="F27:F31" si="246">G27/E27</f>
        <v>0.91641791044776122</v>
      </c>
      <c r="G27" s="149">
        <f t="shared" ref="G27:G31" si="247">D27/B27</f>
        <v>0.71064814814814814</v>
      </c>
      <c r="H27" s="301">
        <v>6.6000000000000003E-2</v>
      </c>
      <c r="I27" s="472">
        <v>1.2999999999999999E-2</v>
      </c>
      <c r="J27" s="129">
        <v>0.02</v>
      </c>
      <c r="K27" s="149">
        <f t="shared" ref="K27:K31" si="248">(C27/B27)/((1-H27)*(1-J27))</f>
        <v>0.84720421597142315</v>
      </c>
      <c r="L27" s="149">
        <f t="shared" ref="L27:L31" si="249">M27/K27</f>
        <v>0.92848825779915012</v>
      </c>
      <c r="M27" s="149">
        <f t="shared" ref="M27:M31" si="250">(D27/B27)/((1-H27)*(1-I27)*(1-J27))</f>
        <v>0.7866191664874016</v>
      </c>
      <c r="N27" s="151">
        <f t="shared" ref="N27:N31" si="251">K27^(1/3)</f>
        <v>0.9462285248927782</v>
      </c>
      <c r="O27" s="149">
        <f t="shared" ref="O27:O31" si="252">L27^(1/4)</f>
        <v>0.98162159486146661</v>
      </c>
      <c r="P27" s="150">
        <f t="shared" ref="P27:P31" si="253">M27^(1/7)</f>
        <v>0.96629385501423792</v>
      </c>
      <c r="Q27" s="143">
        <v>2019</v>
      </c>
      <c r="R27" s="152">
        <f t="shared" ref="R27:R31" si="254">1-K27</f>
        <v>0.15279578402857685</v>
      </c>
      <c r="S27" s="153">
        <f t="shared" ref="S27:S31" si="255">1-L27</f>
        <v>7.1511742200849882E-2</v>
      </c>
      <c r="T27" s="154">
        <f t="shared" ref="T27:T31" si="256">1-M27</f>
        <v>0.2133808335125984</v>
      </c>
      <c r="U27" s="152">
        <f t="shared" ref="U27:U31" si="257">1-N27</f>
        <v>5.37714751072218E-2</v>
      </c>
      <c r="V27" s="153">
        <f t="shared" ref="V27:V31" si="258">1-O27</f>
        <v>1.8378405138533394E-2</v>
      </c>
      <c r="W27" s="153">
        <f t="shared" ref="W27:W31" si="259">1-P27</f>
        <v>3.3706144985762077E-2</v>
      </c>
      <c r="X27" s="283">
        <f t="shared" ref="X27:X31" si="260">C27</f>
        <v>335</v>
      </c>
      <c r="Y27" s="283">
        <f t="shared" ref="Y27:Y31" si="261">B27</f>
        <v>432</v>
      </c>
      <c r="Z27" s="283">
        <f t="shared" ref="Z27:Z31" si="262">X27/Y27</f>
        <v>0.77546296296296291</v>
      </c>
      <c r="AA27" s="283">
        <f t="shared" ref="AA27:AA31" si="263">_xlfn.F.INV(0.05/2, 2*X27, 2*(Y27-X27+1))</f>
        <v>0.8036791594630176</v>
      </c>
      <c r="AB27" s="283">
        <f t="shared" ref="AB27:AB31" si="264">_xlfn.F.INV(1-0.05/2, 2*(X27+1), 2*(Y27-X27))</f>
        <v>1.2631339009586104</v>
      </c>
      <c r="AC27" s="436">
        <f t="shared" si="229"/>
        <v>0.73313910102076296</v>
      </c>
      <c r="AD27" s="436">
        <f t="shared" si="230"/>
        <v>0.81396704392488017</v>
      </c>
      <c r="AE27" s="283">
        <f t="shared" ref="AE27:AE31" si="265">D27</f>
        <v>307</v>
      </c>
      <c r="AF27" s="283">
        <f t="shared" ref="AF27:AF31" si="266">C27</f>
        <v>335</v>
      </c>
      <c r="AG27" s="283">
        <f t="shared" ref="AG27:AG31" si="267">AE27/AF27</f>
        <v>0.91641791044776122</v>
      </c>
      <c r="AH27" s="283">
        <f t="shared" ref="AH27:AH31" si="268">_xlfn.F.INV(0.05/2, 2*AE27, 2*(AF27-AE27+1))</f>
        <v>0.70246238845015818</v>
      </c>
      <c r="AI27" s="283">
        <f t="shared" ref="AI27:AI31" si="269">_xlfn.F.INV(1-0.05/2, 2*(AE27+1), 2*(AF27-AE27))</f>
        <v>1.5250389601336047</v>
      </c>
      <c r="AJ27" s="436">
        <f t="shared" ref="AJ27:AJ31" si="270">IF(AE27=0, 0, 1/(1 +(AF27-AE27+1)/(AE27*AH27)))</f>
        <v>0.88146619931267778</v>
      </c>
      <c r="AK27" s="436">
        <f t="shared" ref="AK27:AK31" si="271">IF(AE27=AF27, 1, 1/(1 + (AF27-AE27)/(AI27*(AE27+1))))</f>
        <v>0.94374256595041439</v>
      </c>
      <c r="AL27" s="283">
        <f t="shared" ref="AL27:AL31" si="272">D27</f>
        <v>307</v>
      </c>
      <c r="AM27" s="283">
        <f t="shared" ref="AM27:AM31" si="273">B27</f>
        <v>432</v>
      </c>
      <c r="AN27" s="283">
        <f t="shared" ref="AN27:AN31" si="274">AL27/AM27</f>
        <v>0.71064814814814814</v>
      </c>
      <c r="AO27" s="283">
        <f t="shared" ref="AO27:AO31" si="275">_xlfn.F.INV(0.05/2, 2*AL27, 2*(AM27-AL27+1))</f>
        <v>0.81613851779582891</v>
      </c>
      <c r="AP27" s="283">
        <f t="shared" ref="AP27:AP31" si="276">_xlfn.F.INV(1-0.05/2, 2*(AL27+1), 2*(AM27-AL27))</f>
        <v>1.2372270860757237</v>
      </c>
      <c r="AQ27" s="436">
        <f t="shared" ref="AQ27:AQ31" si="277">IF(AL27=0, 0, 1/(1 +(AM27-AL27+1)/(AL27*AO27)))</f>
        <v>0.66538710426524872</v>
      </c>
      <c r="AR27" s="436">
        <f t="shared" ref="AR27:AR31" si="278">IF(AL27=AM27, 1, 1/(1 + (AM27-AL27)/(AP27*(AL27+1))))</f>
        <v>0.75299661664704254</v>
      </c>
    </row>
    <row r="28" spans="1:44" ht="15" customHeight="1">
      <c r="A28" s="143">
        <v>2020</v>
      </c>
      <c r="B28">
        <v>330</v>
      </c>
      <c r="C28">
        <v>278</v>
      </c>
      <c r="D28">
        <v>265</v>
      </c>
      <c r="E28" s="149">
        <f t="shared" si="245"/>
        <v>0.84242424242424241</v>
      </c>
      <c r="F28" s="149">
        <f t="shared" si="246"/>
        <v>0.9532374100719424</v>
      </c>
      <c r="G28" s="149">
        <f t="shared" si="247"/>
        <v>0.80303030303030298</v>
      </c>
      <c r="H28" s="129">
        <v>5.8999999999999997E-2</v>
      </c>
      <c r="I28" s="447">
        <v>1.4E-2</v>
      </c>
      <c r="J28" s="129">
        <v>0.02</v>
      </c>
      <c r="K28" s="149">
        <f t="shared" si="248"/>
        <v>0.91351389362623614</v>
      </c>
      <c r="L28" s="149">
        <f t="shared" si="249"/>
        <v>0.96677222116829842</v>
      </c>
      <c r="M28" s="149">
        <f t="shared" si="250"/>
        <v>0.88315985600913705</v>
      </c>
      <c r="N28" s="151">
        <f t="shared" si="251"/>
        <v>0.97029781255718761</v>
      </c>
      <c r="O28" s="149">
        <f t="shared" si="252"/>
        <v>0.99158749400962132</v>
      </c>
      <c r="P28" s="150">
        <f t="shared" si="253"/>
        <v>0.98240673560228875</v>
      </c>
      <c r="Q28" s="143">
        <v>2020</v>
      </c>
      <c r="R28" s="152">
        <f t="shared" si="254"/>
        <v>8.648610637376386E-2</v>
      </c>
      <c r="S28" s="153">
        <f t="shared" si="255"/>
        <v>3.3227778831701582E-2</v>
      </c>
      <c r="T28" s="154">
        <f t="shared" si="256"/>
        <v>0.11684014399086295</v>
      </c>
      <c r="U28" s="152">
        <f t="shared" si="257"/>
        <v>2.9702187442812389E-2</v>
      </c>
      <c r="V28" s="153">
        <f t="shared" si="258"/>
        <v>8.4125059903786825E-3</v>
      </c>
      <c r="W28" s="153">
        <f t="shared" si="259"/>
        <v>1.759326439771125E-2</v>
      </c>
      <c r="X28" s="283">
        <f t="shared" si="260"/>
        <v>278</v>
      </c>
      <c r="Y28" s="283">
        <f t="shared" si="261"/>
        <v>330</v>
      </c>
      <c r="Z28" s="283">
        <f t="shared" si="262"/>
        <v>0.84242424242424241</v>
      </c>
      <c r="AA28" s="283">
        <f t="shared" si="263"/>
        <v>0.75572537851682786</v>
      </c>
      <c r="AB28" s="283">
        <f t="shared" si="264"/>
        <v>1.3670522415607704</v>
      </c>
      <c r="AC28" s="436">
        <f t="shared" si="229"/>
        <v>0.79854929281533438</v>
      </c>
      <c r="AD28" s="436">
        <f t="shared" si="230"/>
        <v>0.88002055581849603</v>
      </c>
      <c r="AE28" s="283">
        <f t="shared" si="265"/>
        <v>265</v>
      </c>
      <c r="AF28" s="283">
        <f t="shared" si="266"/>
        <v>278</v>
      </c>
      <c r="AG28" s="283">
        <f t="shared" si="267"/>
        <v>0.9532374100719424</v>
      </c>
      <c r="AH28" s="283">
        <f t="shared" si="268"/>
        <v>0.61898439872434796</v>
      </c>
      <c r="AI28" s="283">
        <f t="shared" si="269"/>
        <v>1.8958415714659251</v>
      </c>
      <c r="AJ28" s="436">
        <f t="shared" si="270"/>
        <v>0.92136195064858351</v>
      </c>
      <c r="AK28" s="436">
        <f t="shared" si="271"/>
        <v>0.97486921640629576</v>
      </c>
      <c r="AL28" s="283">
        <f t="shared" si="272"/>
        <v>265</v>
      </c>
      <c r="AM28" s="283">
        <f t="shared" si="273"/>
        <v>330</v>
      </c>
      <c r="AN28" s="283">
        <f t="shared" si="274"/>
        <v>0.80303030303030298</v>
      </c>
      <c r="AO28" s="283">
        <f t="shared" si="275"/>
        <v>0.77149810553898479</v>
      </c>
      <c r="AP28" s="283">
        <f t="shared" si="276"/>
        <v>1.327761714247208</v>
      </c>
      <c r="AQ28" s="436">
        <f t="shared" si="277"/>
        <v>0.75595957619817788</v>
      </c>
      <c r="AR28" s="436">
        <f t="shared" si="278"/>
        <v>0.84456625730681578</v>
      </c>
    </row>
    <row r="29" spans="1:44" ht="15" customHeight="1">
      <c r="A29" s="143">
        <v>2021</v>
      </c>
      <c r="B29">
        <v>418</v>
      </c>
      <c r="C29">
        <v>337</v>
      </c>
      <c r="D29">
        <v>322</v>
      </c>
      <c r="E29" s="149">
        <f t="shared" si="245"/>
        <v>0.80622009569377995</v>
      </c>
      <c r="F29" s="149">
        <f t="shared" si="246"/>
        <v>0.95548961424332346</v>
      </c>
      <c r="G29" s="149">
        <f t="shared" si="247"/>
        <v>0.77033492822966509</v>
      </c>
      <c r="H29" s="129">
        <v>6.3E-2</v>
      </c>
      <c r="I29" s="447">
        <v>1.4999999999999999E-2</v>
      </c>
      <c r="J29" s="129">
        <v>0.02</v>
      </c>
      <c r="K29" s="149">
        <f t="shared" si="248"/>
        <v>0.87798673109335035</v>
      </c>
      <c r="L29" s="149">
        <f t="shared" si="249"/>
        <v>0.97004021750591218</v>
      </c>
      <c r="M29" s="149">
        <f t="shared" si="250"/>
        <v>0.85168243959709844</v>
      </c>
      <c r="N29" s="151">
        <f t="shared" si="251"/>
        <v>0.95755262426434251</v>
      </c>
      <c r="O29" s="149">
        <f t="shared" si="252"/>
        <v>0.99242440382790964</v>
      </c>
      <c r="P29" s="150">
        <f t="shared" si="253"/>
        <v>0.9773264902643195</v>
      </c>
      <c r="Q29" s="143">
        <v>2021</v>
      </c>
      <c r="R29" s="152">
        <f t="shared" si="254"/>
        <v>0.12201326890664965</v>
      </c>
      <c r="S29" s="153">
        <f t="shared" si="255"/>
        <v>2.9959782494087817E-2</v>
      </c>
      <c r="T29" s="154">
        <f t="shared" si="256"/>
        <v>0.14831756040290156</v>
      </c>
      <c r="U29" s="152">
        <f t="shared" si="257"/>
        <v>4.2447375735657489E-2</v>
      </c>
      <c r="V29" s="153">
        <f t="shared" si="258"/>
        <v>7.5755961720903597E-3</v>
      </c>
      <c r="W29" s="153">
        <f t="shared" si="259"/>
        <v>2.2673509735680497E-2</v>
      </c>
      <c r="X29" s="283">
        <f t="shared" si="260"/>
        <v>337</v>
      </c>
      <c r="Y29" s="283">
        <f t="shared" si="261"/>
        <v>418</v>
      </c>
      <c r="Z29" s="283">
        <f t="shared" si="262"/>
        <v>0.80622009569377995</v>
      </c>
      <c r="AA29" s="283">
        <f t="shared" si="263"/>
        <v>0.79216315929725911</v>
      </c>
      <c r="AB29" s="283">
        <f t="shared" si="264"/>
        <v>1.2870014341746268</v>
      </c>
      <c r="AC29" s="436">
        <f t="shared" ref="AC29:AC31" si="279">IF(X29=0, 0, 1/(1 +(Y29-X29+1)/(X29*AA29)))</f>
        <v>0.76501536398482839</v>
      </c>
      <c r="AD29" s="436">
        <f t="shared" ref="AD29:AD31" si="280">IF(X29=Y29, 1, 1/(1 + (Y29-X29)/(AB29*(X29+1))))</f>
        <v>0.84302522857036766</v>
      </c>
      <c r="AE29" s="283">
        <f t="shared" si="265"/>
        <v>322</v>
      </c>
      <c r="AF29" s="283">
        <f t="shared" si="266"/>
        <v>337</v>
      </c>
      <c r="AG29" s="283">
        <f t="shared" si="267"/>
        <v>0.95548961424332346</v>
      </c>
      <c r="AH29" s="283">
        <f t="shared" si="268"/>
        <v>0.63709077879799858</v>
      </c>
      <c r="AI29" s="283">
        <f t="shared" si="269"/>
        <v>1.8020567070599904</v>
      </c>
      <c r="AJ29" s="436">
        <f t="shared" si="270"/>
        <v>0.92764870105191255</v>
      </c>
      <c r="AK29" s="436">
        <f t="shared" si="271"/>
        <v>0.97487707841772298</v>
      </c>
      <c r="AL29" s="283">
        <f t="shared" si="272"/>
        <v>322</v>
      </c>
      <c r="AM29" s="283">
        <f t="shared" si="273"/>
        <v>418</v>
      </c>
      <c r="AN29" s="283">
        <f t="shared" si="274"/>
        <v>0.77033492822966509</v>
      </c>
      <c r="AO29" s="283">
        <f t="shared" si="275"/>
        <v>0.80211976215908209</v>
      </c>
      <c r="AP29" s="283">
        <f t="shared" si="276"/>
        <v>1.2655633530793298</v>
      </c>
      <c r="AQ29" s="436">
        <f t="shared" si="277"/>
        <v>0.72697787623583843</v>
      </c>
      <c r="AR29" s="436">
        <f t="shared" si="278"/>
        <v>0.80981699437913268</v>
      </c>
    </row>
    <row r="30" spans="1:44" ht="15" customHeight="1">
      <c r="A30" s="143">
        <v>2022</v>
      </c>
      <c r="B30">
        <v>864</v>
      </c>
      <c r="C30">
        <v>685</v>
      </c>
      <c r="D30">
        <v>644</v>
      </c>
      <c r="E30" s="149">
        <f t="shared" si="245"/>
        <v>0.79282407407407407</v>
      </c>
      <c r="F30" s="149">
        <f t="shared" si="246"/>
        <v>0.94014598540145988</v>
      </c>
      <c r="G30" s="149">
        <f t="shared" si="247"/>
        <v>0.74537037037037035</v>
      </c>
      <c r="H30" s="129">
        <v>0.10199999999999999</v>
      </c>
      <c r="I30" s="447">
        <v>2.3E-2</v>
      </c>
      <c r="J30" s="129">
        <v>0.02</v>
      </c>
      <c r="K30" s="149">
        <f t="shared" si="248"/>
        <v>0.90089549801608337</v>
      </c>
      <c r="L30" s="149">
        <f t="shared" si="249"/>
        <v>0.96227838833312174</v>
      </c>
      <c r="M30" s="149">
        <f t="shared" si="250"/>
        <v>0.86691226788748177</v>
      </c>
      <c r="N30" s="151">
        <f t="shared" si="251"/>
        <v>0.96580949839472352</v>
      </c>
      <c r="O30" s="149">
        <f t="shared" si="252"/>
        <v>0.99043318464793828</v>
      </c>
      <c r="P30" s="150">
        <f t="shared" si="253"/>
        <v>0.97980422304238601</v>
      </c>
      <c r="Q30" s="143">
        <v>2022</v>
      </c>
      <c r="R30" s="152">
        <f t="shared" si="254"/>
        <v>9.9104501983916626E-2</v>
      </c>
      <c r="S30" s="153">
        <f t="shared" si="255"/>
        <v>3.7721611666878263E-2</v>
      </c>
      <c r="T30" s="154">
        <f t="shared" si="256"/>
        <v>0.13308773211251823</v>
      </c>
      <c r="U30" s="152">
        <f t="shared" si="257"/>
        <v>3.419050160527648E-2</v>
      </c>
      <c r="V30" s="153">
        <f t="shared" si="258"/>
        <v>9.5668153520617194E-3</v>
      </c>
      <c r="W30" s="153">
        <f t="shared" si="259"/>
        <v>2.0195776957613987E-2</v>
      </c>
      <c r="X30" s="283">
        <f t="shared" si="260"/>
        <v>685</v>
      </c>
      <c r="Y30" s="283">
        <f t="shared" si="261"/>
        <v>864</v>
      </c>
      <c r="Z30" s="283">
        <f t="shared" si="262"/>
        <v>0.79282407407407407</v>
      </c>
      <c r="AA30" s="283">
        <f t="shared" si="263"/>
        <v>0.85182575521822368</v>
      </c>
      <c r="AB30" s="283">
        <f t="shared" si="264"/>
        <v>1.1838047968318599</v>
      </c>
      <c r="AC30" s="436">
        <f t="shared" si="279"/>
        <v>0.76424381327042668</v>
      </c>
      <c r="AD30" s="436">
        <f t="shared" si="280"/>
        <v>0.81939078829168777</v>
      </c>
      <c r="AE30" s="283">
        <f t="shared" si="265"/>
        <v>644</v>
      </c>
      <c r="AF30" s="283">
        <f t="shared" si="266"/>
        <v>685</v>
      </c>
      <c r="AG30" s="283">
        <f t="shared" si="267"/>
        <v>0.94014598540145988</v>
      </c>
      <c r="AH30" s="283">
        <f t="shared" si="268"/>
        <v>0.74669453682361853</v>
      </c>
      <c r="AI30" s="283">
        <f t="shared" si="269"/>
        <v>1.4047744487622644</v>
      </c>
      <c r="AJ30" s="436">
        <f t="shared" si="270"/>
        <v>0.91967430327730226</v>
      </c>
      <c r="AK30" s="436">
        <f t="shared" si="271"/>
        <v>0.95670902056488549</v>
      </c>
      <c r="AL30" s="283">
        <f t="shared" si="272"/>
        <v>644</v>
      </c>
      <c r="AM30" s="283">
        <f t="shared" si="273"/>
        <v>864</v>
      </c>
      <c r="AN30" s="283">
        <f t="shared" si="274"/>
        <v>0.74537037037037035</v>
      </c>
      <c r="AO30" s="283">
        <f t="shared" si="275"/>
        <v>0.8606603607140233</v>
      </c>
      <c r="AP30" s="283">
        <f t="shared" si="276"/>
        <v>1.1689459420429016</v>
      </c>
      <c r="AQ30" s="436">
        <f t="shared" si="277"/>
        <v>0.71493628323579916</v>
      </c>
      <c r="AR30" s="436">
        <f t="shared" si="278"/>
        <v>0.77412038353915291</v>
      </c>
    </row>
    <row r="31" spans="1:44" ht="15" customHeight="1">
      <c r="A31" s="143">
        <v>2023</v>
      </c>
      <c r="B31">
        <v>959</v>
      </c>
      <c r="C31">
        <v>774</v>
      </c>
      <c r="D31">
        <v>761</v>
      </c>
      <c r="E31" s="129">
        <f t="shared" si="245"/>
        <v>0.80709071949947864</v>
      </c>
      <c r="F31" s="129">
        <f t="shared" si="246"/>
        <v>0.98320413436692511</v>
      </c>
      <c r="G31" s="129">
        <f t="shared" si="247"/>
        <v>0.79353493222106364</v>
      </c>
      <c r="H31" s="301">
        <v>9.4E-2</v>
      </c>
      <c r="I31" s="472">
        <v>8.0000000000000002E-3</v>
      </c>
      <c r="J31" s="129">
        <v>0.02</v>
      </c>
      <c r="K31" s="149">
        <f t="shared" si="248"/>
        <v>0.90900878440721566</v>
      </c>
      <c r="L31" s="149">
        <f t="shared" si="249"/>
        <v>0.99113319996665838</v>
      </c>
      <c r="M31" s="149">
        <f t="shared" si="250"/>
        <v>0.90094878528732592</v>
      </c>
      <c r="N31" s="151">
        <f t="shared" si="251"/>
        <v>0.96870013452414028</v>
      </c>
      <c r="O31" s="149">
        <f t="shared" si="252"/>
        <v>0.99777589099616881</v>
      </c>
      <c r="P31" s="150">
        <f t="shared" si="253"/>
        <v>0.98520948950370824</v>
      </c>
      <c r="Q31" s="143"/>
      <c r="R31" s="152">
        <f t="shared" si="254"/>
        <v>9.0991215592784336E-2</v>
      </c>
      <c r="S31" s="153">
        <f t="shared" si="255"/>
        <v>8.8668000333416153E-3</v>
      </c>
      <c r="T31" s="154">
        <f t="shared" si="256"/>
        <v>9.9051214712674085E-2</v>
      </c>
      <c r="U31" s="152">
        <f t="shared" si="257"/>
        <v>3.1299865475859723E-2</v>
      </c>
      <c r="V31" s="153">
        <f t="shared" si="258"/>
        <v>2.2241090038311873E-3</v>
      </c>
      <c r="W31" s="153">
        <f t="shared" si="259"/>
        <v>1.4790510496291764E-2</v>
      </c>
      <c r="X31" s="283">
        <f t="shared" si="260"/>
        <v>774</v>
      </c>
      <c r="Y31" s="283">
        <f t="shared" si="261"/>
        <v>959</v>
      </c>
      <c r="Z31" s="283">
        <f t="shared" si="262"/>
        <v>0.80709071949947864</v>
      </c>
      <c r="AA31" s="283">
        <f t="shared" si="263"/>
        <v>0.85533582452477153</v>
      </c>
      <c r="AB31" s="283">
        <f t="shared" si="264"/>
        <v>1.1789057727154111</v>
      </c>
      <c r="AC31" s="436">
        <f t="shared" si="279"/>
        <v>0.78066811816570281</v>
      </c>
      <c r="AD31" s="436">
        <f t="shared" si="280"/>
        <v>0.83161182576229542</v>
      </c>
      <c r="AE31" s="283">
        <f t="shared" si="265"/>
        <v>761</v>
      </c>
      <c r="AF31" s="283">
        <f t="shared" si="266"/>
        <v>774</v>
      </c>
      <c r="AG31" s="283">
        <f t="shared" si="267"/>
        <v>0.98320413436692511</v>
      </c>
      <c r="AH31" s="283">
        <f t="shared" si="268"/>
        <v>0.62597169770882</v>
      </c>
      <c r="AI31" s="283">
        <f t="shared" si="269"/>
        <v>1.8843199239358424</v>
      </c>
      <c r="AJ31" s="436">
        <f t="shared" si="270"/>
        <v>0.97144980705954098</v>
      </c>
      <c r="AK31" s="436">
        <f t="shared" si="271"/>
        <v>0.99102737756811554</v>
      </c>
      <c r="AL31" s="283">
        <f t="shared" si="272"/>
        <v>761</v>
      </c>
      <c r="AM31" s="283">
        <f t="shared" si="273"/>
        <v>959</v>
      </c>
      <c r="AN31" s="283">
        <f t="shared" si="274"/>
        <v>0.79353493222106364</v>
      </c>
      <c r="AO31" s="283">
        <f t="shared" si="275"/>
        <v>0.85846624695216656</v>
      </c>
      <c r="AP31" s="283">
        <f t="shared" si="276"/>
        <v>1.1737028740011095</v>
      </c>
      <c r="AQ31" s="436">
        <f t="shared" si="277"/>
        <v>0.76651216958846213</v>
      </c>
      <c r="AR31" s="436">
        <f t="shared" si="278"/>
        <v>0.81874133820283646</v>
      </c>
    </row>
    <row r="32" spans="1:44" ht="15" customHeight="1">
      <c r="A32" s="264" t="s">
        <v>112</v>
      </c>
      <c r="B32" s="430">
        <f t="shared" ref="B32:H32" si="281">AVERAGE(B20:B24)</f>
        <v>1482.4</v>
      </c>
      <c r="C32" s="430">
        <f t="shared" si="281"/>
        <v>1224.2</v>
      </c>
      <c r="D32" s="430">
        <f t="shared" si="281"/>
        <v>1116.2</v>
      </c>
      <c r="E32" s="43">
        <f t="shared" si="281"/>
        <v>0.81945839857959724</v>
      </c>
      <c r="F32" s="43">
        <f t="shared" si="281"/>
        <v>0.92084204551400772</v>
      </c>
      <c r="G32" s="43">
        <f t="shared" si="281"/>
        <v>0.75230252609161463</v>
      </c>
      <c r="H32" s="43">
        <f t="shared" si="281"/>
        <v>0.1018</v>
      </c>
      <c r="I32" s="43">
        <f>AVERAGE(I18:I22)</f>
        <v>2.06E-2</v>
      </c>
      <c r="J32" s="43">
        <f t="shared" ref="J32:P32" si="282">AVERAGE(J20:J24)</f>
        <v>0.02</v>
      </c>
      <c r="K32" s="43">
        <f t="shared" si="282"/>
        <v>0.93145592394703747</v>
      </c>
      <c r="L32" s="43">
        <f t="shared" si="282"/>
        <v>0.93992958076706168</v>
      </c>
      <c r="M32" s="43">
        <f>AVERAGE(M16:M25)</f>
        <v>0.84293621205900959</v>
      </c>
      <c r="N32" s="43">
        <f t="shared" si="282"/>
        <v>0.97591904903756777</v>
      </c>
      <c r="O32" s="43">
        <f t="shared" si="282"/>
        <v>0.984457129485104</v>
      </c>
      <c r="P32" s="43">
        <f t="shared" si="282"/>
        <v>0.98062782698534845</v>
      </c>
      <c r="Q32" s="264" t="s">
        <v>112</v>
      </c>
      <c r="R32" s="43">
        <f t="shared" ref="R32:W32" si="283">AVERAGE(R20:R24)</f>
        <v>6.8544076052962491E-2</v>
      </c>
      <c r="S32" s="43">
        <f t="shared" si="283"/>
        <v>6.007041923293821E-2</v>
      </c>
      <c r="T32" s="43">
        <f t="shared" si="283"/>
        <v>0.1273312688788325</v>
      </c>
      <c r="U32" s="43">
        <f t="shared" si="283"/>
        <v>2.408095096243228E-2</v>
      </c>
      <c r="V32" s="43">
        <f t="shared" si="283"/>
        <v>1.5542870514895935E-2</v>
      </c>
      <c r="W32" s="43">
        <f t="shared" si="283"/>
        <v>1.9372173014651571E-2</v>
      </c>
      <c r="X32" s="283">
        <f t="shared" ref="X32" si="284">C32</f>
        <v>1224.2</v>
      </c>
      <c r="Y32" s="283">
        <f t="shared" ref="Y32" si="285">B32</f>
        <v>1482.4</v>
      </c>
      <c r="Z32" s="283">
        <f t="shared" ref="Z32" si="286">X32/Y32</f>
        <v>0.82582298974635726</v>
      </c>
      <c r="AA32" s="283">
        <f t="shared" ref="AA32" si="287">_xlfn.F.INV(0.05/2, 2*X32, 2*(Y32-X32+1))</f>
        <v>0.87703938994881459</v>
      </c>
      <c r="AB32" s="283">
        <f t="shared" ref="AB32" si="288">_xlfn.F.INV(1-0.05/2, 2*(X32+1), 2*(Y32-X32))</f>
        <v>1.1472385966128547</v>
      </c>
      <c r="AC32" s="436">
        <f t="shared" ref="AC32" si="289">IF(X32=0, 0, 1/(1 +(Y32-X32+1)/(X32*AA32)))</f>
        <v>0.80553265904826232</v>
      </c>
      <c r="AD32" s="436">
        <f t="shared" ref="AD32" si="290">IF(X32=Y32, 1, 1/(1 + (Y32-X32)/(AB32*(X32+1))))</f>
        <v>0.84481277335969585</v>
      </c>
      <c r="AE32" s="283">
        <f t="shared" ref="AE32" si="291">D32</f>
        <v>1116.2</v>
      </c>
      <c r="AF32" s="283">
        <f t="shared" ref="AF32" si="292">C32</f>
        <v>1224.2</v>
      </c>
      <c r="AG32" s="283">
        <f t="shared" ref="AG32" si="293">AE32/AF32</f>
        <v>0.91177912105865055</v>
      </c>
      <c r="AH32" s="283">
        <f t="shared" ref="AH32" si="294">_xlfn.F.INV(0.05/2, 2*AE32, 2*(AF32-AE32+1))</f>
        <v>0.82776434866396809</v>
      </c>
      <c r="AI32" s="283">
        <f t="shared" ref="AI32" si="295">_xlfn.F.INV(1-0.05/2, 2*(AE32+1), 2*(AF32-AE32))</f>
        <v>1.2288691804607286</v>
      </c>
      <c r="AJ32" s="436">
        <f t="shared" ref="AJ32" si="296">IF(AE32=0, 0, 1/(1 +(AF32-AE32+1)/(AE32*AH32)))</f>
        <v>0.89447704121569216</v>
      </c>
      <c r="AK32" s="436">
        <f t="shared" ref="AK32" si="297">IF(AE32=AF32, 1, 1/(1 + (AF32-AE32)/(AI32*(AE32+1))))</f>
        <v>0.9270710134756196</v>
      </c>
      <c r="AL32" s="283">
        <f t="shared" ref="AL32" si="298">D32</f>
        <v>1116.2</v>
      </c>
      <c r="AM32" s="283">
        <f t="shared" ref="AM32" si="299">B32</f>
        <v>1482.4</v>
      </c>
      <c r="AN32" s="283">
        <f t="shared" ref="AN32" si="300">AL32/AM32</f>
        <v>0.75296815974096054</v>
      </c>
      <c r="AO32" s="283">
        <f t="shared" ref="AO32" si="301">_xlfn.F.INV(0.05/2, 2*AL32, 2*(AM32-AL32+1))</f>
        <v>0.89027214523900211</v>
      </c>
      <c r="AP32" s="283">
        <f t="shared" ref="AP32" si="302">_xlfn.F.INV(1-0.05/2, 2*(AL32+1), 2*(AM32-AL32))</f>
        <v>1.1273936668597637</v>
      </c>
      <c r="AQ32" s="436">
        <f t="shared" ref="AQ32" si="303">IF(AL32=0, 0, 1/(1 +(AM32-AL32+1)/(AL32*AO32)))</f>
        <v>0.73018287421438666</v>
      </c>
      <c r="AR32" s="436">
        <f t="shared" ref="AR32" si="304">IF(AL32=AM32, 1, 1/(1 + (AM32-AL32)/(AP32*(AL32+1))))</f>
        <v>0.77474654128892761</v>
      </c>
    </row>
    <row r="33" spans="1:44" ht="15" customHeight="1">
      <c r="A33" s="264"/>
      <c r="B33" s="430"/>
      <c r="C33" s="430"/>
      <c r="D33" s="430"/>
      <c r="E33" s="43"/>
      <c r="F33" s="43"/>
      <c r="G33" s="43"/>
      <c r="H33" s="43"/>
      <c r="I33" s="43"/>
      <c r="J33" s="43"/>
      <c r="K33" s="43"/>
      <c r="L33" s="43"/>
      <c r="M33" s="43">
        <f>1-M32</f>
        <v>0.15706378794099041</v>
      </c>
      <c r="N33" s="43"/>
      <c r="O33" s="43"/>
      <c r="P33" s="43"/>
      <c r="Q33" s="264"/>
      <c r="R33" s="43"/>
      <c r="S33" s="43"/>
      <c r="T33" s="43"/>
      <c r="U33" s="43"/>
      <c r="V33" s="43"/>
      <c r="W33" s="43"/>
      <c r="X33" s="11"/>
      <c r="Y33" s="11"/>
      <c r="Z33" s="11"/>
      <c r="AA33" s="11"/>
      <c r="AB33" s="11"/>
      <c r="AC33" s="445"/>
      <c r="AD33" s="445"/>
      <c r="AE33" s="11"/>
      <c r="AF33" s="11"/>
      <c r="AG33" s="11"/>
      <c r="AH33" s="11"/>
      <c r="AI33" s="11"/>
      <c r="AJ33" s="445"/>
      <c r="AK33" s="445"/>
      <c r="AL33" s="11"/>
      <c r="AM33" s="11"/>
      <c r="AN33" s="11"/>
      <c r="AO33" s="11"/>
      <c r="AP33" s="11"/>
      <c r="AQ33" s="445"/>
      <c r="AR33" s="445"/>
    </row>
    <row r="34" spans="1:44" ht="15" customHeight="1" thickBot="1">
      <c r="A34" s="264"/>
      <c r="B34" s="508" t="s">
        <v>245</v>
      </c>
      <c r="C34" s="508"/>
      <c r="D34" s="430"/>
      <c r="E34" s="43"/>
      <c r="F34" s="43"/>
      <c r="G34" s="43"/>
      <c r="H34" s="43"/>
      <c r="I34" s="43"/>
      <c r="J34" s="43"/>
      <c r="K34" s="43"/>
      <c r="L34" s="43"/>
      <c r="M34" s="43"/>
      <c r="N34" s="43"/>
      <c r="O34" s="43"/>
      <c r="P34" s="43"/>
      <c r="Q34" s="264"/>
      <c r="R34" s="43"/>
      <c r="S34" s="43"/>
      <c r="T34" s="43"/>
      <c r="U34" s="43"/>
      <c r="V34" s="43"/>
      <c r="W34" s="43"/>
      <c r="X34" s="11"/>
      <c r="Y34" s="11"/>
      <c r="Z34" s="11"/>
      <c r="AA34" s="11"/>
      <c r="AB34" s="11"/>
      <c r="AC34" s="445"/>
      <c r="AD34" s="445"/>
      <c r="AE34" s="11"/>
      <c r="AF34" s="11"/>
      <c r="AG34" s="11"/>
      <c r="AH34" s="11"/>
      <c r="AI34" s="11"/>
      <c r="AJ34" s="445"/>
      <c r="AK34" s="445"/>
      <c r="AL34" s="11"/>
      <c r="AM34" s="11"/>
      <c r="AN34" s="11"/>
      <c r="AO34" s="11"/>
      <c r="AP34" s="11"/>
      <c r="AQ34" s="445"/>
      <c r="AR34" s="445"/>
    </row>
    <row r="35" spans="1:44" ht="15" customHeight="1">
      <c r="A35" s="67"/>
      <c r="B35" s="99"/>
      <c r="C35" s="99"/>
      <c r="D35" s="99"/>
      <c r="E35" s="99"/>
      <c r="F35" s="99"/>
      <c r="G35" s="99"/>
      <c r="H35" s="99"/>
      <c r="I35" s="99"/>
      <c r="J35" s="99"/>
      <c r="K35" s="99"/>
      <c r="L35" s="99"/>
      <c r="M35" s="99"/>
      <c r="N35" s="99"/>
      <c r="O35" s="99"/>
      <c r="P35" s="100"/>
      <c r="Q35" s="101"/>
      <c r="R35" s="102"/>
      <c r="S35" s="102"/>
      <c r="T35" s="102"/>
      <c r="U35" s="102"/>
      <c r="V35" s="102"/>
      <c r="W35" s="103"/>
    </row>
    <row r="36" spans="1:44" ht="15" customHeight="1">
      <c r="A36" s="92"/>
      <c r="B36" s="682" t="s">
        <v>3</v>
      </c>
      <c r="C36" s="683"/>
      <c r="D36" s="683"/>
      <c r="E36" s="683"/>
      <c r="F36" s="683"/>
      <c r="G36" s="683"/>
      <c r="H36" s="683"/>
      <c r="I36" s="683"/>
      <c r="J36" s="683"/>
      <c r="K36" s="683"/>
      <c r="L36" s="683"/>
      <c r="M36" s="683"/>
      <c r="N36" s="683"/>
      <c r="O36" s="683"/>
      <c r="P36" s="684"/>
      <c r="Q36" s="685" t="s">
        <v>40</v>
      </c>
      <c r="R36" s="686"/>
      <c r="S36" s="686"/>
      <c r="T36" s="686"/>
      <c r="U36" s="686"/>
      <c r="V36" s="686"/>
      <c r="W36" s="686"/>
    </row>
    <row r="37" spans="1:44" ht="30" customHeight="1">
      <c r="A37" s="93"/>
      <c r="B37" s="667" t="s">
        <v>15</v>
      </c>
      <c r="C37" s="668"/>
      <c r="D37" s="668"/>
      <c r="E37" s="667" t="s">
        <v>11</v>
      </c>
      <c r="F37" s="669"/>
      <c r="G37" s="670"/>
      <c r="H37" s="671" t="s">
        <v>23</v>
      </c>
      <c r="I37" s="681"/>
      <c r="J37" s="672"/>
      <c r="K37" s="673" t="s">
        <v>12</v>
      </c>
      <c r="L37" s="660"/>
      <c r="M37" s="674"/>
      <c r="N37" s="667" t="s">
        <v>16</v>
      </c>
      <c r="O37" s="669"/>
      <c r="P37" s="675"/>
      <c r="Q37" s="98"/>
      <c r="R37" s="676" t="s">
        <v>30</v>
      </c>
      <c r="S37" s="656"/>
      <c r="T37" s="657"/>
      <c r="U37" s="676" t="s">
        <v>46</v>
      </c>
      <c r="V37" s="656"/>
      <c r="W37" s="677"/>
    </row>
    <row r="38" spans="1:44" ht="57" customHeight="1">
      <c r="A38" s="94" t="s">
        <v>0</v>
      </c>
      <c r="B38" s="30" t="s">
        <v>1</v>
      </c>
      <c r="C38" s="18" t="s">
        <v>27</v>
      </c>
      <c r="D38" s="22" t="s">
        <v>24</v>
      </c>
      <c r="E38" s="30" t="s">
        <v>13</v>
      </c>
      <c r="F38" s="18" t="s">
        <v>29</v>
      </c>
      <c r="G38" s="22" t="s">
        <v>14</v>
      </c>
      <c r="H38" s="30" t="s">
        <v>32</v>
      </c>
      <c r="I38" s="71" t="s">
        <v>62</v>
      </c>
      <c r="J38" s="22" t="s">
        <v>17</v>
      </c>
      <c r="K38" s="30" t="s">
        <v>13</v>
      </c>
      <c r="L38" s="18" t="s">
        <v>29</v>
      </c>
      <c r="M38" s="18" t="s">
        <v>14</v>
      </c>
      <c r="N38" s="30" t="s">
        <v>25</v>
      </c>
      <c r="O38" s="18" t="s">
        <v>59</v>
      </c>
      <c r="P38" s="28" t="s">
        <v>26</v>
      </c>
      <c r="Q38" s="94" t="s">
        <v>0</v>
      </c>
      <c r="R38" s="30" t="s">
        <v>13</v>
      </c>
      <c r="S38" s="18" t="s">
        <v>29</v>
      </c>
      <c r="T38" s="18" t="s">
        <v>14</v>
      </c>
      <c r="U38" s="30" t="s">
        <v>21</v>
      </c>
      <c r="V38" s="18" t="s">
        <v>31</v>
      </c>
      <c r="W38" s="18" t="s">
        <v>22</v>
      </c>
      <c r="X38" s="433" t="s">
        <v>172</v>
      </c>
      <c r="Y38" s="433" t="s">
        <v>173</v>
      </c>
      <c r="Z38" s="283" t="s">
        <v>174</v>
      </c>
      <c r="AA38" s="283" t="s">
        <v>175</v>
      </c>
      <c r="AB38" s="283" t="s">
        <v>176</v>
      </c>
      <c r="AC38" s="437" t="s">
        <v>179</v>
      </c>
      <c r="AD38" s="437" t="s">
        <v>180</v>
      </c>
      <c r="AE38" s="283" t="s">
        <v>170</v>
      </c>
      <c r="AF38" s="283" t="s">
        <v>172</v>
      </c>
      <c r="AG38" s="283" t="s">
        <v>174</v>
      </c>
      <c r="AH38" s="283" t="s">
        <v>175</v>
      </c>
      <c r="AI38" s="283" t="s">
        <v>176</v>
      </c>
      <c r="AJ38" s="437" t="s">
        <v>181</v>
      </c>
      <c r="AK38" s="437" t="s">
        <v>182</v>
      </c>
      <c r="AL38" s="283" t="s">
        <v>170</v>
      </c>
      <c r="AM38" s="283" t="s">
        <v>171</v>
      </c>
      <c r="AN38" s="283" t="s">
        <v>174</v>
      </c>
      <c r="AO38" s="283" t="s">
        <v>175</v>
      </c>
      <c r="AP38" s="283" t="s">
        <v>176</v>
      </c>
      <c r="AQ38" s="437" t="s">
        <v>183</v>
      </c>
      <c r="AR38" s="437" t="s">
        <v>184</v>
      </c>
    </row>
    <row r="39" spans="1:44" ht="15" customHeight="1">
      <c r="A39" s="230" t="s">
        <v>60</v>
      </c>
      <c r="B39" s="126">
        <v>1142</v>
      </c>
      <c r="C39" s="127">
        <v>901</v>
      </c>
      <c r="D39" s="128">
        <v>863</v>
      </c>
      <c r="E39" s="142">
        <f t="shared" ref="E39:E48" si="305">C39/B39</f>
        <v>0.78896672504378285</v>
      </c>
      <c r="F39" s="129">
        <f t="shared" ref="F39:F48" si="306">G39/E39</f>
        <v>0.95782463928967809</v>
      </c>
      <c r="G39" s="141">
        <f t="shared" ref="G39:G48" si="307">D39/B39</f>
        <v>0.75569176882661993</v>
      </c>
      <c r="H39" s="212">
        <v>0.11379943595461402</v>
      </c>
      <c r="I39" s="211">
        <v>1.0574248594599035E-2</v>
      </c>
      <c r="J39" s="141">
        <v>0.02</v>
      </c>
      <c r="K39" s="151">
        <f t="shared" ref="K39:K48" si="308">(C39/B39)/((1-H39)*(1-J39))</f>
        <v>0.90844907963536281</v>
      </c>
      <c r="L39" s="149">
        <f t="shared" ref="L39:L44" si="309">M39/K39</f>
        <v>0.96806115863586928</v>
      </c>
      <c r="M39" s="129">
        <f t="shared" ref="M39:M48" si="310">(D39/B39)/((1-H39)*(1-I39)*(1-J39))</f>
        <v>0.87943426859349838</v>
      </c>
      <c r="N39" s="142">
        <f t="shared" ref="N39:N48" si="311">K39^(1/3)</f>
        <v>0.96850127417742371</v>
      </c>
      <c r="O39" s="129">
        <f t="shared" ref="O39:O48" si="312">L39^(1/4)</f>
        <v>0.99191783443017123</v>
      </c>
      <c r="P39" s="218">
        <f t="shared" ref="P39:P48" si="313">M39^(1/7)</f>
        <v>0.98181362560826779</v>
      </c>
      <c r="Q39" s="230" t="s">
        <v>60</v>
      </c>
      <c r="R39" s="231">
        <f t="shared" ref="R39:R48" si="314">1-K39</f>
        <v>9.1550920364637189E-2</v>
      </c>
      <c r="S39" s="232">
        <f t="shared" ref="S39:S48" si="315">1-L39</f>
        <v>3.1938841364130721E-2</v>
      </c>
      <c r="T39" s="232">
        <f t="shared" ref="T39:T48" si="316">1-M39</f>
        <v>0.12056573140650162</v>
      </c>
      <c r="U39" s="231">
        <f t="shared" ref="U39:U48" si="317">1-N39</f>
        <v>3.149872582257629E-2</v>
      </c>
      <c r="V39" s="232">
        <f t="shared" ref="V39:V48" si="318">1-O39</f>
        <v>8.0821655698287698E-3</v>
      </c>
      <c r="W39" s="232">
        <f t="shared" ref="W39:W48" si="319">1-P39</f>
        <v>1.8186374391732207E-2</v>
      </c>
      <c r="X39" s="283">
        <f>C39</f>
        <v>901</v>
      </c>
      <c r="Y39" s="283">
        <f>B39</f>
        <v>1142</v>
      </c>
      <c r="Z39" s="283">
        <f>X39/Y39</f>
        <v>0.78896672504378285</v>
      </c>
      <c r="AA39" s="283">
        <f t="shared" ref="AA39" si="320">_xlfn.F.INV(0.05/2, 2*X39, 2*(Y39-X39+1))</f>
        <v>0.87014841134811394</v>
      </c>
      <c r="AB39" s="283">
        <f>_xlfn.F.INV(1-0.05/2, 2*(X39+1), 2*(Y39-X39))</f>
        <v>1.156291498283968</v>
      </c>
      <c r="AC39" s="436">
        <f>IF(X39=0, 0, 1/(1 +(Y39-X39+1)/(X39*AA39)))</f>
        <v>0.7641334084788709</v>
      </c>
      <c r="AD39" s="436">
        <f>IF(X39=Y39, 1, 1/(1 + (Y39-X39)/(AB39*(X39+1))))</f>
        <v>0.81230163136640376</v>
      </c>
      <c r="AE39" s="283">
        <f>D39</f>
        <v>863</v>
      </c>
      <c r="AF39" s="283">
        <f>C39</f>
        <v>901</v>
      </c>
      <c r="AG39" s="283">
        <f>AE39/AF39</f>
        <v>0.95782463928967809</v>
      </c>
      <c r="AH39" s="283">
        <f t="shared" ref="AH39" si="321">_xlfn.F.INV(0.05/2, 2*AE39, 2*(AF39-AE39+1))</f>
        <v>0.7416744337169513</v>
      </c>
      <c r="AI39" s="283">
        <f>_xlfn.F.INV(1-0.05/2, 2*(AE39+1), 2*(AF39-AE39))</f>
        <v>1.4212991651484346</v>
      </c>
      <c r="AJ39" s="436">
        <f>IF(AE39=0, 0, 1/(1 +(AF39-AE39+1)/(AE39*AH39)))</f>
        <v>0.94256809301708633</v>
      </c>
      <c r="AK39" s="436">
        <f>IF(AE39=AF39, 1, 1/(1 + (AF39-AE39)/(AI39*(AE39+1))))</f>
        <v>0.96998426097919388</v>
      </c>
      <c r="AL39" s="283">
        <f>D39</f>
        <v>863</v>
      </c>
      <c r="AM39" s="283">
        <f>B39</f>
        <v>1142</v>
      </c>
      <c r="AN39" s="283">
        <f>AL39/AM39</f>
        <v>0.75569176882661993</v>
      </c>
      <c r="AO39" s="283">
        <f t="shared" ref="AO39" si="322">_xlfn.F.INV(0.05/2, 2*AL39, 2*(AM39-AL39+1))</f>
        <v>0.87585436486059443</v>
      </c>
      <c r="AP39" s="283">
        <f>_xlfn.F.INV(1-0.05/2, 2*(AL39+1), 2*(AM39-AL39))</f>
        <v>1.1473285056384639</v>
      </c>
      <c r="AQ39" s="436">
        <f>IF(AL39=0, 0, 1/(1 +(AM39-AL39+1)/(AL39*AO39)))</f>
        <v>0.72969380636918058</v>
      </c>
      <c r="AR39" s="436">
        <f>IF(AL39=AM39, 1, 1/(1 + (AM39-AL39)/(AP39*(AL39+1))))</f>
        <v>0.78036542969198786</v>
      </c>
    </row>
    <row r="40" spans="1:44" ht="15" customHeight="1">
      <c r="A40" s="233">
        <v>2003</v>
      </c>
      <c r="B40" s="234">
        <v>1196</v>
      </c>
      <c r="C40" s="139">
        <v>952</v>
      </c>
      <c r="D40" s="140">
        <v>903</v>
      </c>
      <c r="E40" s="142">
        <f t="shared" si="305"/>
        <v>0.79598662207357862</v>
      </c>
      <c r="F40" s="129">
        <f t="shared" si="306"/>
        <v>0.94852941176470584</v>
      </c>
      <c r="G40" s="141">
        <f t="shared" si="307"/>
        <v>0.75501672240802675</v>
      </c>
      <c r="H40" s="212">
        <v>8.5391657479989017E-2</v>
      </c>
      <c r="I40" s="122">
        <v>7.0751704937294067E-3</v>
      </c>
      <c r="J40" s="141">
        <v>0.02</v>
      </c>
      <c r="K40" s="151">
        <f t="shared" si="308"/>
        <v>0.88806455097044412</v>
      </c>
      <c r="L40" s="149">
        <f t="shared" si="309"/>
        <v>0.9552882389257602</v>
      </c>
      <c r="M40" s="129">
        <f t="shared" si="310"/>
        <v>0.84835762094895162</v>
      </c>
      <c r="N40" s="142">
        <f t="shared" si="311"/>
        <v>0.96120239635847182</v>
      </c>
      <c r="O40" s="129">
        <f t="shared" si="312"/>
        <v>0.98862959647302706</v>
      </c>
      <c r="P40" s="218">
        <f t="shared" si="313"/>
        <v>0.97678053173642954</v>
      </c>
      <c r="Q40" s="233">
        <v>2003</v>
      </c>
      <c r="R40" s="144">
        <f t="shared" si="314"/>
        <v>0.11193544902955588</v>
      </c>
      <c r="S40" s="145">
        <f t="shared" si="315"/>
        <v>4.4711761074239798E-2</v>
      </c>
      <c r="T40" s="145">
        <f t="shared" si="316"/>
        <v>0.15164237905104838</v>
      </c>
      <c r="U40" s="144">
        <f t="shared" si="317"/>
        <v>3.8797603641528178E-2</v>
      </c>
      <c r="V40" s="145">
        <f t="shared" si="318"/>
        <v>1.1370403526972939E-2</v>
      </c>
      <c r="W40" s="145">
        <f t="shared" si="319"/>
        <v>2.3219468263570464E-2</v>
      </c>
      <c r="X40" s="283">
        <f t="shared" ref="X40:X51" si="323">C40</f>
        <v>952</v>
      </c>
      <c r="Y40" s="283">
        <f t="shared" ref="Y40:Y51" si="324">B40</f>
        <v>1196</v>
      </c>
      <c r="Z40" s="283">
        <f t="shared" ref="Z40:Z51" si="325">X40/Y40</f>
        <v>0.79598662207357862</v>
      </c>
      <c r="AA40" s="283">
        <f t="shared" ref="AA40:AA51" si="326">_xlfn.F.INV(0.05/2, 2*X40, 2*(Y40-X40+1))</f>
        <v>0.87146245314316884</v>
      </c>
      <c r="AB40" s="283">
        <f t="shared" ref="AB40:AB51" si="327">_xlfn.F.INV(1-0.05/2, 2*(X40+1), 2*(Y40-X40))</f>
        <v>1.1545651646843624</v>
      </c>
      <c r="AC40" s="436">
        <f t="shared" ref="AC40:AC51" si="328">IF(X40=0, 0, 1/(1 +(Y40-X40+1)/(X40*AA40)))</f>
        <v>0.77201503233256086</v>
      </c>
      <c r="AD40" s="436">
        <f t="shared" ref="AD40:AD51" si="329">IF(X40=Y40, 1, 1/(1 + (Y40-X40)/(AB40*(X40+1))))</f>
        <v>0.81849297720531067</v>
      </c>
      <c r="AE40" s="283">
        <f t="shared" ref="AE40:AE51" si="330">D40</f>
        <v>903</v>
      </c>
      <c r="AF40" s="283">
        <f t="shared" ref="AF40:AF51" si="331">C40</f>
        <v>952</v>
      </c>
      <c r="AG40" s="283">
        <f t="shared" ref="AG40:AG51" si="332">AE40/AF40</f>
        <v>0.94852941176470584</v>
      </c>
      <c r="AH40" s="283">
        <f t="shared" ref="AH40:AH51" si="333">_xlfn.F.INV(0.05/2, 2*AE40, 2*(AF40-AE40+1))</f>
        <v>0.76519627842283133</v>
      </c>
      <c r="AI40" s="283">
        <f t="shared" ref="AI40:AI51" si="334">_xlfn.F.INV(1-0.05/2, 2*(AE40+1), 2*(AF40-AE40))</f>
        <v>1.3603893529981839</v>
      </c>
      <c r="AJ40" s="436">
        <f t="shared" ref="AJ40:AJ51" si="335">IF(AE40=0, 0, 1/(1 +(AF40-AE40+1)/(AE40*AH40)))</f>
        <v>0.93252108872604977</v>
      </c>
      <c r="AK40" s="436">
        <f t="shared" ref="AK40:AK51" si="336">IF(AE40=AF40, 1, 1/(1 + (AF40-AE40)/(AI40*(AE40+1))))</f>
        <v>0.96168258719658339</v>
      </c>
      <c r="AL40" s="283">
        <f t="shared" ref="AL40:AL51" si="337">D40</f>
        <v>903</v>
      </c>
      <c r="AM40" s="283">
        <f t="shared" ref="AM40:AM51" si="338">B40</f>
        <v>1196</v>
      </c>
      <c r="AN40" s="283">
        <f t="shared" ref="AN40:AN51" si="339">AL40/AM40</f>
        <v>0.75501672240802675</v>
      </c>
      <c r="AO40" s="283">
        <f t="shared" ref="AO40:AO51" si="340">_xlfn.F.INV(0.05/2, 2*AL40, 2*(AM40-AL40+1))</f>
        <v>0.87855982360658669</v>
      </c>
      <c r="AP40" s="283">
        <f t="shared" ref="AP40:AP51" si="341">_xlfn.F.INV(1-0.05/2, 2*(AL40+1), 2*(AM40-AL40))</f>
        <v>1.1435154549640794</v>
      </c>
      <c r="AQ40" s="436">
        <f t="shared" ref="AQ40:AQ51" si="342">IF(AL40=0, 0, 1/(1 +(AM40-AL40+1)/(AL40*AO40)))</f>
        <v>0.72961527250825731</v>
      </c>
      <c r="AR40" s="436">
        <f t="shared" ref="AR40:AR51" si="343">IF(AL40=AM40, 1, 1/(1 + (AM40-AL40)/(AP40*(AL40+1))))</f>
        <v>0.77915759830431375</v>
      </c>
    </row>
    <row r="41" spans="1:44" ht="15" customHeight="1">
      <c r="A41" s="233">
        <v>2004</v>
      </c>
      <c r="B41" s="234">
        <v>525</v>
      </c>
      <c r="C41" s="139">
        <v>424</v>
      </c>
      <c r="D41" s="140">
        <v>403</v>
      </c>
      <c r="E41" s="142">
        <f t="shared" si="305"/>
        <v>0.80761904761904757</v>
      </c>
      <c r="F41" s="129">
        <f t="shared" si="306"/>
        <v>0.95047169811320764</v>
      </c>
      <c r="G41" s="141">
        <f t="shared" si="307"/>
        <v>0.76761904761904765</v>
      </c>
      <c r="H41" s="212">
        <v>9.531324845581747E-2</v>
      </c>
      <c r="I41" s="122">
        <v>1.6315475727652073E-2</v>
      </c>
      <c r="J41" s="141">
        <v>0.02</v>
      </c>
      <c r="K41" s="151">
        <f t="shared" si="308"/>
        <v>0.91092421503066656</v>
      </c>
      <c r="L41" s="149">
        <f t="shared" si="309"/>
        <v>0.96623630306300834</v>
      </c>
      <c r="M41" s="129">
        <f t="shared" si="310"/>
        <v>0.88016804590180409</v>
      </c>
      <c r="N41" s="142">
        <f t="shared" si="311"/>
        <v>0.96938006053897441</v>
      </c>
      <c r="O41" s="129">
        <f t="shared" si="312"/>
        <v>0.99145004689882898</v>
      </c>
      <c r="P41" s="218">
        <f t="shared" si="313"/>
        <v>0.98193061235424894</v>
      </c>
      <c r="Q41" s="233">
        <v>2004</v>
      </c>
      <c r="R41" s="144">
        <f t="shared" si="314"/>
        <v>8.9075784969333438E-2</v>
      </c>
      <c r="S41" s="145">
        <f t="shared" si="315"/>
        <v>3.3763696936991661E-2</v>
      </c>
      <c r="T41" s="145">
        <f t="shared" si="316"/>
        <v>0.11983195409819591</v>
      </c>
      <c r="U41" s="144">
        <f t="shared" si="317"/>
        <v>3.0619939461025591E-2</v>
      </c>
      <c r="V41" s="145">
        <f t="shared" si="318"/>
        <v>8.549953101171015E-3</v>
      </c>
      <c r="W41" s="145">
        <f t="shared" si="319"/>
        <v>1.8069387645751056E-2</v>
      </c>
      <c r="X41" s="283">
        <f t="shared" si="323"/>
        <v>424</v>
      </c>
      <c r="Y41" s="283">
        <f t="shared" si="324"/>
        <v>525</v>
      </c>
      <c r="Z41" s="283">
        <f t="shared" si="325"/>
        <v>0.80761904761904757</v>
      </c>
      <c r="AA41" s="283">
        <f t="shared" si="326"/>
        <v>0.81110452569281399</v>
      </c>
      <c r="AB41" s="283">
        <f t="shared" si="327"/>
        <v>1.2520938150515293</v>
      </c>
      <c r="AC41" s="436">
        <f t="shared" si="328"/>
        <v>0.77125342659439455</v>
      </c>
      <c r="AD41" s="436">
        <f t="shared" si="329"/>
        <v>0.84047758708172471</v>
      </c>
      <c r="AE41" s="283">
        <f t="shared" si="330"/>
        <v>403</v>
      </c>
      <c r="AF41" s="283">
        <f t="shared" si="331"/>
        <v>424</v>
      </c>
      <c r="AG41" s="283">
        <f t="shared" si="332"/>
        <v>0.95047169811320753</v>
      </c>
      <c r="AH41" s="283">
        <f t="shared" si="333"/>
        <v>0.67605859344534969</v>
      </c>
      <c r="AI41" s="283">
        <f t="shared" si="334"/>
        <v>1.6293187627725805</v>
      </c>
      <c r="AJ41" s="436">
        <f t="shared" si="335"/>
        <v>0.92528483792629312</v>
      </c>
      <c r="AK41" s="436">
        <f t="shared" si="336"/>
        <v>0.96908331044509521</v>
      </c>
      <c r="AL41" s="283">
        <f t="shared" si="337"/>
        <v>403</v>
      </c>
      <c r="AM41" s="283">
        <f t="shared" si="338"/>
        <v>525</v>
      </c>
      <c r="AN41" s="283">
        <f t="shared" si="339"/>
        <v>0.76761904761904765</v>
      </c>
      <c r="AO41" s="283">
        <f t="shared" si="340"/>
        <v>0.82139215001247012</v>
      </c>
      <c r="AP41" s="283">
        <f t="shared" si="341"/>
        <v>1.2317448729387774</v>
      </c>
      <c r="AQ41" s="436">
        <f t="shared" si="342"/>
        <v>0.72908744281899773</v>
      </c>
      <c r="AR41" s="436">
        <f t="shared" si="343"/>
        <v>0.8031066951060114</v>
      </c>
    </row>
    <row r="42" spans="1:44" ht="15" customHeight="1">
      <c r="A42" s="233">
        <v>2005</v>
      </c>
      <c r="B42" s="234">
        <v>502</v>
      </c>
      <c r="C42" s="139">
        <v>416</v>
      </c>
      <c r="D42" s="140">
        <v>403</v>
      </c>
      <c r="E42" s="142">
        <f t="shared" si="305"/>
        <v>0.82868525896414347</v>
      </c>
      <c r="F42" s="129">
        <f t="shared" si="306"/>
        <v>0.96874999999999989</v>
      </c>
      <c r="G42" s="141">
        <f t="shared" si="307"/>
        <v>0.8027888446215139</v>
      </c>
      <c r="H42" s="212">
        <v>6.7887101245418233E-2</v>
      </c>
      <c r="I42" s="122">
        <v>3.0314918506366131E-3</v>
      </c>
      <c r="J42" s="141">
        <v>0.02</v>
      </c>
      <c r="K42" s="151">
        <f t="shared" si="308"/>
        <v>0.90718324374060133</v>
      </c>
      <c r="L42" s="149">
        <f t="shared" si="309"/>
        <v>0.97169568755813107</v>
      </c>
      <c r="M42" s="129">
        <f t="shared" si="310"/>
        <v>0.88150604576773917</v>
      </c>
      <c r="N42" s="142">
        <f t="shared" si="311"/>
        <v>0.96805122747465477</v>
      </c>
      <c r="O42" s="129">
        <f t="shared" si="312"/>
        <v>0.99284755084347931</v>
      </c>
      <c r="P42" s="218">
        <f t="shared" si="313"/>
        <v>0.98214371579579685</v>
      </c>
      <c r="Q42" s="233">
        <v>2005</v>
      </c>
      <c r="R42" s="144">
        <f t="shared" si="314"/>
        <v>9.2816756259398669E-2</v>
      </c>
      <c r="S42" s="145">
        <f t="shared" si="315"/>
        <v>2.8304312441868928E-2</v>
      </c>
      <c r="T42" s="145">
        <f t="shared" si="316"/>
        <v>0.11849395423226083</v>
      </c>
      <c r="U42" s="144">
        <f t="shared" si="317"/>
        <v>3.1948772525345226E-2</v>
      </c>
      <c r="V42" s="145">
        <f t="shared" si="318"/>
        <v>7.1524491565206905E-3</v>
      </c>
      <c r="W42" s="145">
        <f t="shared" si="319"/>
        <v>1.7856284204203154E-2</v>
      </c>
      <c r="X42" s="283">
        <f t="shared" si="323"/>
        <v>416</v>
      </c>
      <c r="Y42" s="283">
        <f t="shared" si="324"/>
        <v>502</v>
      </c>
      <c r="Z42" s="283">
        <f t="shared" si="325"/>
        <v>0.82868525896414347</v>
      </c>
      <c r="AA42" s="283">
        <f t="shared" si="326"/>
        <v>0.80029001037846326</v>
      </c>
      <c r="AB42" s="283">
        <f t="shared" si="327"/>
        <v>1.2734734690534708</v>
      </c>
      <c r="AC42" s="436">
        <f t="shared" si="328"/>
        <v>0.79281799745422366</v>
      </c>
      <c r="AD42" s="436">
        <f t="shared" si="329"/>
        <v>0.86062456583007707</v>
      </c>
      <c r="AE42" s="283">
        <f t="shared" si="330"/>
        <v>403</v>
      </c>
      <c r="AF42" s="283">
        <f t="shared" si="331"/>
        <v>416</v>
      </c>
      <c r="AG42" s="283">
        <f t="shared" si="332"/>
        <v>0.96875</v>
      </c>
      <c r="AH42" s="283">
        <f t="shared" si="333"/>
        <v>0.6226363930017601</v>
      </c>
      <c r="AI42" s="283">
        <f t="shared" si="334"/>
        <v>1.8898126794497485</v>
      </c>
      <c r="AJ42" s="436">
        <f t="shared" si="335"/>
        <v>0.94715434975630186</v>
      </c>
      <c r="AK42" s="436">
        <f t="shared" si="336"/>
        <v>0.9832578718934295</v>
      </c>
      <c r="AL42" s="283">
        <f t="shared" si="337"/>
        <v>403</v>
      </c>
      <c r="AM42" s="283">
        <f t="shared" si="338"/>
        <v>502</v>
      </c>
      <c r="AN42" s="283">
        <f t="shared" si="339"/>
        <v>0.8027888446215139</v>
      </c>
      <c r="AO42" s="283">
        <f t="shared" si="340"/>
        <v>0.80886926787121216</v>
      </c>
      <c r="AP42" s="283">
        <f t="shared" si="341"/>
        <v>1.2557644605084941</v>
      </c>
      <c r="AQ42" s="436">
        <f t="shared" si="342"/>
        <v>0.76524406169596138</v>
      </c>
      <c r="AR42" s="436">
        <f t="shared" si="343"/>
        <v>0.83672226499068303</v>
      </c>
    </row>
    <row r="43" spans="1:44" ht="15" customHeight="1">
      <c r="A43" s="233">
        <v>2006</v>
      </c>
      <c r="B43" s="234">
        <v>396</v>
      </c>
      <c r="C43" s="139">
        <v>297</v>
      </c>
      <c r="D43" s="140">
        <v>265</v>
      </c>
      <c r="E43" s="142">
        <f t="shared" si="305"/>
        <v>0.75</v>
      </c>
      <c r="F43" s="129">
        <f t="shared" si="306"/>
        <v>0.8922558922558923</v>
      </c>
      <c r="G43" s="141">
        <f t="shared" si="307"/>
        <v>0.66919191919191923</v>
      </c>
      <c r="H43" s="212">
        <v>7.1727516289097792E-2</v>
      </c>
      <c r="I43" s="122">
        <v>7.9028072658645903E-3</v>
      </c>
      <c r="J43" s="141">
        <v>0.02</v>
      </c>
      <c r="K43" s="151">
        <f t="shared" si="308"/>
        <v>0.82444124530068885</v>
      </c>
      <c r="L43" s="149">
        <f t="shared" si="309"/>
        <v>0.89936338777142477</v>
      </c>
      <c r="M43" s="129">
        <f t="shared" si="310"/>
        <v>0.7414722713921198</v>
      </c>
      <c r="N43" s="142">
        <f t="shared" si="311"/>
        <v>0.93767694259749113</v>
      </c>
      <c r="O43" s="129">
        <f t="shared" si="312"/>
        <v>0.97383146108131335</v>
      </c>
      <c r="P43" s="218">
        <f t="shared" si="313"/>
        <v>0.95816903261776609</v>
      </c>
      <c r="Q43" s="233">
        <v>2006</v>
      </c>
      <c r="R43" s="144">
        <f t="shared" si="314"/>
        <v>0.17555875469931115</v>
      </c>
      <c r="S43" s="145">
        <f t="shared" si="315"/>
        <v>0.10063661222857523</v>
      </c>
      <c r="T43" s="145">
        <f t="shared" si="316"/>
        <v>0.2585277286078802</v>
      </c>
      <c r="U43" s="144">
        <f t="shared" si="317"/>
        <v>6.2323057402508875E-2</v>
      </c>
      <c r="V43" s="145">
        <f t="shared" si="318"/>
        <v>2.6168538918686646E-2</v>
      </c>
      <c r="W43" s="145">
        <f t="shared" si="319"/>
        <v>4.1830967382233908E-2</v>
      </c>
      <c r="X43" s="283">
        <f t="shared" si="323"/>
        <v>297</v>
      </c>
      <c r="Y43" s="283">
        <f t="shared" si="324"/>
        <v>396</v>
      </c>
      <c r="Z43" s="283">
        <f t="shared" si="325"/>
        <v>0.75</v>
      </c>
      <c r="AA43" s="283">
        <f t="shared" si="326"/>
        <v>0.80201060099119792</v>
      </c>
      <c r="AB43" s="283">
        <f t="shared" si="327"/>
        <v>1.2642342779242788</v>
      </c>
      <c r="AC43" s="436">
        <f t="shared" si="328"/>
        <v>0.70431447915753187</v>
      </c>
      <c r="AD43" s="436">
        <f t="shared" si="329"/>
        <v>0.79190393420187655</v>
      </c>
      <c r="AE43" s="283">
        <f t="shared" si="330"/>
        <v>265</v>
      </c>
      <c r="AF43" s="283">
        <f t="shared" si="331"/>
        <v>297</v>
      </c>
      <c r="AG43" s="283">
        <f t="shared" si="332"/>
        <v>0.8922558922558923</v>
      </c>
      <c r="AH43" s="283">
        <f t="shared" si="333"/>
        <v>0.71297619709640103</v>
      </c>
      <c r="AI43" s="283">
        <f t="shared" si="334"/>
        <v>1.4864254324563304</v>
      </c>
      <c r="AJ43" s="436">
        <f t="shared" si="335"/>
        <v>0.85131028903369343</v>
      </c>
      <c r="AK43" s="436">
        <f t="shared" si="336"/>
        <v>0.92512678697060446</v>
      </c>
      <c r="AL43" s="283">
        <f t="shared" si="337"/>
        <v>265</v>
      </c>
      <c r="AM43" s="283">
        <f t="shared" si="338"/>
        <v>396</v>
      </c>
      <c r="AN43" s="283">
        <f t="shared" si="339"/>
        <v>0.66919191919191923</v>
      </c>
      <c r="AO43" s="283">
        <f t="shared" si="340"/>
        <v>0.81427666875714999</v>
      </c>
      <c r="AP43" s="283">
        <f t="shared" si="341"/>
        <v>1.2378220452430784</v>
      </c>
      <c r="AQ43" s="436">
        <f t="shared" si="342"/>
        <v>0.62045332980634316</v>
      </c>
      <c r="AR43" s="436">
        <f t="shared" si="343"/>
        <v>0.71537867509326114</v>
      </c>
    </row>
    <row r="44" spans="1:44" ht="15" customHeight="1" thickBot="1">
      <c r="A44" s="233">
        <v>2007</v>
      </c>
      <c r="B44" s="234">
        <v>416</v>
      </c>
      <c r="C44" s="139">
        <v>341</v>
      </c>
      <c r="D44" s="140">
        <v>314</v>
      </c>
      <c r="E44" s="142">
        <f t="shared" ref="E44" si="344">C44/B44</f>
        <v>0.81971153846153844</v>
      </c>
      <c r="F44" s="129">
        <f t="shared" ref="F44" si="345">G44/E44</f>
        <v>0.92082111436950143</v>
      </c>
      <c r="G44" s="141">
        <f t="shared" ref="G44" si="346">D44/B44</f>
        <v>0.75480769230769229</v>
      </c>
      <c r="H44" s="212">
        <v>8.3571490430414827E-2</v>
      </c>
      <c r="I44" s="122">
        <v>1.0339418140330861E-2</v>
      </c>
      <c r="J44" s="141">
        <v>0.02</v>
      </c>
      <c r="K44" s="151">
        <f t="shared" si="308"/>
        <v>0.91271750784113415</v>
      </c>
      <c r="L44" s="149">
        <f t="shared" si="309"/>
        <v>0.93044133640160587</v>
      </c>
      <c r="M44" s="129">
        <f t="shared" ref="M44" si="347">(D44/B44)/((1-H44)*(1-I44)*(1-J44))</f>
        <v>0.84923009775284808</v>
      </c>
      <c r="N44" s="142">
        <f t="shared" ref="N44" si="348">K44^(1/3)</f>
        <v>0.97001576756922692</v>
      </c>
      <c r="O44" s="129">
        <f t="shared" ref="O44" si="349">L44^(1/4)</f>
        <v>0.9821373993608673</v>
      </c>
      <c r="P44" s="218">
        <f t="shared" ref="P44" si="350">M44^(1/7)</f>
        <v>0.97692397578712786</v>
      </c>
      <c r="Q44" s="233">
        <v>2007</v>
      </c>
      <c r="R44" s="144">
        <f t="shared" ref="R44" si="351">1-K44</f>
        <v>8.7282492158865854E-2</v>
      </c>
      <c r="S44" s="145">
        <f t="shared" ref="S44" si="352">1-L44</f>
        <v>6.9558663598394133E-2</v>
      </c>
      <c r="T44" s="145">
        <f t="shared" ref="T44" si="353">1-M44</f>
        <v>0.15076990224715192</v>
      </c>
      <c r="U44" s="144">
        <f t="shared" ref="U44" si="354">1-N44</f>
        <v>2.9984232430773083E-2</v>
      </c>
      <c r="V44" s="145">
        <f t="shared" ref="V44" si="355">1-O44</f>
        <v>1.7862600639132697E-2</v>
      </c>
      <c r="W44" s="145">
        <f t="shared" ref="W44" si="356">1-P44</f>
        <v>2.3076024212872137E-2</v>
      </c>
      <c r="X44" s="283">
        <f t="shared" si="323"/>
        <v>341</v>
      </c>
      <c r="Y44" s="283">
        <f t="shared" si="324"/>
        <v>416</v>
      </c>
      <c r="Z44" s="283">
        <f t="shared" si="325"/>
        <v>0.81971153846153844</v>
      </c>
      <c r="AA44" s="283">
        <f t="shared" si="326"/>
        <v>0.78712973239932615</v>
      </c>
      <c r="AB44" s="283">
        <f t="shared" si="327"/>
        <v>1.2980072072041611</v>
      </c>
      <c r="AC44" s="436">
        <f t="shared" si="328"/>
        <v>0.77933356566342948</v>
      </c>
      <c r="AD44" s="436">
        <f t="shared" si="329"/>
        <v>0.85546862353475539</v>
      </c>
      <c r="AE44" s="283">
        <f t="shared" si="330"/>
        <v>314</v>
      </c>
      <c r="AF44" s="283">
        <f t="shared" si="331"/>
        <v>341</v>
      </c>
      <c r="AG44" s="283">
        <f t="shared" si="332"/>
        <v>0.92082111436950143</v>
      </c>
      <c r="AH44" s="283">
        <f t="shared" si="333"/>
        <v>0.69918341610467893</v>
      </c>
      <c r="AI44" s="283">
        <f t="shared" si="334"/>
        <v>1.536862124268751</v>
      </c>
      <c r="AJ44" s="436">
        <f t="shared" si="335"/>
        <v>0.8868886093981353</v>
      </c>
      <c r="AK44" s="436">
        <f t="shared" si="336"/>
        <v>0.94717396038367041</v>
      </c>
      <c r="AL44" s="283">
        <f t="shared" si="337"/>
        <v>314</v>
      </c>
      <c r="AM44" s="283">
        <f t="shared" si="338"/>
        <v>416</v>
      </c>
      <c r="AN44" s="283">
        <f t="shared" si="339"/>
        <v>0.75480769230769229</v>
      </c>
      <c r="AO44" s="283">
        <f t="shared" si="340"/>
        <v>0.80519840912164564</v>
      </c>
      <c r="AP44" s="283">
        <f t="shared" si="341"/>
        <v>1.2589171264127512</v>
      </c>
      <c r="AQ44" s="436">
        <f t="shared" si="342"/>
        <v>0.71053780147099466</v>
      </c>
      <c r="AR44" s="436">
        <f t="shared" si="343"/>
        <v>0.79541032953223567</v>
      </c>
    </row>
    <row r="45" spans="1:44" ht="15" customHeight="1" thickBot="1">
      <c r="A45" s="267" t="s">
        <v>81</v>
      </c>
      <c r="B45" s="157"/>
      <c r="C45" s="157"/>
      <c r="D45" s="157"/>
      <c r="E45" s="221">
        <f t="shared" ref="E45" si="357" xml:space="preserve"> AVERAGE(E39:E44)</f>
        <v>0.79849486536034853</v>
      </c>
      <c r="F45" s="221">
        <f t="shared" ref="F45" si="358" xml:space="preserve"> AVERAGE(F39:F44)</f>
        <v>0.93977545929883088</v>
      </c>
      <c r="G45" s="221">
        <f t="shared" ref="G45" si="359" xml:space="preserve"> AVERAGE(G39:G44)</f>
        <v>0.75085266582913646</v>
      </c>
      <c r="H45" s="221">
        <f t="shared" ref="H45" si="360" xml:space="preserve"> AVERAGE(H39:H44)</f>
        <v>8.6281741642558571E-2</v>
      </c>
      <c r="I45" s="221">
        <f t="shared" ref="I45" si="361" xml:space="preserve"> AVERAGE(I39:I44)</f>
        <v>9.2064353454687636E-3</v>
      </c>
      <c r="J45" s="221">
        <f t="shared" ref="J45" si="362" xml:space="preserve"> AVERAGE(J39:J44)</f>
        <v>0.02</v>
      </c>
      <c r="K45" s="221">
        <f t="shared" ref="K45" si="363" xml:space="preserve"> AVERAGE(K39:K44)</f>
        <v>0.89196330708648297</v>
      </c>
      <c r="L45" s="221">
        <f t="shared" ref="L45" si="364" xml:space="preserve"> AVERAGE(L39:L44)</f>
        <v>0.9485143520592999</v>
      </c>
      <c r="M45" s="221">
        <f t="shared" ref="M45" si="365" xml:space="preserve"> AVERAGE(M39:M44)</f>
        <v>0.84669472505949361</v>
      </c>
      <c r="N45" s="221">
        <f t="shared" ref="N45" si="366" xml:space="preserve"> AVERAGE(N39:N44)</f>
        <v>0.96247127811937372</v>
      </c>
      <c r="O45" s="221">
        <f t="shared" ref="O45" si="367" xml:space="preserve"> AVERAGE(O39:O44)</f>
        <v>0.986802314847948</v>
      </c>
      <c r="P45" s="221">
        <f t="shared" ref="P45" si="368" xml:space="preserve"> AVERAGE(P39:P44)</f>
        <v>0.97629358231660612</v>
      </c>
      <c r="Q45" s="267" t="s">
        <v>81</v>
      </c>
      <c r="R45" s="235">
        <f>AVERAGE(R39:R44)</f>
        <v>0.10803669291351703</v>
      </c>
      <c r="S45" s="235">
        <f t="shared" ref="S45:W45" si="369">AVERAGE(S39:S44)</f>
        <v>5.1485647940700076E-2</v>
      </c>
      <c r="T45" s="235">
        <f t="shared" si="369"/>
        <v>0.15330527494050647</v>
      </c>
      <c r="U45" s="235">
        <f t="shared" si="369"/>
        <v>3.7528721880626205E-2</v>
      </c>
      <c r="V45" s="235">
        <f t="shared" si="369"/>
        <v>1.3197685152052127E-2</v>
      </c>
      <c r="W45" s="235">
        <f t="shared" si="369"/>
        <v>2.3706417683393821E-2</v>
      </c>
      <c r="X45" s="283"/>
      <c r="Y45" s="283"/>
      <c r="Z45" s="283"/>
      <c r="AA45" s="283"/>
      <c r="AB45" s="283"/>
      <c r="AC45" s="436"/>
      <c r="AD45" s="436"/>
      <c r="AE45" s="283"/>
      <c r="AF45" s="283"/>
      <c r="AG45" s="283"/>
      <c r="AH45" s="283"/>
      <c r="AI45" s="283"/>
      <c r="AJ45" s="436"/>
      <c r="AK45" s="436"/>
      <c r="AL45" s="283"/>
      <c r="AM45" s="283"/>
      <c r="AN45" s="283"/>
      <c r="AO45" s="283"/>
      <c r="AP45" s="283"/>
      <c r="AQ45" s="436"/>
      <c r="AR45" s="436"/>
    </row>
    <row r="46" spans="1:44" ht="15" customHeight="1">
      <c r="A46" s="236">
        <v>2008</v>
      </c>
      <c r="B46" s="223">
        <v>859</v>
      </c>
      <c r="C46" s="223">
        <v>655</v>
      </c>
      <c r="D46" s="223">
        <v>618</v>
      </c>
      <c r="E46" s="151">
        <f t="shared" si="305"/>
        <v>0.76251455180442373</v>
      </c>
      <c r="F46" s="149">
        <f t="shared" si="306"/>
        <v>0.94351145038167938</v>
      </c>
      <c r="G46" s="150">
        <f t="shared" si="307"/>
        <v>0.71944121071012801</v>
      </c>
      <c r="H46" s="213">
        <v>0.14699999999999999</v>
      </c>
      <c r="I46" s="224">
        <v>1.0010914154529375E-2</v>
      </c>
      <c r="J46" s="150">
        <v>0.02</v>
      </c>
      <c r="K46" s="151">
        <f t="shared" si="308"/>
        <v>0.9121642125085816</v>
      </c>
      <c r="L46" s="149">
        <f t="shared" ref="L46:L48" si="370">M46/K46</f>
        <v>0.95305237590160063</v>
      </c>
      <c r="M46" s="149">
        <f t="shared" si="310"/>
        <v>0.86934026994371627</v>
      </c>
      <c r="N46" s="151">
        <f t="shared" si="311"/>
        <v>0.96981971797738431</v>
      </c>
      <c r="O46" s="149">
        <f t="shared" si="312"/>
        <v>0.9880506133432263</v>
      </c>
      <c r="P46" s="225">
        <f t="shared" si="313"/>
        <v>0.98019577956769099</v>
      </c>
      <c r="Q46" s="236">
        <v>2008</v>
      </c>
      <c r="R46" s="152">
        <f t="shared" si="314"/>
        <v>8.7835787491418404E-2</v>
      </c>
      <c r="S46" s="153">
        <f t="shared" si="315"/>
        <v>4.6947624098399365E-2</v>
      </c>
      <c r="T46" s="153">
        <f t="shared" si="316"/>
        <v>0.13065973005628373</v>
      </c>
      <c r="U46" s="152">
        <f t="shared" si="317"/>
        <v>3.018028202261569E-2</v>
      </c>
      <c r="V46" s="153">
        <f t="shared" si="318"/>
        <v>1.1949386656773697E-2</v>
      </c>
      <c r="W46" s="153">
        <f t="shared" si="319"/>
        <v>1.9804220432309005E-2</v>
      </c>
      <c r="X46" s="283">
        <f t="shared" si="323"/>
        <v>655</v>
      </c>
      <c r="Y46" s="283">
        <f t="shared" si="324"/>
        <v>859</v>
      </c>
      <c r="Z46" s="283">
        <f t="shared" si="325"/>
        <v>0.76251455180442373</v>
      </c>
      <c r="AA46" s="283">
        <f t="shared" si="326"/>
        <v>0.8574783731296316</v>
      </c>
      <c r="AB46" s="283">
        <f t="shared" si="327"/>
        <v>1.1741985676067141</v>
      </c>
      <c r="AC46" s="436">
        <f t="shared" si="328"/>
        <v>0.73260230173138896</v>
      </c>
      <c r="AD46" s="436">
        <f t="shared" si="329"/>
        <v>0.79061337417791</v>
      </c>
      <c r="AE46" s="283">
        <f t="shared" si="330"/>
        <v>618</v>
      </c>
      <c r="AF46" s="283">
        <f t="shared" si="331"/>
        <v>655</v>
      </c>
      <c r="AG46" s="283">
        <f t="shared" si="332"/>
        <v>0.94351145038167938</v>
      </c>
      <c r="AH46" s="283">
        <f t="shared" si="333"/>
        <v>0.73681181845490629</v>
      </c>
      <c r="AI46" s="283">
        <f t="shared" si="334"/>
        <v>1.4315392807568401</v>
      </c>
      <c r="AJ46" s="436">
        <f t="shared" si="335"/>
        <v>0.92297552890594292</v>
      </c>
      <c r="AK46" s="436">
        <f t="shared" si="336"/>
        <v>0.95991865935143428</v>
      </c>
      <c r="AL46" s="283">
        <f t="shared" si="337"/>
        <v>618</v>
      </c>
      <c r="AM46" s="283">
        <f t="shared" si="338"/>
        <v>859</v>
      </c>
      <c r="AN46" s="283">
        <f t="shared" si="339"/>
        <v>0.71944121071012801</v>
      </c>
      <c r="AO46" s="283">
        <f t="shared" si="340"/>
        <v>0.86388653041600183</v>
      </c>
      <c r="AP46" s="283">
        <f t="shared" si="341"/>
        <v>1.1634895562884968</v>
      </c>
      <c r="AQ46" s="436">
        <f t="shared" si="342"/>
        <v>0.68809685140359111</v>
      </c>
      <c r="AR46" s="436">
        <f t="shared" si="343"/>
        <v>0.74927175287284964</v>
      </c>
    </row>
    <row r="47" spans="1:44" ht="15" customHeight="1">
      <c r="A47" s="275">
        <v>2009</v>
      </c>
      <c r="B47" s="223">
        <v>357</v>
      </c>
      <c r="C47" s="223">
        <v>287</v>
      </c>
      <c r="D47" s="223">
        <v>270</v>
      </c>
      <c r="E47" s="129">
        <f t="shared" si="305"/>
        <v>0.80392156862745101</v>
      </c>
      <c r="F47" s="129">
        <f t="shared" si="306"/>
        <v>0.94076655052264802</v>
      </c>
      <c r="G47" s="129">
        <f t="shared" si="307"/>
        <v>0.75630252100840334</v>
      </c>
      <c r="H47" s="124">
        <v>7.6999999999999999E-2</v>
      </c>
      <c r="I47" s="446">
        <v>8.9999999999999993E-3</v>
      </c>
      <c r="J47" s="129">
        <v>0.02</v>
      </c>
      <c r="K47" s="129">
        <f t="shared" si="308"/>
        <v>0.88876287242957852</v>
      </c>
      <c r="L47" s="129">
        <f t="shared" si="370"/>
        <v>0.94931034361518463</v>
      </c>
      <c r="M47" s="129">
        <f t="shared" si="310"/>
        <v>0.84371178781854173</v>
      </c>
      <c r="N47" s="129">
        <f t="shared" si="311"/>
        <v>0.9614542745948611</v>
      </c>
      <c r="O47" s="129">
        <f t="shared" si="312"/>
        <v>0.9870793200086988</v>
      </c>
      <c r="P47" s="129">
        <f t="shared" si="313"/>
        <v>0.97601457341328479</v>
      </c>
      <c r="Q47" s="276"/>
      <c r="R47" s="145">
        <f t="shared" si="314"/>
        <v>0.11123712757042148</v>
      </c>
      <c r="S47" s="145">
        <f t="shared" si="315"/>
        <v>5.0689656384815374E-2</v>
      </c>
      <c r="T47" s="145">
        <f t="shared" si="316"/>
        <v>0.15628821218145827</v>
      </c>
      <c r="U47" s="144">
        <f t="shared" si="317"/>
        <v>3.8545725405138898E-2</v>
      </c>
      <c r="V47" s="145">
        <f t="shared" si="318"/>
        <v>1.2920679991301198E-2</v>
      </c>
      <c r="W47" s="145">
        <f t="shared" si="319"/>
        <v>2.3985426586715208E-2</v>
      </c>
      <c r="X47" s="283">
        <f t="shared" si="323"/>
        <v>287</v>
      </c>
      <c r="Y47" s="283">
        <f t="shared" si="324"/>
        <v>357</v>
      </c>
      <c r="Z47" s="283">
        <f t="shared" si="325"/>
        <v>0.80392156862745101</v>
      </c>
      <c r="AA47" s="283">
        <f t="shared" si="326"/>
        <v>0.77860767506093609</v>
      </c>
      <c r="AB47" s="283">
        <f t="shared" si="327"/>
        <v>1.3133696516226241</v>
      </c>
      <c r="AC47" s="436">
        <f t="shared" si="328"/>
        <v>0.75888099269465825</v>
      </c>
      <c r="AD47" s="436">
        <f t="shared" si="329"/>
        <v>0.84383730459093587</v>
      </c>
      <c r="AE47" s="283">
        <f t="shared" si="330"/>
        <v>270</v>
      </c>
      <c r="AF47" s="283">
        <f t="shared" si="331"/>
        <v>287</v>
      </c>
      <c r="AG47" s="283">
        <f t="shared" si="332"/>
        <v>0.94076655052264813</v>
      </c>
      <c r="AH47" s="283">
        <f t="shared" si="333"/>
        <v>0.64905217613151134</v>
      </c>
      <c r="AI47" s="283">
        <f t="shared" si="334"/>
        <v>1.7357028540541939</v>
      </c>
      <c r="AJ47" s="436">
        <f t="shared" si="335"/>
        <v>0.90685355382565269</v>
      </c>
      <c r="AK47" s="436">
        <f t="shared" si="336"/>
        <v>0.96511929523308304</v>
      </c>
      <c r="AL47" s="283">
        <f t="shared" si="337"/>
        <v>270</v>
      </c>
      <c r="AM47" s="283">
        <f t="shared" si="338"/>
        <v>357</v>
      </c>
      <c r="AN47" s="283">
        <f t="shared" si="339"/>
        <v>0.75630252100840334</v>
      </c>
      <c r="AO47" s="283">
        <f t="shared" si="340"/>
        <v>0.79158868324645471</v>
      </c>
      <c r="AP47" s="283">
        <f t="shared" si="341"/>
        <v>1.283724339846724</v>
      </c>
      <c r="AQ47" s="436">
        <f t="shared" si="342"/>
        <v>0.70834750324445139</v>
      </c>
      <c r="AR47" s="436">
        <f t="shared" si="343"/>
        <v>0.79994908869796011</v>
      </c>
    </row>
    <row r="48" spans="1:44" ht="15" customHeight="1">
      <c r="A48" s="276">
        <v>2010</v>
      </c>
      <c r="B48" s="277">
        <v>3487</v>
      </c>
      <c r="C48" s="277">
        <v>2696</v>
      </c>
      <c r="D48" s="277">
        <v>2524</v>
      </c>
      <c r="E48" s="149">
        <f t="shared" si="305"/>
        <v>0.77315744192715796</v>
      </c>
      <c r="F48" s="149">
        <f t="shared" si="306"/>
        <v>0.93620178041543023</v>
      </c>
      <c r="G48" s="149">
        <f t="shared" si="307"/>
        <v>0.72383137367364492</v>
      </c>
      <c r="H48" s="129">
        <v>0.14899999999999999</v>
      </c>
      <c r="I48" s="447">
        <v>1.6E-2</v>
      </c>
      <c r="J48" s="129">
        <v>0.02</v>
      </c>
      <c r="K48" s="149">
        <f t="shared" si="308"/>
        <v>0.92706952436168499</v>
      </c>
      <c r="L48" s="149">
        <f t="shared" si="370"/>
        <v>0.95142457359291677</v>
      </c>
      <c r="M48" s="149">
        <f t="shared" si="310"/>
        <v>0.88203672690680435</v>
      </c>
      <c r="N48" s="151">
        <f t="shared" si="311"/>
        <v>0.97507368257062654</v>
      </c>
      <c r="O48" s="149">
        <f t="shared" si="312"/>
        <v>0.98762844812976081</v>
      </c>
      <c r="P48" s="150">
        <f t="shared" si="313"/>
        <v>0.98222816067831487</v>
      </c>
      <c r="Q48" s="276">
        <v>2010</v>
      </c>
      <c r="R48" s="152">
        <f t="shared" si="314"/>
        <v>7.2930475638315007E-2</v>
      </c>
      <c r="S48" s="153">
        <f t="shared" si="315"/>
        <v>4.8575426407083233E-2</v>
      </c>
      <c r="T48" s="154">
        <f t="shared" si="316"/>
        <v>0.11796327309319565</v>
      </c>
      <c r="U48" s="152">
        <f t="shared" si="317"/>
        <v>2.4926317429373457E-2</v>
      </c>
      <c r="V48" s="153">
        <f t="shared" si="318"/>
        <v>1.2371551870239195E-2</v>
      </c>
      <c r="W48" s="153">
        <f t="shared" si="319"/>
        <v>1.7771839321685134E-2</v>
      </c>
      <c r="X48" s="283">
        <f t="shared" si="323"/>
        <v>2696</v>
      </c>
      <c r="Y48" s="283">
        <f t="shared" si="324"/>
        <v>3487</v>
      </c>
      <c r="Z48" s="283">
        <f t="shared" si="325"/>
        <v>0.77315744192715796</v>
      </c>
      <c r="AA48" s="283">
        <f t="shared" si="326"/>
        <v>0.92462216447831225</v>
      </c>
      <c r="AB48" s="283">
        <f t="shared" si="327"/>
        <v>1.0834432470460027</v>
      </c>
      <c r="AC48" s="436">
        <f t="shared" si="328"/>
        <v>0.75888806154786803</v>
      </c>
      <c r="AD48" s="436">
        <f t="shared" si="329"/>
        <v>0.78696738288606083</v>
      </c>
      <c r="AE48" s="283">
        <f t="shared" si="330"/>
        <v>2524</v>
      </c>
      <c r="AF48" s="283">
        <f t="shared" si="331"/>
        <v>2696</v>
      </c>
      <c r="AG48" s="283">
        <f t="shared" si="332"/>
        <v>0.93620178041543023</v>
      </c>
      <c r="AH48" s="283">
        <f t="shared" si="333"/>
        <v>0.86157237225753003</v>
      </c>
      <c r="AI48" s="283">
        <f t="shared" si="334"/>
        <v>1.1734484180651437</v>
      </c>
      <c r="AJ48" s="436">
        <f t="shared" si="335"/>
        <v>0.92630799059943758</v>
      </c>
      <c r="AK48" s="436">
        <f t="shared" si="336"/>
        <v>0.94513481812488509</v>
      </c>
      <c r="AL48" s="283">
        <f t="shared" si="337"/>
        <v>2524</v>
      </c>
      <c r="AM48" s="283">
        <f t="shared" si="338"/>
        <v>3487</v>
      </c>
      <c r="AN48" s="283">
        <f t="shared" si="339"/>
        <v>0.72383137367364492</v>
      </c>
      <c r="AO48" s="283">
        <f t="shared" si="340"/>
        <v>0.92904198629867663</v>
      </c>
      <c r="AP48" s="283">
        <f t="shared" si="341"/>
        <v>1.0777496775123994</v>
      </c>
      <c r="AQ48" s="436">
        <f t="shared" si="342"/>
        <v>0.70866468461613064</v>
      </c>
      <c r="AR48" s="436">
        <f t="shared" si="343"/>
        <v>0.73862190592622701</v>
      </c>
    </row>
    <row r="49" spans="1:44" ht="15" customHeight="1">
      <c r="A49" s="276">
        <v>2011</v>
      </c>
      <c r="B49">
        <v>949</v>
      </c>
      <c r="C49">
        <v>712</v>
      </c>
      <c r="D49">
        <v>627</v>
      </c>
      <c r="E49" s="149">
        <f t="shared" ref="E49:E50" si="371">C49/B49</f>
        <v>0.7502634351949421</v>
      </c>
      <c r="F49" s="149">
        <f t="shared" ref="F49:F50" si="372">G49/E49</f>
        <v>0.8806179775280899</v>
      </c>
      <c r="G49" s="149">
        <f t="shared" ref="G49:G50" si="373">D49/B49</f>
        <v>0.66069546891464703</v>
      </c>
      <c r="H49" s="285">
        <v>8.6999999999999994E-2</v>
      </c>
      <c r="I49" s="447">
        <v>2.8000000000000001E-2</v>
      </c>
      <c r="J49" s="129">
        <v>0.02</v>
      </c>
      <c r="K49" s="149">
        <f t="shared" ref="K49:K50" si="374">(C49/B49)/((1-H49)*(1-J49))</f>
        <v>0.8385267621822452</v>
      </c>
      <c r="L49" s="149">
        <f t="shared" ref="L49:L50" si="375">M49/K49</f>
        <v>0.9059855735885699</v>
      </c>
      <c r="M49" s="149">
        <f t="shared" ref="M49:M50" si="376">(D49/B49)/((1-H49)*(1-I49)*(1-J49))</f>
        <v>0.75969314960504775</v>
      </c>
      <c r="N49" s="151">
        <f t="shared" ref="N49:N50" si="377">K49^(1/3)</f>
        <v>0.94298686333225801</v>
      </c>
      <c r="O49" s="149">
        <f t="shared" ref="O49:O50" si="378">L49^(1/4)</f>
        <v>0.97561915958291023</v>
      </c>
      <c r="P49" s="150">
        <f t="shared" ref="P49:P50" si="379">M49^(1/7)</f>
        <v>0.96149784623176671</v>
      </c>
      <c r="Q49" s="276">
        <v>2011</v>
      </c>
      <c r="R49" s="152">
        <f t="shared" ref="R49:R50" si="380">1-K49</f>
        <v>0.1614732378177548</v>
      </c>
      <c r="S49" s="153">
        <f t="shared" ref="S49:S50" si="381">1-L49</f>
        <v>9.4014426411430096E-2</v>
      </c>
      <c r="T49" s="154">
        <f t="shared" ref="T49:T50" si="382">1-M49</f>
        <v>0.24030685039495225</v>
      </c>
      <c r="U49" s="152">
        <f t="shared" ref="U49:U50" si="383">1-N49</f>
        <v>5.7013136667741993E-2</v>
      </c>
      <c r="V49" s="153">
        <f t="shared" ref="V49:V50" si="384">1-O49</f>
        <v>2.4380840417089766E-2</v>
      </c>
      <c r="W49" s="153">
        <f t="shared" ref="W49:W50" si="385">1-P49</f>
        <v>3.8502153768233294E-2</v>
      </c>
      <c r="X49" s="283">
        <f t="shared" si="323"/>
        <v>712</v>
      </c>
      <c r="Y49" s="283">
        <f t="shared" si="324"/>
        <v>949</v>
      </c>
      <c r="Z49" s="283">
        <f t="shared" si="325"/>
        <v>0.7502634351949421</v>
      </c>
      <c r="AA49" s="283">
        <f t="shared" si="326"/>
        <v>0.86574696620275104</v>
      </c>
      <c r="AB49" s="283">
        <f t="shared" si="327"/>
        <v>1.1616514610188597</v>
      </c>
      <c r="AC49" s="436">
        <f t="shared" si="328"/>
        <v>0.72144580765907051</v>
      </c>
      <c r="AD49" s="436">
        <f t="shared" si="329"/>
        <v>0.77751857945598934</v>
      </c>
      <c r="AE49" s="283">
        <f t="shared" si="330"/>
        <v>627</v>
      </c>
      <c r="AF49" s="283">
        <f t="shared" si="331"/>
        <v>712</v>
      </c>
      <c r="AG49" s="283">
        <f t="shared" si="332"/>
        <v>0.8806179775280899</v>
      </c>
      <c r="AH49" s="283">
        <f t="shared" si="333"/>
        <v>0.80558948572387978</v>
      </c>
      <c r="AI49" s="283">
        <f t="shared" si="334"/>
        <v>1.2675262351138668</v>
      </c>
      <c r="AJ49" s="436">
        <f t="shared" si="335"/>
        <v>0.85450967747212236</v>
      </c>
      <c r="AK49" s="436">
        <f t="shared" si="336"/>
        <v>0.90351943788251721</v>
      </c>
      <c r="AL49" s="283">
        <f t="shared" si="337"/>
        <v>627</v>
      </c>
      <c r="AM49" s="283">
        <f t="shared" si="338"/>
        <v>949</v>
      </c>
      <c r="AN49" s="283">
        <f t="shared" si="339"/>
        <v>0.66069546891464703</v>
      </c>
      <c r="AO49" s="283">
        <f t="shared" si="340"/>
        <v>0.87557788865598007</v>
      </c>
      <c r="AP49" s="283">
        <f t="shared" si="341"/>
        <v>1.1455795900587513</v>
      </c>
      <c r="AQ49" s="436">
        <f t="shared" si="342"/>
        <v>0.62958177648279423</v>
      </c>
      <c r="AR49" s="436">
        <f t="shared" si="343"/>
        <v>0.69080796544609224</v>
      </c>
    </row>
    <row r="50" spans="1:44" ht="15" customHeight="1">
      <c r="A50" s="276">
        <v>2012</v>
      </c>
      <c r="B50" s="277">
        <v>453</v>
      </c>
      <c r="C50" s="277">
        <v>350</v>
      </c>
      <c r="D50" s="277">
        <v>298</v>
      </c>
      <c r="E50" s="149">
        <f t="shared" si="371"/>
        <v>0.77262693156732887</v>
      </c>
      <c r="F50" s="149">
        <f t="shared" si="372"/>
        <v>0.85142857142857153</v>
      </c>
      <c r="G50" s="149">
        <f t="shared" si="373"/>
        <v>0.65783664459161151</v>
      </c>
      <c r="H50" s="129">
        <v>0.106</v>
      </c>
      <c r="I50" s="447">
        <v>3.2000000000000001E-2</v>
      </c>
      <c r="J50" s="129">
        <v>0.02</v>
      </c>
      <c r="K50" s="149">
        <f t="shared" si="374"/>
        <v>0.88187340954130577</v>
      </c>
      <c r="L50" s="149">
        <f t="shared" si="375"/>
        <v>0.87957497048406164</v>
      </c>
      <c r="M50" s="149">
        <f t="shared" si="376"/>
        <v>0.77567377816797278</v>
      </c>
      <c r="N50" s="151">
        <f t="shared" si="377"/>
        <v>0.95896351151862802</v>
      </c>
      <c r="O50" s="149">
        <f t="shared" si="378"/>
        <v>0.96842995777221375</v>
      </c>
      <c r="P50" s="150">
        <f t="shared" si="379"/>
        <v>0.96436152018542287</v>
      </c>
      <c r="Q50" s="276">
        <v>2012</v>
      </c>
      <c r="R50" s="152">
        <f t="shared" si="380"/>
        <v>0.11812659045869423</v>
      </c>
      <c r="S50" s="153">
        <f t="shared" si="381"/>
        <v>0.12042502951593836</v>
      </c>
      <c r="T50" s="154">
        <f t="shared" si="382"/>
        <v>0.22432622183202722</v>
      </c>
      <c r="U50" s="152">
        <f t="shared" si="383"/>
        <v>4.103648848137198E-2</v>
      </c>
      <c r="V50" s="153">
        <f t="shared" si="384"/>
        <v>3.1570042227786255E-2</v>
      </c>
      <c r="W50" s="153">
        <f t="shared" si="385"/>
        <v>3.5638479814577129E-2</v>
      </c>
      <c r="X50" s="283">
        <f t="shared" si="323"/>
        <v>350</v>
      </c>
      <c r="Y50" s="283">
        <f t="shared" si="324"/>
        <v>453</v>
      </c>
      <c r="Z50" s="283">
        <f t="shared" si="325"/>
        <v>0.77262693156732887</v>
      </c>
      <c r="AA50" s="283">
        <f t="shared" si="326"/>
        <v>0.80834800200213675</v>
      </c>
      <c r="AB50" s="283">
        <f t="shared" si="327"/>
        <v>1.2545961678129804</v>
      </c>
      <c r="AC50" s="436">
        <f t="shared" si="328"/>
        <v>0.73121183709047344</v>
      </c>
      <c r="AD50" s="436">
        <f t="shared" si="329"/>
        <v>0.81043988699878244</v>
      </c>
      <c r="AE50" s="283">
        <f t="shared" si="330"/>
        <v>298</v>
      </c>
      <c r="AF50" s="283">
        <f t="shared" si="331"/>
        <v>350</v>
      </c>
      <c r="AG50" s="283">
        <f t="shared" si="332"/>
        <v>0.85142857142857142</v>
      </c>
      <c r="AH50" s="283">
        <f t="shared" si="333"/>
        <v>0.75710313973471322</v>
      </c>
      <c r="AI50" s="283">
        <f t="shared" si="334"/>
        <v>1.3652365001926847</v>
      </c>
      <c r="AJ50" s="436">
        <f t="shared" si="335"/>
        <v>0.80977452815935114</v>
      </c>
      <c r="AK50" s="436">
        <f t="shared" si="336"/>
        <v>0.88700705256782908</v>
      </c>
      <c r="AL50" s="283">
        <f t="shared" si="337"/>
        <v>298</v>
      </c>
      <c r="AM50" s="283">
        <f t="shared" si="338"/>
        <v>453</v>
      </c>
      <c r="AN50" s="283">
        <f t="shared" si="339"/>
        <v>0.65783664459161151</v>
      </c>
      <c r="AO50" s="283">
        <f t="shared" si="340"/>
        <v>0.82613479567728743</v>
      </c>
      <c r="AP50" s="283">
        <f t="shared" si="341"/>
        <v>1.2181228439589842</v>
      </c>
      <c r="AQ50" s="436">
        <f t="shared" si="342"/>
        <v>0.61212185742683312</v>
      </c>
      <c r="AR50" s="436">
        <f t="shared" si="343"/>
        <v>0.70147455986923668</v>
      </c>
    </row>
    <row r="51" spans="1:44" ht="15" customHeight="1">
      <c r="A51" s="276">
        <v>2013</v>
      </c>
      <c r="B51">
        <v>257</v>
      </c>
      <c r="C51" s="277">
        <v>192</v>
      </c>
      <c r="D51" s="277">
        <v>178</v>
      </c>
      <c r="E51" s="149">
        <f t="shared" ref="E51" si="386">C51/B51</f>
        <v>0.74708171206225682</v>
      </c>
      <c r="F51" s="149">
        <f t="shared" ref="F51" si="387">G51/E51</f>
        <v>0.92708333333333326</v>
      </c>
      <c r="G51" s="149">
        <f t="shared" ref="G51" si="388">D51/B51</f>
        <v>0.69260700389105057</v>
      </c>
      <c r="H51" s="129">
        <v>6.0999999999999999E-2</v>
      </c>
      <c r="I51" s="447">
        <v>8.9999999999999993E-3</v>
      </c>
      <c r="J51" s="129">
        <v>0.02</v>
      </c>
      <c r="K51" s="149">
        <f t="shared" ref="K51" si="389">(C51/B51)/((1-H51)*(1-J51))</f>
        <v>0.81185120086746299</v>
      </c>
      <c r="L51" s="149">
        <f t="shared" ref="L51" si="390">M51/K51</f>
        <v>0.93550285906491759</v>
      </c>
      <c r="M51" s="149">
        <f t="shared" ref="M51" si="391">(D51/B51)/((1-H51)*(1-I51)*(1-J51))</f>
        <v>0.75948911954679832</v>
      </c>
      <c r="N51" s="151">
        <f t="shared" ref="N51" si="392">K51^(1/3)</f>
        <v>0.93287934870512168</v>
      </c>
      <c r="O51" s="149">
        <f t="shared" ref="O51" si="393">L51^(1/4)</f>
        <v>0.98347036944243993</v>
      </c>
      <c r="P51" s="150">
        <f t="shared" ref="P51" si="394">M51^(1/7)</f>
        <v>0.96146095219194283</v>
      </c>
      <c r="Q51" s="276">
        <v>2013</v>
      </c>
      <c r="R51" s="152">
        <f t="shared" ref="R51" si="395">1-K51</f>
        <v>0.18814879913253701</v>
      </c>
      <c r="S51" s="153">
        <f t="shared" ref="S51" si="396">1-L51</f>
        <v>6.4497140935082409E-2</v>
      </c>
      <c r="T51" s="154">
        <f t="shared" ref="T51" si="397">1-M51</f>
        <v>0.24051088045320168</v>
      </c>
      <c r="U51" s="152">
        <f t="shared" ref="U51" si="398">1-N51</f>
        <v>6.712065129487832E-2</v>
      </c>
      <c r="V51" s="153">
        <f t="shared" ref="V51" si="399">1-O51</f>
        <v>1.6529630557560071E-2</v>
      </c>
      <c r="W51" s="153">
        <f t="shared" ref="W51" si="400">1-P51</f>
        <v>3.853904780805717E-2</v>
      </c>
      <c r="X51" s="283">
        <f t="shared" si="323"/>
        <v>192</v>
      </c>
      <c r="Y51" s="283">
        <f t="shared" si="324"/>
        <v>257</v>
      </c>
      <c r="Z51" s="283">
        <f t="shared" si="325"/>
        <v>0.74708171206225682</v>
      </c>
      <c r="AA51" s="283">
        <f t="shared" si="326"/>
        <v>0.76270132103123078</v>
      </c>
      <c r="AB51" s="283">
        <f t="shared" si="327"/>
        <v>1.339145501349408</v>
      </c>
      <c r="AC51" s="436">
        <f t="shared" si="328"/>
        <v>0.68932207548035695</v>
      </c>
      <c r="AD51" s="436">
        <f t="shared" si="329"/>
        <v>0.79904474016536953</v>
      </c>
      <c r="AE51" s="283">
        <f t="shared" si="330"/>
        <v>178</v>
      </c>
      <c r="AF51" s="283">
        <f t="shared" si="331"/>
        <v>192</v>
      </c>
      <c r="AG51" s="283">
        <f t="shared" si="332"/>
        <v>0.92708333333333337</v>
      </c>
      <c r="AH51" s="283">
        <f t="shared" si="333"/>
        <v>0.62200286785001679</v>
      </c>
      <c r="AI51" s="283">
        <f t="shared" si="334"/>
        <v>1.8560330731935393</v>
      </c>
      <c r="AJ51" s="436">
        <f t="shared" si="335"/>
        <v>0.88068392971575427</v>
      </c>
      <c r="AK51" s="436">
        <f t="shared" si="336"/>
        <v>0.9595644420450723</v>
      </c>
      <c r="AL51" s="283">
        <f t="shared" si="337"/>
        <v>178</v>
      </c>
      <c r="AM51" s="283">
        <f t="shared" si="338"/>
        <v>257</v>
      </c>
      <c r="AN51" s="283">
        <f t="shared" si="339"/>
        <v>0.69260700389105057</v>
      </c>
      <c r="AO51" s="283">
        <f t="shared" si="340"/>
        <v>0.77271791481542063</v>
      </c>
      <c r="AP51" s="283">
        <f t="shared" si="341"/>
        <v>1.3131374602936174</v>
      </c>
      <c r="AQ51" s="436">
        <f t="shared" si="342"/>
        <v>0.63225794481363617</v>
      </c>
      <c r="AR51" s="436">
        <f t="shared" si="343"/>
        <v>0.74844898531484416</v>
      </c>
    </row>
    <row r="52" spans="1:44" ht="15" customHeight="1">
      <c r="A52" s="276">
        <v>2014</v>
      </c>
      <c r="B52">
        <v>409</v>
      </c>
      <c r="C52" s="277">
        <v>291</v>
      </c>
      <c r="D52" s="277">
        <v>276</v>
      </c>
      <c r="E52" s="149">
        <f t="shared" ref="E52" si="401">C52/B52</f>
        <v>0.71149144254278729</v>
      </c>
      <c r="F52" s="149">
        <f t="shared" ref="F52" si="402">G52/E52</f>
        <v>0.94845360824742264</v>
      </c>
      <c r="G52" s="149">
        <f t="shared" ref="G52" si="403">D52/B52</f>
        <v>0.67481662591687042</v>
      </c>
      <c r="H52" s="129">
        <v>0.11899999999999999</v>
      </c>
      <c r="I52" s="447">
        <v>1.7999999999999999E-2</v>
      </c>
      <c r="J52" s="129">
        <v>0.02</v>
      </c>
      <c r="K52" s="149">
        <f t="shared" ref="K52" si="404">(C52/B52)/((1-H52)*(1-J52))</f>
        <v>0.82407681732584404</v>
      </c>
      <c r="L52" s="149">
        <f t="shared" ref="L52" si="405">M52/K52</f>
        <v>0.96583870493627577</v>
      </c>
      <c r="M52" s="149">
        <f t="shared" ref="M52" si="406">(D52/B52)/((1-H52)*(1-I52)*(1-J52))</f>
        <v>0.79592528601400114</v>
      </c>
      <c r="N52" s="151">
        <f t="shared" ref="N52" si="407">K52^(1/3)</f>
        <v>0.93753876170907069</v>
      </c>
      <c r="O52" s="149">
        <f t="shared" ref="O52" si="408">L52^(1/4)</f>
        <v>0.99134803781386338</v>
      </c>
      <c r="P52" s="150">
        <f t="shared" ref="P52" si="409">M52^(1/7)</f>
        <v>0.9679187443192907</v>
      </c>
      <c r="Q52" s="276">
        <v>2014</v>
      </c>
      <c r="R52" s="152">
        <f t="shared" ref="R52" si="410">1-K52</f>
        <v>0.17592318267415596</v>
      </c>
      <c r="S52" s="153">
        <f t="shared" ref="S52" si="411">1-L52</f>
        <v>3.4161295063724229E-2</v>
      </c>
      <c r="T52" s="154">
        <f t="shared" ref="T52" si="412">1-M52</f>
        <v>0.20407471398599886</v>
      </c>
      <c r="U52" s="152">
        <f t="shared" ref="U52" si="413">1-N52</f>
        <v>6.2461238290929311E-2</v>
      </c>
      <c r="V52" s="153">
        <f t="shared" ref="V52" si="414">1-O52</f>
        <v>8.6519621861366192E-3</v>
      </c>
      <c r="W52" s="153">
        <f t="shared" ref="W52" si="415">1-P52</f>
        <v>3.2081255680709297E-2</v>
      </c>
      <c r="X52" s="283">
        <f t="shared" ref="X52" si="416">C52</f>
        <v>291</v>
      </c>
      <c r="Y52" s="283">
        <f t="shared" ref="Y52" si="417">B52</f>
        <v>409</v>
      </c>
      <c r="Z52" s="283">
        <f t="shared" ref="Z52" si="418">X52/Y52</f>
        <v>0.71149144254278729</v>
      </c>
      <c r="AA52" s="283">
        <f t="shared" ref="AA52" si="419">_xlfn.F.INV(0.05/2, 2*X52, 2*(Y52-X52+1))</f>
        <v>0.81153980831908445</v>
      </c>
      <c r="AB52" s="283">
        <f t="shared" ref="AB52" si="420">_xlfn.F.INV(1-0.05/2, 2*(X52+1), 2*(Y52-X52))</f>
        <v>1.2450069509467847</v>
      </c>
      <c r="AC52" s="436">
        <f t="shared" ref="AC52" si="421">IF(X52=0, 0, 1/(1 +(Y52-X52+1)/(X52*AA52)))</f>
        <v>0.66493793809857271</v>
      </c>
      <c r="AD52" s="436">
        <f t="shared" ref="AD52" si="422">IF(X52=Y52, 1, 1/(1 + (Y52-X52)/(AB52*(X52+1))))</f>
        <v>0.7549538924374225</v>
      </c>
      <c r="AE52" s="283">
        <f t="shared" ref="AE52" si="423">D52</f>
        <v>276</v>
      </c>
      <c r="AF52" s="283">
        <f t="shared" ref="AF52" si="424">C52</f>
        <v>291</v>
      </c>
      <c r="AG52" s="283">
        <f t="shared" ref="AG52" si="425">AE52/AF52</f>
        <v>0.94845360824742264</v>
      </c>
      <c r="AH52" s="283">
        <f t="shared" ref="AH52" si="426">_xlfn.F.INV(0.05/2, 2*AE52, 2*(AF52-AE52+1))</f>
        <v>0.63551463686834131</v>
      </c>
      <c r="AI52" s="283">
        <f t="shared" ref="AI52" si="427">_xlfn.F.INV(1-0.05/2, 2*(AE52+1), 2*(AF52-AE52))</f>
        <v>1.8045811695427521</v>
      </c>
      <c r="AJ52" s="436">
        <f t="shared" ref="AJ52" si="428">IF(AE52=0, 0, 1/(1 +(AF52-AE52+1)/(AE52*AH52)))</f>
        <v>0.91640632451590787</v>
      </c>
      <c r="AK52" s="436">
        <f t="shared" ref="AK52" si="429">IF(AE52=AF52, 1, 1/(1 + (AF52-AE52)/(AI52*(AE52+1))))</f>
        <v>0.97086637481144533</v>
      </c>
      <c r="AL52" s="283">
        <f t="shared" ref="AL52" si="430">D52</f>
        <v>276</v>
      </c>
      <c r="AM52" s="283">
        <f t="shared" ref="AM52" si="431">B52</f>
        <v>409</v>
      </c>
      <c r="AN52" s="283">
        <f t="shared" ref="AN52" si="432">AL52/AM52</f>
        <v>0.67481662591687042</v>
      </c>
      <c r="AO52" s="283">
        <f t="shared" ref="AO52" si="433">_xlfn.F.INV(0.05/2, 2*AL52, 2*(AM52-AL52+1))</f>
        <v>0.81630255125489037</v>
      </c>
      <c r="AP52" s="283">
        <f t="shared" ref="AP52" si="434">_xlfn.F.INV(1-0.05/2, 2*(AL52+1), 2*(AM52-AL52))</f>
        <v>1.2348347354633096</v>
      </c>
      <c r="AQ52" s="436">
        <f t="shared" ref="AQ52" si="435">IF(AL52=0, 0, 1/(1 +(AM52-AL52+1)/(AL52*AO52)))</f>
        <v>0.62705208759369968</v>
      </c>
      <c r="AR52" s="436">
        <f t="shared" ref="AR52" si="436">IF(AL52=AM52, 1, 1/(1 + (AM52-AL52)/(AP52*(AL52+1))))</f>
        <v>0.72002901190424928</v>
      </c>
    </row>
    <row r="53" spans="1:44" ht="15" customHeight="1">
      <c r="A53" s="276">
        <v>2015</v>
      </c>
      <c r="B53">
        <v>668</v>
      </c>
      <c r="C53">
        <v>462</v>
      </c>
      <c r="D53">
        <v>410</v>
      </c>
      <c r="E53" s="149">
        <f t="shared" ref="E53" si="437">C53/B53</f>
        <v>0.69161676646706582</v>
      </c>
      <c r="F53" s="149">
        <f t="shared" ref="F53" si="438">G53/E53</f>
        <v>0.88744588744588748</v>
      </c>
      <c r="G53" s="149">
        <f t="shared" ref="G53" si="439">D53/B53</f>
        <v>0.61377245508982037</v>
      </c>
      <c r="H53" s="129">
        <v>0.124</v>
      </c>
      <c r="I53" s="447">
        <f>I23</f>
        <v>2.1000000000000001E-2</v>
      </c>
      <c r="J53" s="129">
        <v>0.02</v>
      </c>
      <c r="K53" s="149">
        <f t="shared" ref="K53" si="440">(C53/B53)/((1-H53)*(1-J53))</f>
        <v>0.80562944560975891</v>
      </c>
      <c r="L53" s="149">
        <f t="shared" ref="L53" si="441">M53/K53</f>
        <v>0.90648200964850612</v>
      </c>
      <c r="M53" s="149">
        <f t="shared" ref="M53" si="442">(D53/B53)/((1-H53)*(1-I53)*(1-J53))</f>
        <v>0.73028859888834607</v>
      </c>
      <c r="N53" s="151">
        <f t="shared" ref="N53" si="443">K53^(1/3)</f>
        <v>0.93049014345423997</v>
      </c>
      <c r="O53" s="149">
        <f t="shared" ref="O53" si="444">L53^(1/4)</f>
        <v>0.97575278009961308</v>
      </c>
      <c r="P53" s="150">
        <f t="shared" ref="P53" si="445">M53^(1/7)</f>
        <v>0.95609097175583468</v>
      </c>
      <c r="Q53" s="276">
        <v>2015</v>
      </c>
      <c r="R53" s="152">
        <f t="shared" ref="R53" si="446">1-K53</f>
        <v>0.19437055439024109</v>
      </c>
      <c r="S53" s="153">
        <f t="shared" ref="S53" si="447">1-L53</f>
        <v>9.3517990351493885E-2</v>
      </c>
      <c r="T53" s="154">
        <f t="shared" ref="T53" si="448">1-M53</f>
        <v>0.26971140111165393</v>
      </c>
      <c r="U53" s="152">
        <f t="shared" ref="U53" si="449">1-N53</f>
        <v>6.9509856545760029E-2</v>
      </c>
      <c r="V53" s="153">
        <f t="shared" ref="V53" si="450">1-O53</f>
        <v>2.4247219900386918E-2</v>
      </c>
      <c r="W53" s="153">
        <f t="shared" ref="W53" si="451">1-P53</f>
        <v>4.3909028244165316E-2</v>
      </c>
      <c r="X53" s="283">
        <f t="shared" ref="X53" si="452">C53</f>
        <v>462</v>
      </c>
      <c r="Y53" s="283">
        <f t="shared" ref="Y53" si="453">B53</f>
        <v>668</v>
      </c>
      <c r="Z53" s="283">
        <f t="shared" ref="Z53" si="454">X53/Y53</f>
        <v>0.69161676646706582</v>
      </c>
      <c r="AA53" s="283">
        <f t="shared" ref="AA53" si="455">_xlfn.F.INV(0.05/2, 2*X53, 2*(Y53-X53+1))</f>
        <v>0.85085881346896841</v>
      </c>
      <c r="AB53" s="283">
        <f t="shared" ref="AB53" si="456">_xlfn.F.INV(1-0.05/2, 2*(X53+1), 2*(Y53-X53))</f>
        <v>1.1817048082140609</v>
      </c>
      <c r="AC53" s="436">
        <f t="shared" ref="AC53" si="457">IF(X53=0, 0, 1/(1 +(Y53-X53+1)/(X53*AA53)))</f>
        <v>0.65505563482489237</v>
      </c>
      <c r="AD53" s="436">
        <f t="shared" ref="AD53" si="458">IF(X53=Y53, 1, 1/(1 + (Y53-X53)/(AB53*(X53+1))))</f>
        <v>0.72647460026746558</v>
      </c>
      <c r="AE53" s="283">
        <f t="shared" ref="AE53" si="459">D53</f>
        <v>410</v>
      </c>
      <c r="AF53" s="283">
        <f t="shared" ref="AF53" si="460">C53</f>
        <v>462</v>
      </c>
      <c r="AG53" s="283">
        <f t="shared" ref="AG53" si="461">AE53/AF53</f>
        <v>0.88744588744588748</v>
      </c>
      <c r="AH53" s="283">
        <f t="shared" ref="AH53" si="462">_xlfn.F.INV(0.05/2, 2*AE53, 2*(AF53-AE53+1))</f>
        <v>0.76241540306921785</v>
      </c>
      <c r="AI53" s="283">
        <f t="shared" ref="AI53" si="463">_xlfn.F.INV(1-0.05/2, 2*(AE53+1), 2*(AF53-AE53))</f>
        <v>1.3582558126179298</v>
      </c>
      <c r="AJ53" s="436">
        <f t="shared" ref="AJ53" si="464">IF(AE53=0, 0, 1/(1 +(AF53-AE53+1)/(AE53*AH53)))</f>
        <v>0.85502898247580084</v>
      </c>
      <c r="AK53" s="436">
        <f t="shared" ref="AK53" si="465">IF(AE53=AF53, 1, 1/(1 + (AF53-AE53)/(AI53*(AE53+1))))</f>
        <v>0.91478806285899816</v>
      </c>
      <c r="AL53" s="283">
        <f t="shared" ref="AL53" si="466">D53</f>
        <v>410</v>
      </c>
      <c r="AM53" s="283">
        <f t="shared" ref="AM53" si="467">B53</f>
        <v>668</v>
      </c>
      <c r="AN53" s="283">
        <f t="shared" ref="AN53" si="468">AL53/AM53</f>
        <v>0.61377245508982037</v>
      </c>
      <c r="AO53" s="283">
        <f t="shared" ref="AO53" si="469">_xlfn.F.INV(0.05/2, 2*AL53, 2*(AM53-AL53+1))</f>
        <v>0.85699254622499532</v>
      </c>
      <c r="AP53" s="283">
        <f t="shared" ref="AP53" si="470">_xlfn.F.INV(1-0.05/2, 2*(AL53+1), 2*(AM53-AL53))</f>
        <v>1.1702664207803368</v>
      </c>
      <c r="AQ53" s="436">
        <f t="shared" ref="AQ53" si="471">IF(AL53=0, 0, 1/(1 +(AM53-AL53+1)/(AL53*AO53)))</f>
        <v>0.57566509365182328</v>
      </c>
      <c r="AR53" s="436">
        <f t="shared" ref="AR53" si="472">IF(AL53=AM53, 1, 1/(1 + (AM53-AL53)/(AP53*(AL53+1))))</f>
        <v>0.65086988154633907</v>
      </c>
    </row>
    <row r="54" spans="1:44" ht="15" customHeight="1">
      <c r="A54" s="276">
        <v>2016</v>
      </c>
      <c r="B54">
        <v>289</v>
      </c>
      <c r="C54">
        <v>230</v>
      </c>
      <c r="D54">
        <v>213</v>
      </c>
      <c r="E54" s="149">
        <f t="shared" ref="E54" si="473">C54/B54</f>
        <v>0.79584775086505188</v>
      </c>
      <c r="F54" s="149">
        <f t="shared" ref="F54" si="474">G54/E54</f>
        <v>0.92608695652173911</v>
      </c>
      <c r="G54" s="149">
        <f t="shared" ref="G54" si="475">D54/B54</f>
        <v>0.73702422145328716</v>
      </c>
      <c r="H54" s="129">
        <v>9.9000000000000005E-2</v>
      </c>
      <c r="I54" s="447">
        <f>I24</f>
        <v>2.1000000000000001E-2</v>
      </c>
      <c r="J54" s="129">
        <v>0.02</v>
      </c>
      <c r="K54" s="149">
        <f t="shared" ref="K54" si="476">(C54/B54)/((1-H54)*(1-J54))</f>
        <v>0.90132024605885963</v>
      </c>
      <c r="L54" s="149">
        <f t="shared" ref="L54" si="477">M54/K54</f>
        <v>0.94595194741750666</v>
      </c>
      <c r="M54" s="149">
        <f t="shared" ref="M54" si="478">(D54/B54)/((1-H54)*(1-I54)*(1-J54))</f>
        <v>0.85260564200620459</v>
      </c>
      <c r="N54" s="151">
        <f t="shared" ref="N54" si="479">K54^(1/3)</f>
        <v>0.96596125896398988</v>
      </c>
      <c r="O54" s="149">
        <f t="shared" ref="O54" si="480">L54^(1/4)</f>
        <v>0.98620515636173367</v>
      </c>
      <c r="P54" s="150">
        <f t="shared" ref="P54" si="481">M54^(1/7)</f>
        <v>0.97747776249077578</v>
      </c>
      <c r="Q54" s="276">
        <v>2016</v>
      </c>
      <c r="R54" s="152">
        <f t="shared" ref="R54" si="482">1-K54</f>
        <v>9.8679753941140369E-2</v>
      </c>
      <c r="S54" s="153">
        <f t="shared" ref="S54" si="483">1-L54</f>
        <v>5.4048052582493344E-2</v>
      </c>
      <c r="T54" s="154">
        <f t="shared" ref="T54" si="484">1-M54</f>
        <v>0.14739435799379541</v>
      </c>
      <c r="U54" s="152">
        <f t="shared" ref="U54" si="485">1-N54</f>
        <v>3.4038741036010123E-2</v>
      </c>
      <c r="V54" s="153">
        <f t="shared" ref="V54" si="486">1-O54</f>
        <v>1.379484363826633E-2</v>
      </c>
      <c r="W54" s="153">
        <f t="shared" ref="W54" si="487">1-P54</f>
        <v>2.2522237509224219E-2</v>
      </c>
      <c r="X54" s="283">
        <f t="shared" ref="X54" si="488">C54</f>
        <v>230</v>
      </c>
      <c r="Y54" s="283">
        <f t="shared" ref="Y54" si="489">B54</f>
        <v>289</v>
      </c>
      <c r="Z54" s="283">
        <f t="shared" ref="Z54" si="490">X54/Y54</f>
        <v>0.79584775086505188</v>
      </c>
      <c r="AA54" s="283">
        <f t="shared" ref="AA54" si="491">_xlfn.F.INV(0.05/2, 2*X54, 2*(Y54-X54+1))</f>
        <v>0.76099017995350948</v>
      </c>
      <c r="AB54" s="283">
        <f t="shared" ref="AB54" si="492">_xlfn.F.INV(1-0.05/2, 2*(X54+1), 2*(Y54-X54))</f>
        <v>1.3489701837828867</v>
      </c>
      <c r="AC54" s="436">
        <f t="shared" ref="AC54" si="493">IF(X54=0, 0, 1/(1 +(Y54-X54+1)/(X54*AA54)))</f>
        <v>0.74471098753991705</v>
      </c>
      <c r="AD54" s="436">
        <f t="shared" ref="AD54" si="494">IF(X54=Y54, 1, 1/(1 + (Y54-X54)/(AB54*(X54+1))))</f>
        <v>0.84080390786648296</v>
      </c>
      <c r="AE54" s="283">
        <f t="shared" ref="AE54" si="495">D54</f>
        <v>213</v>
      </c>
      <c r="AF54" s="283">
        <f t="shared" ref="AF54" si="496">C54</f>
        <v>230</v>
      </c>
      <c r="AG54" s="283">
        <f t="shared" ref="AG54" si="497">AE54/AF54</f>
        <v>0.92608695652173911</v>
      </c>
      <c r="AH54" s="283">
        <f t="shared" ref="AH54" si="498">_xlfn.F.INV(0.05/2, 2*AE54, 2*(AF54-AE54+1))</f>
        <v>0.6458548226309635</v>
      </c>
      <c r="AI54" s="283">
        <f t="shared" ref="AI54" si="499">_xlfn.F.INV(1-0.05/2, 2*(AE54+1), 2*(AF54-AE54))</f>
        <v>1.7407060585271648</v>
      </c>
      <c r="AJ54" s="436">
        <f t="shared" ref="AJ54" si="500">IF(AE54=0, 0, 1/(1 +(AF54-AE54+1)/(AE54*AH54)))</f>
        <v>0.884294284358772</v>
      </c>
      <c r="AK54" s="436">
        <f t="shared" ref="AK54" si="501">IF(AE54=AF54, 1, 1/(1 + (AF54-AE54)/(AI54*(AE54+1))))</f>
        <v>0.9563555437786686</v>
      </c>
      <c r="AL54" s="283">
        <f t="shared" ref="AL54" si="502">D54</f>
        <v>213</v>
      </c>
      <c r="AM54" s="283">
        <f t="shared" ref="AM54" si="503">B54</f>
        <v>289</v>
      </c>
      <c r="AN54" s="283">
        <f t="shared" ref="AN54" si="504">AL54/AM54</f>
        <v>0.73702422145328716</v>
      </c>
      <c r="AO54" s="283">
        <f t="shared" ref="AO54" si="505">_xlfn.F.INV(0.05/2, 2*AL54, 2*(AM54-AL54+1))</f>
        <v>0.77625233794070225</v>
      </c>
      <c r="AP54" s="283">
        <f t="shared" ref="AP54" si="506">_xlfn.F.INV(1-0.05/2, 2*(AL54+1), 2*(AM54-AL54))</f>
        <v>1.3110001655105792</v>
      </c>
      <c r="AQ54" s="436">
        <f t="shared" ref="AQ54" si="507">IF(AL54=0, 0, 1/(1 +(AM54-AL54+1)/(AL54*AO54)))</f>
        <v>0.68226687873061187</v>
      </c>
      <c r="AR54" s="436">
        <f t="shared" ref="AR54" si="508">IF(AL54=AM54, 1, 1/(1 + (AM54-AL54)/(AP54*(AL54+1))))</f>
        <v>0.7868485770729442</v>
      </c>
    </row>
    <row r="55" spans="1:44" ht="15" customHeight="1">
      <c r="A55" s="276">
        <v>2017</v>
      </c>
      <c r="B55">
        <v>218</v>
      </c>
      <c r="C55">
        <v>176</v>
      </c>
      <c r="D55">
        <v>160</v>
      </c>
      <c r="E55" s="149">
        <f t="shared" ref="E55:E61" si="509">C55/B55</f>
        <v>0.80733944954128445</v>
      </c>
      <c r="F55" s="149">
        <f t="shared" ref="F55:F61" si="510">G55/E55</f>
        <v>0.90909090909090906</v>
      </c>
      <c r="G55" s="149">
        <f t="shared" ref="G55:G61" si="511">D55/B55</f>
        <v>0.73394495412844041</v>
      </c>
      <c r="H55" s="129">
        <v>7.4999999999999997E-2</v>
      </c>
      <c r="I55" s="447">
        <f>I25</f>
        <v>0</v>
      </c>
      <c r="J55" s="129">
        <v>0.02</v>
      </c>
      <c r="K55" s="149">
        <f t="shared" ref="K55:K56" si="512">(C55/B55)/((1-H55)*(1-J55))</f>
        <v>0.89061163766275175</v>
      </c>
      <c r="L55" s="149">
        <f t="shared" ref="L55:L61" si="513">M55/K55</f>
        <v>0.90909090909090917</v>
      </c>
      <c r="M55" s="149">
        <f t="shared" ref="M55:M56" si="514">(D55/B55)/((1-H55)*(1-I55)*(1-J55))</f>
        <v>0.80964694332977438</v>
      </c>
      <c r="N55" s="151">
        <f t="shared" ref="N55:N60" si="515">K55^(1/3)</f>
        <v>0.96212047110203636</v>
      </c>
      <c r="O55" s="149">
        <f t="shared" ref="O55:O60" si="516">L55^(1/4)</f>
        <v>0.97645408967631053</v>
      </c>
      <c r="P55" s="150">
        <f t="shared" ref="P55:P60" si="517">M55^(1/7)</f>
        <v>0.97028514619133488</v>
      </c>
      <c r="Q55" s="276">
        <v>2017</v>
      </c>
      <c r="R55" s="152">
        <f t="shared" ref="R55:R60" si="518">1-K55</f>
        <v>0.10938836233724825</v>
      </c>
      <c r="S55" s="153">
        <f t="shared" ref="S55:S60" si="519">1-L55</f>
        <v>9.0909090909090828E-2</v>
      </c>
      <c r="T55" s="154">
        <f t="shared" ref="T55:T60" si="520">1-M55</f>
        <v>0.19035305667022562</v>
      </c>
      <c r="U55" s="152">
        <f t="shared" ref="U55:U60" si="521">1-N55</f>
        <v>3.7879528897963644E-2</v>
      </c>
      <c r="V55" s="153">
        <f t="shared" ref="V55:V60" si="522">1-O55</f>
        <v>2.3545910323689467E-2</v>
      </c>
      <c r="W55" s="153">
        <f t="shared" ref="W55:W60" si="523">1-P55</f>
        <v>2.971485380866512E-2</v>
      </c>
      <c r="X55" s="283">
        <f t="shared" ref="X55:X56" si="524">C55</f>
        <v>176</v>
      </c>
      <c r="Y55" s="283">
        <f t="shared" ref="Y55:Y56" si="525">B55</f>
        <v>218</v>
      </c>
      <c r="Z55" s="283">
        <f t="shared" ref="Z55:Z60" si="526">X55/Y55</f>
        <v>0.80733944954128445</v>
      </c>
      <c r="AA55" s="283">
        <f t="shared" ref="AA55:AA60" si="527">_xlfn.F.INV(0.05/2, 2*X55, 2*(Y55-X55+1))</f>
        <v>0.72765372005971107</v>
      </c>
      <c r="AB55" s="283">
        <f t="shared" ref="AB55:AB60" si="528">_xlfn.F.INV(1-0.05/2, 2*(X55+1), 2*(Y55-X55))</f>
        <v>1.4276308710127894</v>
      </c>
      <c r="AC55" s="436">
        <f t="shared" ref="AC55:AC60" si="529">IF(X55=0, 0, 1/(1 +(Y55-X55+1)/(X55*AA55)))</f>
        <v>0.74863657956968899</v>
      </c>
      <c r="AD55" s="436">
        <f t="shared" ref="AD55:AD60" si="530">IF(X55=Y55, 1, 1/(1 + (Y55-X55)/(AB55*(X55+1))))</f>
        <v>0.85747767029404043</v>
      </c>
      <c r="AE55" s="283">
        <f t="shared" ref="AE55:AE56" si="531">D55</f>
        <v>160</v>
      </c>
      <c r="AF55" s="283">
        <f t="shared" ref="AF55:AF56" si="532">C55</f>
        <v>176</v>
      </c>
      <c r="AG55" s="283">
        <f t="shared" ref="AG55:AG60" si="533">AE55/AF55</f>
        <v>0.90909090909090906</v>
      </c>
      <c r="AH55" s="283">
        <f t="shared" ref="AH55:AH60" si="534">_xlfn.F.INV(0.05/2, 2*AE55, 2*(AF55-AE55+1))</f>
        <v>0.63451876247583416</v>
      </c>
      <c r="AI55" s="283">
        <f t="shared" ref="AI55:AI60" si="535">_xlfn.F.INV(1-0.05/2, 2*(AE55+1), 2*(AF55-AE55))</f>
        <v>1.7807219041499514</v>
      </c>
      <c r="AJ55" s="436">
        <f t="shared" ref="AJ55:AJ60" si="536">IF(AE55=0, 0, 1/(1 +(AF55-AE55+1)/(AE55*AH55)))</f>
        <v>0.85656792594103726</v>
      </c>
      <c r="AK55" s="436">
        <f t="shared" ref="AK55:AK60" si="537">IF(AE55=AF55, 1, 1/(1 + (AF55-AE55)/(AI55*(AE55+1))))</f>
        <v>0.94714172627322746</v>
      </c>
      <c r="AL55" s="283">
        <f t="shared" ref="AL55:AL56" si="538">D55</f>
        <v>160</v>
      </c>
      <c r="AM55" s="283">
        <f t="shared" ref="AM55:AM56" si="539">B55</f>
        <v>218</v>
      </c>
      <c r="AN55" s="283">
        <f t="shared" ref="AN55:AN60" si="540">AL55/AM55</f>
        <v>0.73394495412844041</v>
      </c>
      <c r="AO55" s="283">
        <f t="shared" ref="AO55:AO60" si="541">_xlfn.F.INV(0.05/2, 2*AL55, 2*(AM55-AL55+1))</f>
        <v>0.74886672853932779</v>
      </c>
      <c r="AP55" s="283">
        <f t="shared" ref="AP55:AP60" si="542">_xlfn.F.INV(1-0.05/2, 2*(AL55+1), 2*(AM55-AL55))</f>
        <v>1.3663195510135726</v>
      </c>
      <c r="AQ55" s="436">
        <f t="shared" ref="AQ55:AQ60" si="543">IF(AL55=0, 0, 1/(1 +(AM55-AL55+1)/(AL55*AO55)))</f>
        <v>0.67005683560057405</v>
      </c>
      <c r="AR55" s="436">
        <f t="shared" ref="AR55:AR60" si="544">IF(AL55=AM55, 1, 1/(1 + (AM55-AL55)/(AP55*(AL55+1))))</f>
        <v>0.79134998008959367</v>
      </c>
    </row>
    <row r="56" spans="1:44" ht="15" customHeight="1">
      <c r="A56" s="276">
        <v>2018</v>
      </c>
      <c r="B56">
        <v>228</v>
      </c>
      <c r="C56">
        <v>160</v>
      </c>
      <c r="D56">
        <v>149</v>
      </c>
      <c r="E56" s="149">
        <f t="shared" si="509"/>
        <v>0.70175438596491224</v>
      </c>
      <c r="F56" s="149">
        <f t="shared" si="510"/>
        <v>0.93125000000000013</v>
      </c>
      <c r="G56" s="149">
        <f t="shared" si="511"/>
        <v>0.65350877192982459</v>
      </c>
      <c r="H56" s="129">
        <f>H26</f>
        <v>0.10199999999999999</v>
      </c>
      <c r="I56" s="447">
        <f>I26</f>
        <v>1.0999999999999999E-2</v>
      </c>
      <c r="J56" s="129">
        <v>0.02</v>
      </c>
      <c r="K56" s="149">
        <f t="shared" si="512"/>
        <v>0.79741191987286053</v>
      </c>
      <c r="L56" s="149">
        <f t="shared" si="513"/>
        <v>0.94160768452982835</v>
      </c>
      <c r="M56" s="149">
        <f t="shared" si="514"/>
        <v>0.75084919148796925</v>
      </c>
      <c r="N56" s="151">
        <f t="shared" si="515"/>
        <v>0.92731561827596265</v>
      </c>
      <c r="O56" s="149">
        <f t="shared" si="516"/>
        <v>0.98507091992088713</v>
      </c>
      <c r="P56" s="150">
        <f t="shared" si="517"/>
        <v>0.95989077247579535</v>
      </c>
      <c r="Q56" s="276">
        <v>2018</v>
      </c>
      <c r="R56" s="152">
        <f t="shared" si="518"/>
        <v>0.20258808012713947</v>
      </c>
      <c r="S56" s="153">
        <f t="shared" si="519"/>
        <v>5.8392315470171652E-2</v>
      </c>
      <c r="T56" s="154">
        <f t="shared" si="520"/>
        <v>0.24915080851203075</v>
      </c>
      <c r="U56" s="152">
        <f t="shared" si="521"/>
        <v>7.268438172403735E-2</v>
      </c>
      <c r="V56" s="153">
        <f t="shared" si="522"/>
        <v>1.4929080079112866E-2</v>
      </c>
      <c r="W56" s="153">
        <f t="shared" si="523"/>
        <v>4.0109227524204649E-2</v>
      </c>
      <c r="X56" s="283">
        <f t="shared" si="524"/>
        <v>160</v>
      </c>
      <c r="Y56" s="283">
        <f t="shared" si="525"/>
        <v>228</v>
      </c>
      <c r="Z56" s="283">
        <f t="shared" si="526"/>
        <v>0.70175438596491224</v>
      </c>
      <c r="AA56" s="283">
        <f t="shared" si="527"/>
        <v>0.75946023815988528</v>
      </c>
      <c r="AB56" s="283">
        <f t="shared" si="528"/>
        <v>1.3400742744348637</v>
      </c>
      <c r="AC56" s="436">
        <f t="shared" si="529"/>
        <v>0.6378212043708883</v>
      </c>
      <c r="AD56" s="436">
        <f t="shared" si="530"/>
        <v>0.76035407672534183</v>
      </c>
      <c r="AE56" s="283">
        <f t="shared" si="531"/>
        <v>149</v>
      </c>
      <c r="AF56" s="283">
        <f t="shared" si="532"/>
        <v>160</v>
      </c>
      <c r="AG56" s="283">
        <f t="shared" si="533"/>
        <v>0.93125000000000002</v>
      </c>
      <c r="AH56" s="283">
        <f t="shared" si="534"/>
        <v>0.59238833263407908</v>
      </c>
      <c r="AI56" s="283">
        <f t="shared" si="535"/>
        <v>2.0329153531846442</v>
      </c>
      <c r="AJ56" s="436">
        <f t="shared" si="536"/>
        <v>0.88031818793555627</v>
      </c>
      <c r="AK56" s="436">
        <f t="shared" si="537"/>
        <v>0.96518296542913595</v>
      </c>
      <c r="AL56" s="283">
        <f t="shared" si="538"/>
        <v>149</v>
      </c>
      <c r="AM56" s="283">
        <f t="shared" si="539"/>
        <v>228</v>
      </c>
      <c r="AN56" s="283">
        <f t="shared" si="540"/>
        <v>0.65350877192982459</v>
      </c>
      <c r="AO56" s="283">
        <f t="shared" si="541"/>
        <v>0.7658311993898711</v>
      </c>
      <c r="AP56" s="283">
        <f t="shared" si="542"/>
        <v>1.3219760420574018</v>
      </c>
      <c r="AQ56" s="436">
        <f t="shared" si="543"/>
        <v>0.58786010770742714</v>
      </c>
      <c r="AR56" s="436">
        <f t="shared" si="544"/>
        <v>0.7151062970788058</v>
      </c>
    </row>
    <row r="57" spans="1:44" ht="15" customHeight="1">
      <c r="A57" s="276">
        <v>2019</v>
      </c>
      <c r="B57">
        <v>78</v>
      </c>
      <c r="C57">
        <v>64</v>
      </c>
      <c r="D57">
        <v>59</v>
      </c>
      <c r="E57" s="149">
        <f t="shared" si="509"/>
        <v>0.82051282051282048</v>
      </c>
      <c r="F57" s="149">
        <f t="shared" si="510"/>
        <v>0.921875</v>
      </c>
      <c r="G57" s="149">
        <f t="shared" si="511"/>
        <v>0.75641025641025639</v>
      </c>
      <c r="H57" s="129">
        <v>6.6000000000000003E-2</v>
      </c>
      <c r="I57" s="447">
        <v>1.2999999999999999E-2</v>
      </c>
      <c r="J57" s="129">
        <v>0.02</v>
      </c>
      <c r="K57" s="149">
        <f>(C27/B27)/((1-H57)*(1-J57))</f>
        <v>0.84720421597142315</v>
      </c>
      <c r="L57" s="149">
        <f t="shared" si="513"/>
        <v>0.92848825779915012</v>
      </c>
      <c r="M57" s="149">
        <f>(D27/B27)/((1-H57)*(1-I57)*(1-J57))</f>
        <v>0.7866191664874016</v>
      </c>
      <c r="N57" s="151">
        <f t="shared" si="515"/>
        <v>0.9462285248927782</v>
      </c>
      <c r="O57" s="149">
        <f t="shared" si="516"/>
        <v>0.98162159486146661</v>
      </c>
      <c r="P57" s="150">
        <f t="shared" si="517"/>
        <v>0.96629385501423792</v>
      </c>
      <c r="Q57" s="276">
        <v>2019</v>
      </c>
      <c r="R57" s="152">
        <f t="shared" si="518"/>
        <v>0.15279578402857685</v>
      </c>
      <c r="S57" s="153">
        <f t="shared" si="519"/>
        <v>7.1511742200849882E-2</v>
      </c>
      <c r="T57" s="154">
        <f t="shared" si="520"/>
        <v>0.2133808335125984</v>
      </c>
      <c r="U57" s="152">
        <f t="shared" si="521"/>
        <v>5.37714751072218E-2</v>
      </c>
      <c r="V57" s="153">
        <f t="shared" si="522"/>
        <v>1.8378405138533394E-2</v>
      </c>
      <c r="W57" s="153">
        <f t="shared" si="523"/>
        <v>3.3706144985762077E-2</v>
      </c>
      <c r="X57" s="283">
        <f>C27</f>
        <v>335</v>
      </c>
      <c r="Y57" s="283">
        <f>B27</f>
        <v>432</v>
      </c>
      <c r="Z57" s="283">
        <f t="shared" si="526"/>
        <v>0.77546296296296291</v>
      </c>
      <c r="AA57" s="283">
        <f t="shared" si="527"/>
        <v>0.8036791594630176</v>
      </c>
      <c r="AB57" s="283">
        <f t="shared" si="528"/>
        <v>1.2631339009586104</v>
      </c>
      <c r="AC57" s="436">
        <f t="shared" si="529"/>
        <v>0.73313910102076296</v>
      </c>
      <c r="AD57" s="436">
        <f t="shared" si="530"/>
        <v>0.81396704392488017</v>
      </c>
      <c r="AE57" s="283">
        <f>D27</f>
        <v>307</v>
      </c>
      <c r="AF57" s="283">
        <f>C27</f>
        <v>335</v>
      </c>
      <c r="AG57" s="283">
        <f t="shared" si="533"/>
        <v>0.91641791044776122</v>
      </c>
      <c r="AH57" s="283">
        <f t="shared" si="534"/>
        <v>0.70246238845015818</v>
      </c>
      <c r="AI57" s="283">
        <f t="shared" si="535"/>
        <v>1.5250389601336047</v>
      </c>
      <c r="AJ57" s="436">
        <f t="shared" si="536"/>
        <v>0.88146619931267778</v>
      </c>
      <c r="AK57" s="436">
        <f t="shared" si="537"/>
        <v>0.94374256595041439</v>
      </c>
      <c r="AL57" s="283">
        <f>D27</f>
        <v>307</v>
      </c>
      <c r="AM57" s="283">
        <f>B27</f>
        <v>432</v>
      </c>
      <c r="AN57" s="283">
        <f t="shared" si="540"/>
        <v>0.71064814814814814</v>
      </c>
      <c r="AO57" s="283">
        <f t="shared" si="541"/>
        <v>0.81613851779582891</v>
      </c>
      <c r="AP57" s="283">
        <f t="shared" si="542"/>
        <v>1.2372270860757237</v>
      </c>
      <c r="AQ57" s="436">
        <f t="shared" si="543"/>
        <v>0.66538710426524872</v>
      </c>
      <c r="AR57" s="436">
        <f t="shared" si="544"/>
        <v>0.75299661664704254</v>
      </c>
    </row>
    <row r="58" spans="1:44" ht="15" customHeight="1">
      <c r="A58" s="276">
        <v>2020</v>
      </c>
      <c r="B58">
        <v>151</v>
      </c>
      <c r="C58">
        <v>114</v>
      </c>
      <c r="D58">
        <v>106</v>
      </c>
      <c r="E58" s="149">
        <f t="shared" si="509"/>
        <v>0.75496688741721851</v>
      </c>
      <c r="F58" s="149">
        <f t="shared" si="510"/>
        <v>0.92982456140350889</v>
      </c>
      <c r="G58" s="149">
        <f t="shared" si="511"/>
        <v>0.70198675496688745</v>
      </c>
      <c r="H58" s="129">
        <v>5.8999999999999997E-2</v>
      </c>
      <c r="I58" s="447">
        <v>1.4E-2</v>
      </c>
      <c r="J58" s="129">
        <v>0.02</v>
      </c>
      <c r="K58" s="149">
        <f>(C28/B28)/((1-H58)*(1-J58))</f>
        <v>0.91351389362623614</v>
      </c>
      <c r="L58" s="149">
        <f t="shared" si="513"/>
        <v>0.96677222116829842</v>
      </c>
      <c r="M58" s="149">
        <f>(D28/B28)/((1-H58)*(1-I58)*(1-J58))</f>
        <v>0.88315985600913705</v>
      </c>
      <c r="N58" s="151">
        <f t="shared" si="515"/>
        <v>0.97029781255718761</v>
      </c>
      <c r="O58" s="149">
        <f t="shared" si="516"/>
        <v>0.99158749400962132</v>
      </c>
      <c r="P58" s="150">
        <f t="shared" si="517"/>
        <v>0.98240673560228875</v>
      </c>
      <c r="Q58" s="276">
        <v>2020</v>
      </c>
      <c r="R58" s="152">
        <f t="shared" si="518"/>
        <v>8.648610637376386E-2</v>
      </c>
      <c r="S58" s="153">
        <f t="shared" si="519"/>
        <v>3.3227778831701582E-2</v>
      </c>
      <c r="T58" s="154">
        <f t="shared" si="520"/>
        <v>0.11684014399086295</v>
      </c>
      <c r="U58" s="152">
        <f t="shared" si="521"/>
        <v>2.9702187442812389E-2</v>
      </c>
      <c r="V58" s="153">
        <f t="shared" si="522"/>
        <v>8.4125059903786825E-3</v>
      </c>
      <c r="W58" s="153">
        <f t="shared" si="523"/>
        <v>1.759326439771125E-2</v>
      </c>
      <c r="X58" s="283">
        <f>C28</f>
        <v>278</v>
      </c>
      <c r="Y58" s="283">
        <f>B28</f>
        <v>330</v>
      </c>
      <c r="Z58" s="283">
        <f t="shared" si="526"/>
        <v>0.84242424242424241</v>
      </c>
      <c r="AA58" s="283">
        <f t="shared" si="527"/>
        <v>0.75572537851682786</v>
      </c>
      <c r="AB58" s="283">
        <f t="shared" si="528"/>
        <v>1.3670522415607704</v>
      </c>
      <c r="AC58" s="436">
        <f t="shared" si="529"/>
        <v>0.79854929281533438</v>
      </c>
      <c r="AD58" s="436">
        <f t="shared" si="530"/>
        <v>0.88002055581849603</v>
      </c>
      <c r="AE58" s="283">
        <f>D28</f>
        <v>265</v>
      </c>
      <c r="AF58" s="283">
        <f>C28</f>
        <v>278</v>
      </c>
      <c r="AG58" s="283">
        <f t="shared" si="533"/>
        <v>0.9532374100719424</v>
      </c>
      <c r="AH58" s="283">
        <f t="shared" si="534"/>
        <v>0.61898439872434796</v>
      </c>
      <c r="AI58" s="283">
        <f t="shared" si="535"/>
        <v>1.8958415714659251</v>
      </c>
      <c r="AJ58" s="436">
        <f t="shared" si="536"/>
        <v>0.92136195064858351</v>
      </c>
      <c r="AK58" s="436">
        <f t="shared" si="537"/>
        <v>0.97486921640629576</v>
      </c>
      <c r="AL58" s="283">
        <f>D28</f>
        <v>265</v>
      </c>
      <c r="AM58" s="283">
        <f>B28</f>
        <v>330</v>
      </c>
      <c r="AN58" s="283">
        <f t="shared" si="540"/>
        <v>0.80303030303030298</v>
      </c>
      <c r="AO58" s="283">
        <f t="shared" si="541"/>
        <v>0.77149810553898479</v>
      </c>
      <c r="AP58" s="283">
        <f t="shared" si="542"/>
        <v>1.327761714247208</v>
      </c>
      <c r="AQ58" s="436">
        <f t="shared" si="543"/>
        <v>0.75595957619817788</v>
      </c>
      <c r="AR58" s="436">
        <f t="shared" si="544"/>
        <v>0.84456625730681578</v>
      </c>
    </row>
    <row r="59" spans="1:44" ht="15" customHeight="1">
      <c r="A59" s="276">
        <v>2021</v>
      </c>
      <c r="B59">
        <v>86</v>
      </c>
      <c r="C59">
        <v>70</v>
      </c>
      <c r="D59">
        <v>66</v>
      </c>
      <c r="E59" s="149">
        <f t="shared" si="509"/>
        <v>0.81395348837209303</v>
      </c>
      <c r="F59" s="149">
        <f t="shared" si="510"/>
        <v>0.94285714285714284</v>
      </c>
      <c r="G59" s="149">
        <f t="shared" si="511"/>
        <v>0.76744186046511631</v>
      </c>
      <c r="H59" s="129">
        <v>6.3E-2</v>
      </c>
      <c r="I59" s="447">
        <v>1.4999999999999999E-2</v>
      </c>
      <c r="J59" s="129">
        <v>0.02</v>
      </c>
      <c r="K59" s="129">
        <f>(C29/B29)/((1-H59)*(1-J59))</f>
        <v>0.87798673109335035</v>
      </c>
      <c r="L59" s="129">
        <f t="shared" si="513"/>
        <v>0.97004021750591218</v>
      </c>
      <c r="M59" s="129">
        <f>(D29/B29)/((1-H59)*(1-I59)*(1-J59))</f>
        <v>0.85168243959709844</v>
      </c>
      <c r="N59" s="142">
        <f t="shared" si="515"/>
        <v>0.95755262426434251</v>
      </c>
      <c r="O59" s="129">
        <f t="shared" si="516"/>
        <v>0.99242440382790964</v>
      </c>
      <c r="P59" s="129">
        <f t="shared" si="517"/>
        <v>0.9773264902643195</v>
      </c>
      <c r="Q59" s="276"/>
      <c r="R59" s="145">
        <f t="shared" si="518"/>
        <v>0.12201326890664965</v>
      </c>
      <c r="S59" s="145">
        <f t="shared" si="519"/>
        <v>2.9959782494087817E-2</v>
      </c>
      <c r="T59" s="145">
        <f t="shared" si="520"/>
        <v>0.14831756040290156</v>
      </c>
      <c r="U59" s="145">
        <f t="shared" si="521"/>
        <v>4.2447375735657489E-2</v>
      </c>
      <c r="V59" s="145">
        <f t="shared" si="522"/>
        <v>7.5755961720903597E-3</v>
      </c>
      <c r="W59" s="145">
        <f t="shared" si="523"/>
        <v>2.2673509735680497E-2</v>
      </c>
      <c r="X59" s="283">
        <f>C29</f>
        <v>337</v>
      </c>
      <c r="Y59" s="283">
        <f>B29</f>
        <v>418</v>
      </c>
      <c r="Z59" s="283">
        <f t="shared" si="526"/>
        <v>0.80622009569377995</v>
      </c>
      <c r="AA59" s="283">
        <f t="shared" si="527"/>
        <v>0.79216315929725911</v>
      </c>
      <c r="AB59" s="283">
        <f t="shared" si="528"/>
        <v>1.2870014341746268</v>
      </c>
      <c r="AC59" s="436">
        <f t="shared" si="529"/>
        <v>0.76501536398482839</v>
      </c>
      <c r="AD59" s="436">
        <f t="shared" si="530"/>
        <v>0.84302522857036766</v>
      </c>
      <c r="AE59" s="283">
        <f>D29</f>
        <v>322</v>
      </c>
      <c r="AF59" s="283">
        <f>C29</f>
        <v>337</v>
      </c>
      <c r="AG59" s="283">
        <f t="shared" si="533"/>
        <v>0.95548961424332346</v>
      </c>
      <c r="AH59" s="283">
        <f t="shared" si="534"/>
        <v>0.63709077879799858</v>
      </c>
      <c r="AI59" s="283">
        <f t="shared" si="535"/>
        <v>1.8020567070599904</v>
      </c>
      <c r="AJ59" s="436">
        <f t="shared" si="536"/>
        <v>0.92764870105191255</v>
      </c>
      <c r="AK59" s="436">
        <f t="shared" si="537"/>
        <v>0.97487707841772298</v>
      </c>
      <c r="AL59" s="283">
        <f>D29</f>
        <v>322</v>
      </c>
      <c r="AM59" s="283">
        <f>B29</f>
        <v>418</v>
      </c>
      <c r="AN59" s="283">
        <f t="shared" si="540"/>
        <v>0.77033492822966509</v>
      </c>
      <c r="AO59" s="283">
        <f t="shared" si="541"/>
        <v>0.80211976215908209</v>
      </c>
      <c r="AP59" s="283">
        <f t="shared" si="542"/>
        <v>1.2655633530793298</v>
      </c>
      <c r="AQ59" s="436">
        <f t="shared" si="543"/>
        <v>0.72697787623583843</v>
      </c>
      <c r="AR59" s="436">
        <f t="shared" si="544"/>
        <v>0.80981699437913268</v>
      </c>
    </row>
    <row r="60" spans="1:44" ht="15" customHeight="1">
      <c r="A60" s="276">
        <v>2022</v>
      </c>
      <c r="B60">
        <v>126</v>
      </c>
      <c r="C60">
        <v>103</v>
      </c>
      <c r="D60">
        <v>99</v>
      </c>
      <c r="E60" s="149">
        <f t="shared" si="509"/>
        <v>0.81746031746031744</v>
      </c>
      <c r="F60" s="149">
        <f t="shared" si="510"/>
        <v>0.96116504854368934</v>
      </c>
      <c r="G60" s="149">
        <f t="shared" si="511"/>
        <v>0.7857142857142857</v>
      </c>
      <c r="H60" s="129">
        <v>0.10199999999999999</v>
      </c>
      <c r="I60" s="447">
        <v>2.3E-2</v>
      </c>
      <c r="J60" s="129">
        <v>0.02</v>
      </c>
      <c r="K60" s="129">
        <f>(C30/B30)/((1-H60)*(1-J60))</f>
        <v>0.90089549801608337</v>
      </c>
      <c r="L60" s="129">
        <f t="shared" si="513"/>
        <v>0.96227838833312174</v>
      </c>
      <c r="M60" s="129">
        <f>(D30/B30)/((1-H60)*(1-I60)*(1-J60))</f>
        <v>0.86691226788748177</v>
      </c>
      <c r="N60" s="142">
        <f t="shared" si="515"/>
        <v>0.96580949839472352</v>
      </c>
      <c r="O60" s="129">
        <f t="shared" si="516"/>
        <v>0.99043318464793828</v>
      </c>
      <c r="P60" s="129">
        <f t="shared" si="517"/>
        <v>0.97980422304238601</v>
      </c>
      <c r="Q60" s="276"/>
      <c r="R60" s="145">
        <f t="shared" si="518"/>
        <v>9.9104501983916626E-2</v>
      </c>
      <c r="S60" s="145">
        <f t="shared" si="519"/>
        <v>3.7721611666878263E-2</v>
      </c>
      <c r="T60" s="145">
        <f t="shared" si="520"/>
        <v>0.13308773211251823</v>
      </c>
      <c r="U60" s="145">
        <f t="shared" si="521"/>
        <v>3.419050160527648E-2</v>
      </c>
      <c r="V60" s="145">
        <f t="shared" si="522"/>
        <v>9.5668153520617194E-3</v>
      </c>
      <c r="W60" s="145">
        <f t="shared" si="523"/>
        <v>2.0195776957613987E-2</v>
      </c>
      <c r="X60" s="283">
        <f>C30</f>
        <v>685</v>
      </c>
      <c r="Y60" s="283">
        <f>B30</f>
        <v>864</v>
      </c>
      <c r="Z60" s="283">
        <f t="shared" si="526"/>
        <v>0.79282407407407407</v>
      </c>
      <c r="AA60" s="283">
        <f t="shared" si="527"/>
        <v>0.85182575521822368</v>
      </c>
      <c r="AB60" s="283">
        <f t="shared" si="528"/>
        <v>1.1838047968318599</v>
      </c>
      <c r="AC60" s="436">
        <f t="shared" si="529"/>
        <v>0.76424381327042668</v>
      </c>
      <c r="AD60" s="436">
        <f t="shared" si="530"/>
        <v>0.81939078829168777</v>
      </c>
      <c r="AE60" s="283">
        <f>D30</f>
        <v>644</v>
      </c>
      <c r="AF60" s="283">
        <f>C30</f>
        <v>685</v>
      </c>
      <c r="AG60" s="283">
        <f t="shared" si="533"/>
        <v>0.94014598540145988</v>
      </c>
      <c r="AH60" s="283">
        <f t="shared" si="534"/>
        <v>0.74669453682361853</v>
      </c>
      <c r="AI60" s="283">
        <f t="shared" si="535"/>
        <v>1.4047744487622644</v>
      </c>
      <c r="AJ60" s="436">
        <f t="shared" si="536"/>
        <v>0.91967430327730226</v>
      </c>
      <c r="AK60" s="436">
        <f t="shared" si="537"/>
        <v>0.95670902056488549</v>
      </c>
      <c r="AL60" s="283">
        <f>D30</f>
        <v>644</v>
      </c>
      <c r="AM60" s="283">
        <f>B30</f>
        <v>864</v>
      </c>
      <c r="AN60" s="283">
        <f t="shared" si="540"/>
        <v>0.74537037037037035</v>
      </c>
      <c r="AO60" s="283">
        <f t="shared" si="541"/>
        <v>0.8606603607140233</v>
      </c>
      <c r="AP60" s="283">
        <f t="shared" si="542"/>
        <v>1.1689459420429016</v>
      </c>
      <c r="AQ60" s="436">
        <f t="shared" si="543"/>
        <v>0.71493628323579916</v>
      </c>
      <c r="AR60" s="436">
        <f t="shared" si="544"/>
        <v>0.77412038353915291</v>
      </c>
    </row>
    <row r="61" spans="1:44" ht="15" customHeight="1">
      <c r="A61" s="276">
        <v>2023</v>
      </c>
      <c r="B61">
        <v>45</v>
      </c>
      <c r="C61">
        <v>37</v>
      </c>
      <c r="D61">
        <v>33</v>
      </c>
      <c r="E61" s="129">
        <f t="shared" si="509"/>
        <v>0.82222222222222219</v>
      </c>
      <c r="F61" s="129">
        <f t="shared" si="510"/>
        <v>0.89189189189189189</v>
      </c>
      <c r="G61" s="129">
        <f t="shared" si="511"/>
        <v>0.73333333333333328</v>
      </c>
      <c r="H61" s="129">
        <f>H31</f>
        <v>9.4E-2</v>
      </c>
      <c r="I61" s="129">
        <f>I31</f>
        <v>8.0000000000000002E-3</v>
      </c>
      <c r="J61" s="129">
        <v>0.02</v>
      </c>
      <c r="K61" s="129">
        <f>(C31/B31)/((1-H61)*(1-J61))</f>
        <v>0.90900878440721566</v>
      </c>
      <c r="L61" s="129">
        <f t="shared" si="513"/>
        <v>0.99113319996665838</v>
      </c>
      <c r="M61" s="129">
        <f>(D31/B31)/((1-H61)*(1-I61)*(1-J61))</f>
        <v>0.90094878528732592</v>
      </c>
      <c r="N61" s="142">
        <f t="shared" ref="N61" si="545">K61^(1/3)</f>
        <v>0.96870013452414028</v>
      </c>
      <c r="O61" s="129">
        <f t="shared" ref="O61" si="546">L61^(1/4)</f>
        <v>0.99777589099616881</v>
      </c>
      <c r="P61" s="129"/>
      <c r="Q61" s="276"/>
      <c r="R61" s="145"/>
      <c r="S61" s="145"/>
      <c r="T61" s="145"/>
      <c r="U61" s="145"/>
      <c r="V61" s="145"/>
      <c r="W61" s="145"/>
      <c r="X61" s="283"/>
      <c r="Y61" s="283"/>
      <c r="Z61" s="283"/>
      <c r="AA61" s="283"/>
      <c r="AB61" s="283"/>
      <c r="AC61" s="436"/>
      <c r="AD61" s="436"/>
      <c r="AE61" s="283"/>
      <c r="AF61" s="283"/>
      <c r="AG61" s="283"/>
      <c r="AH61" s="283"/>
      <c r="AI61" s="283"/>
      <c r="AJ61" s="436"/>
      <c r="AK61" s="436"/>
      <c r="AL61" s="283"/>
      <c r="AM61" s="283"/>
      <c r="AN61" s="283"/>
      <c r="AO61" s="283"/>
      <c r="AP61" s="283"/>
      <c r="AQ61" s="436"/>
      <c r="AR61" s="436"/>
    </row>
    <row r="62" spans="1:44" ht="15" customHeight="1">
      <c r="A62" s="264" t="s">
        <v>112</v>
      </c>
      <c r="B62" s="430">
        <f t="shared" ref="B62:P62" si="547">AVERAGE(B50:B54)</f>
        <v>415.2</v>
      </c>
      <c r="C62" s="430">
        <f t="shared" si="547"/>
        <v>305</v>
      </c>
      <c r="D62" s="430">
        <f t="shared" si="547"/>
        <v>275</v>
      </c>
      <c r="E62" s="43">
        <f t="shared" si="547"/>
        <v>0.74373292070089825</v>
      </c>
      <c r="F62" s="43">
        <f t="shared" si="547"/>
        <v>0.90809967139539083</v>
      </c>
      <c r="G62" s="43">
        <f t="shared" si="547"/>
        <v>0.67521139018852805</v>
      </c>
      <c r="H62" s="43">
        <f t="shared" si="547"/>
        <v>0.1018</v>
      </c>
      <c r="I62" s="43">
        <f t="shared" si="547"/>
        <v>2.0200000000000003E-2</v>
      </c>
      <c r="J62" s="43">
        <f t="shared" si="547"/>
        <v>0.02</v>
      </c>
      <c r="K62" s="43">
        <f t="shared" si="547"/>
        <v>0.84495022388064633</v>
      </c>
      <c r="L62" s="43">
        <f t="shared" si="547"/>
        <v>0.92667009831025349</v>
      </c>
      <c r="M62" s="43">
        <f>AVERAGE(M46:M55)</f>
        <v>0.80784113022272075</v>
      </c>
      <c r="N62" s="144" t="b">
        <f>B26488=1-AVERAGE(N46:N55)</f>
        <v>0</v>
      </c>
      <c r="O62" s="43">
        <f t="shared" si="547"/>
        <v>0.98104126029797278</v>
      </c>
      <c r="P62" s="43">
        <f t="shared" si="547"/>
        <v>0.96546199018865342</v>
      </c>
      <c r="Q62" s="264" t="s">
        <v>112</v>
      </c>
      <c r="R62" s="43">
        <f t="shared" ref="R62:W62" si="548">AVERAGE(R50:R54)</f>
        <v>0.15504977611935372</v>
      </c>
      <c r="S62" s="43">
        <f t="shared" si="548"/>
        <v>7.3329901689746443E-2</v>
      </c>
      <c r="T62" s="43">
        <f t="shared" si="548"/>
        <v>0.21720351507533539</v>
      </c>
      <c r="U62" s="43">
        <f t="shared" si="548"/>
        <v>5.483339512978995E-2</v>
      </c>
      <c r="V62" s="43">
        <f t="shared" si="548"/>
        <v>1.8958739702027237E-2</v>
      </c>
      <c r="W62" s="43">
        <f t="shared" si="548"/>
        <v>3.4538009811346623E-2</v>
      </c>
      <c r="X62" s="283">
        <f t="shared" ref="X62" si="549">C62</f>
        <v>305</v>
      </c>
      <c r="Y62" s="283">
        <f t="shared" ref="Y62" si="550">B62</f>
        <v>415.2</v>
      </c>
      <c r="Z62" s="283">
        <f t="shared" ref="Z62" si="551">X62/Y62</f>
        <v>0.73458574181117531</v>
      </c>
      <c r="AA62" s="283">
        <f t="shared" ref="AA62" si="552">_xlfn.F.INV(0.05/2, 2*X62, 2*(Y62-X62+1))</f>
        <v>0.80887797619782453</v>
      </c>
      <c r="AB62" s="283">
        <f t="shared" ref="AB62" si="553">_xlfn.F.INV(1-0.05/2, 2*(X62+1), 2*(Y62-X62))</f>
        <v>1.2510991083612379</v>
      </c>
      <c r="AC62" s="436">
        <f t="shared" ref="AC62" si="554">IF(X62=0, 0, 1/(1 +(Y62-X62+1)/(X62*AA62)))</f>
        <v>0.68930544301497898</v>
      </c>
      <c r="AD62" s="436">
        <f t="shared" ref="AD62" si="555">IF(X62=Y62, 1, 1/(1 + (Y62-X62)/(AB62*(X62+1))))</f>
        <v>0.77648705799204831</v>
      </c>
      <c r="AE62" s="283">
        <f t="shared" ref="AE62" si="556">D62</f>
        <v>275</v>
      </c>
      <c r="AF62" s="283">
        <f t="shared" ref="AF62" si="557">C62</f>
        <v>305</v>
      </c>
      <c r="AG62" s="283">
        <f t="shared" ref="AG62" si="558">AE62/AF62</f>
        <v>0.90163934426229508</v>
      </c>
      <c r="AH62" s="283">
        <f t="shared" ref="AH62" si="559">_xlfn.F.INV(0.05/2, 2*AE62, 2*(AF62-AE62+1))</f>
        <v>0.70750221345296938</v>
      </c>
      <c r="AI62" s="283">
        <f t="shared" ref="AI62" si="560">_xlfn.F.INV(1-0.05/2, 2*(AE62+1), 2*(AF62-AE62))</f>
        <v>1.5051543842570918</v>
      </c>
      <c r="AJ62" s="436">
        <f t="shared" ref="AJ62" si="561">IF(AE62=0, 0, 1/(1 +(AF62-AE62+1)/(AE62*AH62)))</f>
        <v>0.86256617857980622</v>
      </c>
      <c r="AK62" s="436">
        <f t="shared" ref="AK62" si="562">IF(AE62=AF62, 1, 1/(1 + (AF62-AE62)/(AI62*(AE62+1))))</f>
        <v>0.93264823266089136</v>
      </c>
      <c r="AL62" s="283">
        <f t="shared" ref="AL62" si="563">D62</f>
        <v>275</v>
      </c>
      <c r="AM62" s="283">
        <f t="shared" ref="AM62" si="564">B62</f>
        <v>415.2</v>
      </c>
      <c r="AN62" s="283">
        <f t="shared" ref="AN62" si="565">AL62/AM62</f>
        <v>0.66233140655105971</v>
      </c>
      <c r="AO62" s="283">
        <f t="shared" ref="AO62" si="566">_xlfn.F.INV(0.05/2, 2*AL62, 2*(AM62-AL62+1))</f>
        <v>0.81875413416131704</v>
      </c>
      <c r="AP62" s="283">
        <f t="shared" ref="AP62" si="567">_xlfn.F.INV(1-0.05/2, 2*(AL62+1), 2*(AM62-AL62))</f>
        <v>1.2301514170114041</v>
      </c>
      <c r="AQ62" s="436">
        <f t="shared" ref="AQ62" si="568">IF(AL62=0, 0, 1/(1 +(AM62-AL62+1)/(AL62*AO62)))</f>
        <v>0.61458399625305082</v>
      </c>
      <c r="AR62" s="436">
        <f t="shared" ref="AR62" si="569">IF(AL62=AM62, 1, 1/(1 + (AM62-AL62)/(AP62*(AL62+1))))</f>
        <v>0.7077472764371614</v>
      </c>
    </row>
    <row r="63" spans="1:44" ht="15" customHeight="1">
      <c r="A63" t="s">
        <v>6</v>
      </c>
      <c r="B63" t="s">
        <v>58</v>
      </c>
      <c r="M63" s="43">
        <f>1-M62</f>
        <v>0.19215886977727925</v>
      </c>
      <c r="N63" s="145">
        <f>1-MIN(N46:N55)</f>
        <v>6.9509856545760029E-2</v>
      </c>
    </row>
    <row r="64" spans="1:44" ht="15" customHeight="1">
      <c r="B64" t="s">
        <v>7</v>
      </c>
      <c r="M64" s="382">
        <f>1-MIN(M46:M55)</f>
        <v>0.26971140111165393</v>
      </c>
      <c r="N64" s="145">
        <f>1-MAX(N46:N55)</f>
        <v>2.4926317429373457E-2</v>
      </c>
    </row>
    <row r="65" spans="1:30" ht="15" customHeight="1">
      <c r="B65" s="56" t="s">
        <v>47</v>
      </c>
      <c r="M65" s="382">
        <f>1-MAX(M46:M55)</f>
        <v>0.11796327309319565</v>
      </c>
      <c r="V65" s="588" t="s">
        <v>288</v>
      </c>
      <c r="W65" s="286"/>
      <c r="X65" s="286"/>
      <c r="Y65" s="286"/>
      <c r="Z65" s="286"/>
      <c r="AA65" s="286"/>
      <c r="AB65" s="286"/>
      <c r="AC65" s="286"/>
      <c r="AD65" s="286"/>
    </row>
    <row r="66" spans="1:30" ht="15" customHeight="1">
      <c r="B66" s="70" t="s">
        <v>57</v>
      </c>
      <c r="Q66" s="286"/>
      <c r="R66" t="s">
        <v>97</v>
      </c>
      <c r="V66" s="286"/>
      <c r="W66" s="286"/>
      <c r="X66" s="286"/>
      <c r="Y66" s="286"/>
      <c r="Z66" s="286"/>
      <c r="AA66" s="286"/>
      <c r="AB66" s="286"/>
      <c r="AC66" s="286"/>
      <c r="AD66" s="286"/>
    </row>
    <row r="67" spans="1:30" ht="15" customHeight="1">
      <c r="A67" s="6" t="s">
        <v>28</v>
      </c>
      <c r="Q67" s="286"/>
      <c r="R67" t="s">
        <v>111</v>
      </c>
      <c r="V67" s="286"/>
      <c r="W67" s="286"/>
      <c r="X67" s="286"/>
      <c r="Y67" s="286"/>
      <c r="Z67" s="286"/>
      <c r="AA67" s="286"/>
      <c r="AB67" s="286"/>
      <c r="AC67" s="286"/>
      <c r="AD67" s="286"/>
    </row>
    <row r="68" spans="1:30" ht="15" customHeight="1">
      <c r="A68" s="6" t="s">
        <v>37</v>
      </c>
      <c r="V68" s="286"/>
      <c r="W68" s="286"/>
      <c r="X68" s="286"/>
      <c r="Y68" s="286"/>
      <c r="Z68" s="286"/>
      <c r="AA68" s="286"/>
      <c r="AB68" s="286"/>
      <c r="AC68" s="286"/>
      <c r="AD68" s="286"/>
    </row>
    <row r="69" spans="1:30" ht="15" customHeight="1">
      <c r="B69" t="s">
        <v>38</v>
      </c>
      <c r="V69" s="286"/>
      <c r="W69" s="286"/>
      <c r="X69" s="286"/>
      <c r="Y69" s="286"/>
      <c r="Z69" s="286"/>
      <c r="AA69" s="286"/>
      <c r="AB69" s="286"/>
      <c r="AC69" s="286"/>
      <c r="AD69" s="286"/>
    </row>
    <row r="70" spans="1:30">
      <c r="B70" s="272" t="s">
        <v>193</v>
      </c>
    </row>
    <row r="71" spans="1:30">
      <c r="B71" s="272" t="s">
        <v>227</v>
      </c>
    </row>
    <row r="72" spans="1:30">
      <c r="B72" s="283"/>
      <c r="C72" s="678" t="s">
        <v>115</v>
      </c>
      <c r="D72" s="678"/>
      <c r="E72" s="283"/>
      <c r="F72" s="678" t="s">
        <v>224</v>
      </c>
      <c r="G72" s="678"/>
      <c r="H72" s="678"/>
      <c r="I72" s="678"/>
      <c r="J72" s="489"/>
      <c r="K72" s="678" t="s">
        <v>116</v>
      </c>
      <c r="L72" s="678"/>
      <c r="M72" s="283"/>
      <c r="N72" s="678" t="s">
        <v>224</v>
      </c>
      <c r="O72" s="678"/>
      <c r="P72" s="678"/>
      <c r="Q72" s="678"/>
    </row>
    <row r="73" spans="1:30">
      <c r="B73" s="283"/>
      <c r="C73" s="282" t="s">
        <v>219</v>
      </c>
      <c r="D73" s="282" t="s">
        <v>220</v>
      </c>
      <c r="E73" s="282" t="s">
        <v>221</v>
      </c>
      <c r="F73" s="282" t="s">
        <v>222</v>
      </c>
      <c r="G73" s="282" t="s">
        <v>222</v>
      </c>
      <c r="H73" s="282" t="s">
        <v>225</v>
      </c>
      <c r="I73" s="484" t="s">
        <v>220</v>
      </c>
      <c r="J73" s="489"/>
      <c r="K73" s="486" t="s">
        <v>222</v>
      </c>
      <c r="L73" s="282" t="s">
        <v>220</v>
      </c>
      <c r="M73" s="282" t="s">
        <v>221</v>
      </c>
      <c r="N73" s="282" t="s">
        <v>222</v>
      </c>
      <c r="O73" s="282" t="s">
        <v>222</v>
      </c>
      <c r="P73" s="282" t="s">
        <v>225</v>
      </c>
      <c r="Q73" s="282" t="s">
        <v>220</v>
      </c>
    </row>
    <row r="74" spans="1:30">
      <c r="B74" s="283" t="str">
        <f t="shared" ref="B74:B79" si="570">A9</f>
        <v>2002*</v>
      </c>
      <c r="C74" s="281">
        <f t="shared" ref="C74:C79" si="571">E9</f>
        <v>0.87059859154929575</v>
      </c>
      <c r="D74" s="281">
        <f t="shared" ref="D74:D79" si="572">E39</f>
        <v>0.78896672504378285</v>
      </c>
      <c r="E74" s="281">
        <f>C74-D74</f>
        <v>8.1631866505512907E-2</v>
      </c>
      <c r="F74" s="283">
        <f t="shared" ref="F74:G79" si="573">AC9</f>
        <v>0.84967784108177669</v>
      </c>
      <c r="G74" s="283">
        <f t="shared" si="573"/>
        <v>0.88957762478340285</v>
      </c>
      <c r="H74" s="283">
        <f t="shared" ref="H74:I79" si="574">AC39</f>
        <v>0.7641334084788709</v>
      </c>
      <c r="I74" s="485">
        <f t="shared" si="574"/>
        <v>0.81230163136640376</v>
      </c>
      <c r="J74" s="490"/>
      <c r="K74" s="487">
        <f t="shared" ref="K74:K79" si="575">F9</f>
        <v>0.84771126760563376</v>
      </c>
      <c r="L74" s="281">
        <f t="shared" ref="L74:L79" si="576">F39</f>
        <v>0.95782463928967809</v>
      </c>
      <c r="M74" s="281">
        <f>K74-L74</f>
        <v>-0.11011337168404434</v>
      </c>
      <c r="N74" s="283">
        <f t="shared" ref="N74:O79" si="577">AJ9</f>
        <v>0.96171633103139509</v>
      </c>
      <c r="O74" s="283">
        <f t="shared" si="577"/>
        <v>0.98275676629187658</v>
      </c>
      <c r="P74" s="283">
        <f t="shared" ref="P74:Q79" si="578">AJ39</f>
        <v>0.94256809301708633</v>
      </c>
      <c r="Q74" s="283">
        <f t="shared" si="578"/>
        <v>0.96998426097919388</v>
      </c>
    </row>
    <row r="75" spans="1:30">
      <c r="B75" s="283">
        <f t="shared" si="570"/>
        <v>2003</v>
      </c>
      <c r="C75" s="281">
        <f t="shared" si="571"/>
        <v>0.84775465498357061</v>
      </c>
      <c r="D75" s="281">
        <f t="shared" si="572"/>
        <v>0.79598662207357862</v>
      </c>
      <c r="E75" s="281">
        <f t="shared" ref="E75:E98" si="579">C75-D75</f>
        <v>5.176803290999199E-2</v>
      </c>
      <c r="F75" s="283">
        <f t="shared" si="573"/>
        <v>0.82278618422998906</v>
      </c>
      <c r="G75" s="283">
        <f t="shared" si="573"/>
        <v>0.87045407450823542</v>
      </c>
      <c r="H75" s="283">
        <f t="shared" si="574"/>
        <v>0.77201503233256086</v>
      </c>
      <c r="I75" s="485">
        <f t="shared" si="574"/>
        <v>0.81849297720531067</v>
      </c>
      <c r="J75" s="490"/>
      <c r="K75" s="487">
        <f t="shared" si="575"/>
        <v>0.96770025839793283</v>
      </c>
      <c r="L75" s="281">
        <f t="shared" si="576"/>
        <v>0.94852941176470584</v>
      </c>
      <c r="M75" s="281">
        <f t="shared" ref="M75:M98" si="580">K75-L75</f>
        <v>1.917084663322699E-2</v>
      </c>
      <c r="N75" s="283">
        <f t="shared" si="577"/>
        <v>0.95268684019863414</v>
      </c>
      <c r="O75" s="283">
        <f t="shared" si="577"/>
        <v>0.97899043324816382</v>
      </c>
      <c r="P75" s="283">
        <f t="shared" si="578"/>
        <v>0.93252108872604977</v>
      </c>
      <c r="Q75" s="283">
        <f t="shared" si="578"/>
        <v>0.96168258719658339</v>
      </c>
    </row>
    <row r="76" spans="1:30">
      <c r="B76" s="283">
        <f t="shared" si="570"/>
        <v>2004</v>
      </c>
      <c r="C76" s="281">
        <f t="shared" si="571"/>
        <v>0.86076662908680945</v>
      </c>
      <c r="D76" s="281">
        <f t="shared" si="572"/>
        <v>0.80761904761904757</v>
      </c>
      <c r="E76" s="281">
        <f t="shared" si="579"/>
        <v>5.3147581467761884E-2</v>
      </c>
      <c r="F76" s="283">
        <f t="shared" si="573"/>
        <v>0.84377856734838519</v>
      </c>
      <c r="G76" s="283">
        <f t="shared" si="573"/>
        <v>0.87655142025924127</v>
      </c>
      <c r="H76" s="283">
        <f t="shared" si="574"/>
        <v>0.77125342659439455</v>
      </c>
      <c r="I76" s="485">
        <f t="shared" si="574"/>
        <v>0.84047758708172471</v>
      </c>
      <c r="J76" s="490"/>
      <c r="K76" s="487">
        <f t="shared" si="575"/>
        <v>0.96987557301899152</v>
      </c>
      <c r="L76" s="281">
        <f t="shared" si="576"/>
        <v>0.95047169811320764</v>
      </c>
      <c r="M76" s="281">
        <f t="shared" si="580"/>
        <v>1.940387490578388E-2</v>
      </c>
      <c r="N76" s="283">
        <f t="shared" si="577"/>
        <v>0.96002108936806585</v>
      </c>
      <c r="O76" s="283">
        <f t="shared" si="577"/>
        <v>0.97786251520803569</v>
      </c>
      <c r="P76" s="283">
        <f t="shared" si="578"/>
        <v>0.92528483792629312</v>
      </c>
      <c r="Q76" s="283">
        <f t="shared" si="578"/>
        <v>0.96908331044509521</v>
      </c>
    </row>
    <row r="77" spans="1:30">
      <c r="B77" s="283">
        <f t="shared" si="570"/>
        <v>2005</v>
      </c>
      <c r="C77" s="281">
        <f t="shared" si="571"/>
        <v>0.87664473684210531</v>
      </c>
      <c r="D77" s="281">
        <f t="shared" si="572"/>
        <v>0.82868525896414347</v>
      </c>
      <c r="E77" s="281">
        <f t="shared" si="579"/>
        <v>4.7959477877961842E-2</v>
      </c>
      <c r="F77" s="283">
        <f t="shared" si="573"/>
        <v>0.84784100131642315</v>
      </c>
      <c r="G77" s="283">
        <f t="shared" si="573"/>
        <v>0.9017245879586997</v>
      </c>
      <c r="H77" s="283">
        <f t="shared" si="574"/>
        <v>0.79281799745422366</v>
      </c>
      <c r="I77" s="485">
        <f t="shared" si="574"/>
        <v>0.86062456583007707</v>
      </c>
      <c r="J77" s="490"/>
      <c r="K77" s="487">
        <f t="shared" si="575"/>
        <v>0.95497185741088175</v>
      </c>
      <c r="L77" s="281">
        <f t="shared" si="576"/>
        <v>0.96874999999999989</v>
      </c>
      <c r="M77" s="281">
        <f t="shared" si="580"/>
        <v>-1.3778142589118136E-2</v>
      </c>
      <c r="N77" s="283">
        <f t="shared" si="577"/>
        <v>0.93374019566996258</v>
      </c>
      <c r="O77" s="283">
        <f t="shared" si="577"/>
        <v>0.97093983049476307</v>
      </c>
      <c r="P77" s="283">
        <f t="shared" si="578"/>
        <v>0.94715434975630186</v>
      </c>
      <c r="Q77" s="283">
        <f t="shared" si="578"/>
        <v>0.9832578718934295</v>
      </c>
    </row>
    <row r="78" spans="1:30">
      <c r="B78" s="283">
        <f t="shared" si="570"/>
        <v>2006</v>
      </c>
      <c r="C78" s="281">
        <f t="shared" si="571"/>
        <v>0.797752808988764</v>
      </c>
      <c r="D78" s="281">
        <f t="shared" si="572"/>
        <v>0.75</v>
      </c>
      <c r="E78" s="281">
        <f t="shared" si="579"/>
        <v>4.7752808988763995E-2</v>
      </c>
      <c r="F78" s="283">
        <f t="shared" si="573"/>
        <v>0.7445025724953952</v>
      </c>
      <c r="G78" s="283">
        <f t="shared" si="573"/>
        <v>0.84425965679563975</v>
      </c>
      <c r="H78" s="283">
        <f t="shared" si="574"/>
        <v>0.70431447915753187</v>
      </c>
      <c r="I78" s="485">
        <f t="shared" si="574"/>
        <v>0.79190393420187655</v>
      </c>
      <c r="J78" s="490"/>
      <c r="K78" s="487">
        <f t="shared" si="575"/>
        <v>0.92957746478873249</v>
      </c>
      <c r="L78" s="281">
        <f t="shared" si="576"/>
        <v>0.8922558922558923</v>
      </c>
      <c r="M78" s="281">
        <f t="shared" si="580"/>
        <v>3.7321572532840186E-2</v>
      </c>
      <c r="N78" s="283">
        <f t="shared" si="577"/>
        <v>0.88650828546937932</v>
      </c>
      <c r="O78" s="283">
        <f t="shared" si="577"/>
        <v>0.96005185811057991</v>
      </c>
      <c r="P78" s="283">
        <f t="shared" si="578"/>
        <v>0.85131028903369343</v>
      </c>
      <c r="Q78" s="283">
        <f t="shared" si="578"/>
        <v>0.92512678697060446</v>
      </c>
    </row>
    <row r="79" spans="1:30">
      <c r="B79" s="283">
        <f t="shared" si="570"/>
        <v>2007</v>
      </c>
      <c r="C79" s="281">
        <f t="shared" si="571"/>
        <v>0.84523809523809523</v>
      </c>
      <c r="D79" s="281">
        <f t="shared" si="572"/>
        <v>0.81971153846153844</v>
      </c>
      <c r="E79" s="281">
        <f t="shared" si="579"/>
        <v>2.5526556776556797E-2</v>
      </c>
      <c r="F79" s="283">
        <f t="shared" si="573"/>
        <v>0.7815180172022681</v>
      </c>
      <c r="G79" s="283">
        <f t="shared" si="573"/>
        <v>0.89634493297808537</v>
      </c>
      <c r="H79" s="283">
        <f t="shared" si="574"/>
        <v>0.77933356566342948</v>
      </c>
      <c r="I79" s="485">
        <f t="shared" si="574"/>
        <v>0.85546862353475539</v>
      </c>
      <c r="J79" s="490"/>
      <c r="K79" s="487">
        <f t="shared" si="575"/>
        <v>0.93661971830985913</v>
      </c>
      <c r="L79" s="281">
        <f t="shared" si="576"/>
        <v>0.92082111436950143</v>
      </c>
      <c r="M79" s="281">
        <f t="shared" si="580"/>
        <v>1.5798603940357703E-2</v>
      </c>
      <c r="N79" s="283">
        <f t="shared" si="577"/>
        <v>0.88309509014717436</v>
      </c>
      <c r="O79" s="283">
        <f t="shared" si="577"/>
        <v>0.97061157581892976</v>
      </c>
      <c r="P79" s="283">
        <f t="shared" si="578"/>
        <v>0.8868886093981353</v>
      </c>
      <c r="Q79" s="283">
        <f t="shared" si="578"/>
        <v>0.94717396038367041</v>
      </c>
      <c r="R79" s="272" t="s">
        <v>248</v>
      </c>
      <c r="S79" s="272" t="s">
        <v>247</v>
      </c>
    </row>
    <row r="80" spans="1:30">
      <c r="B80" s="283">
        <f t="shared" ref="B80:B88" si="581">A16</f>
        <v>2008</v>
      </c>
      <c r="C80" s="281">
        <f t="shared" ref="C80:C94" si="582">E16</f>
        <v>0.74349775784753358</v>
      </c>
      <c r="D80" s="281">
        <f t="shared" ref="D80:D95" si="583">E46</f>
        <v>0.76251455180442373</v>
      </c>
      <c r="E80" s="281">
        <f t="shared" ref="E80:E88" si="584">C80-D80</f>
        <v>-1.9016793956890155E-2</v>
      </c>
      <c r="F80" s="283">
        <f t="shared" ref="F80:F91" si="585">AC16</f>
        <v>0.71679510483757891</v>
      </c>
      <c r="G80" s="283">
        <f t="shared" ref="G80:G91" si="586">AD16</f>
        <v>0.76890888830031734</v>
      </c>
      <c r="H80" s="283">
        <f t="shared" ref="H80:H91" si="587">AC46</f>
        <v>0.73260230173138896</v>
      </c>
      <c r="I80" s="485">
        <f t="shared" ref="I80:I91" si="588">AD46</f>
        <v>0.79061337417791</v>
      </c>
      <c r="J80" s="490"/>
      <c r="K80" s="487">
        <f t="shared" ref="K80:K91" si="589">F16</f>
        <v>0.95778045838359471</v>
      </c>
      <c r="L80" s="281">
        <f t="shared" ref="L80:L91" si="590">F46</f>
        <v>0.94351145038167938</v>
      </c>
      <c r="M80" s="281">
        <f t="shared" ref="M80:M88" si="591">K80-L80</f>
        <v>1.4269008001915329E-2</v>
      </c>
      <c r="N80" s="283">
        <f t="shared" ref="N80:N90" si="592">AJ16</f>
        <v>0.94176944736373536</v>
      </c>
      <c r="O80" s="283">
        <f t="shared" ref="O80:O90" si="593">AK16</f>
        <v>0.97041930578493907</v>
      </c>
      <c r="P80" s="283">
        <f t="shared" ref="P80:P91" si="594">AJ46</f>
        <v>0.92297552890594292</v>
      </c>
      <c r="Q80" s="283">
        <f t="shared" ref="Q80:Q91" si="595">AK46</f>
        <v>0.95991865935143428</v>
      </c>
      <c r="R80" s="382">
        <f t="shared" ref="R80:R88" si="596">E80</f>
        <v>-1.9016793956890155E-2</v>
      </c>
      <c r="S80" s="382">
        <f t="shared" ref="S80:S94" si="597">H16</f>
        <v>0.14699999999999999</v>
      </c>
    </row>
    <row r="81" spans="2:20">
      <c r="B81" s="283">
        <f t="shared" si="581"/>
        <v>2009</v>
      </c>
      <c r="C81" s="281">
        <f t="shared" si="582"/>
        <v>0.77620087336244536</v>
      </c>
      <c r="D81" s="281">
        <f t="shared" si="583"/>
        <v>0.80392156862745101</v>
      </c>
      <c r="E81" s="281">
        <f t="shared" si="584"/>
        <v>-2.7720695265005646E-2</v>
      </c>
      <c r="F81" s="283">
        <f t="shared" si="585"/>
        <v>0.74779869522927034</v>
      </c>
      <c r="G81" s="283">
        <f t="shared" si="586"/>
        <v>0.80281414065486145</v>
      </c>
      <c r="H81" s="283">
        <f t="shared" si="587"/>
        <v>0.75888099269465825</v>
      </c>
      <c r="I81" s="485">
        <f t="shared" si="588"/>
        <v>0.84383730459093587</v>
      </c>
      <c r="J81" s="490"/>
      <c r="K81" s="487">
        <f t="shared" si="589"/>
        <v>0.92686357243319284</v>
      </c>
      <c r="L81" s="281">
        <f t="shared" si="590"/>
        <v>0.94076655052264802</v>
      </c>
      <c r="M81" s="281">
        <f t="shared" si="591"/>
        <v>-1.3902978089455176E-2</v>
      </c>
      <c r="N81" s="283">
        <f t="shared" si="592"/>
        <v>0.90519467551219002</v>
      </c>
      <c r="O81" s="283">
        <f t="shared" si="593"/>
        <v>0.944899023147313</v>
      </c>
      <c r="P81" s="283">
        <f t="shared" si="594"/>
        <v>0.90685355382565269</v>
      </c>
      <c r="Q81" s="283">
        <f t="shared" si="595"/>
        <v>0.96511929523308304</v>
      </c>
      <c r="R81" s="382">
        <f t="shared" si="596"/>
        <v>-2.7720695265005646E-2</v>
      </c>
      <c r="S81" s="382">
        <f t="shared" si="597"/>
        <v>7.6999999999999999E-2</v>
      </c>
    </row>
    <row r="82" spans="2:20">
      <c r="B82" s="283">
        <f t="shared" si="581"/>
        <v>2010</v>
      </c>
      <c r="C82" s="281">
        <f t="shared" si="582"/>
        <v>0.75476190476190474</v>
      </c>
      <c r="D82" s="281">
        <f t="shared" si="583"/>
        <v>0.77315744192715796</v>
      </c>
      <c r="E82" s="281">
        <f t="shared" si="584"/>
        <v>-1.8395537165253217E-2</v>
      </c>
      <c r="F82" s="283">
        <f t="shared" si="585"/>
        <v>0.72420866229233649</v>
      </c>
      <c r="G82" s="283">
        <f t="shared" si="586"/>
        <v>0.78351552492599696</v>
      </c>
      <c r="H82" s="283">
        <f t="shared" si="587"/>
        <v>0.75888806154786803</v>
      </c>
      <c r="I82" s="485">
        <f t="shared" si="588"/>
        <v>0.78696738288606083</v>
      </c>
      <c r="J82" s="490"/>
      <c r="K82" s="487">
        <f t="shared" si="589"/>
        <v>0.92586750788643535</v>
      </c>
      <c r="L82" s="281">
        <f t="shared" si="590"/>
        <v>0.93620178041543023</v>
      </c>
      <c r="M82" s="281">
        <f t="shared" si="591"/>
        <v>-1.0334272528994881E-2</v>
      </c>
      <c r="N82" s="283">
        <f t="shared" si="592"/>
        <v>0.90263663880366996</v>
      </c>
      <c r="O82" s="283">
        <f t="shared" si="593"/>
        <v>0.94502475863521662</v>
      </c>
      <c r="P82" s="283">
        <f t="shared" si="594"/>
        <v>0.92630799059943758</v>
      </c>
      <c r="Q82" s="283">
        <f t="shared" si="595"/>
        <v>0.94513481812488509</v>
      </c>
      <c r="R82" s="382">
        <f t="shared" si="596"/>
        <v>-1.8395537165253217E-2</v>
      </c>
      <c r="S82" s="382">
        <f t="shared" si="597"/>
        <v>0.14899999999999999</v>
      </c>
    </row>
    <row r="83" spans="2:20">
      <c r="B83" s="283">
        <f t="shared" si="581"/>
        <v>2011</v>
      </c>
      <c r="C83" s="281">
        <f t="shared" si="582"/>
        <v>0.7273212379935966</v>
      </c>
      <c r="D83" s="281">
        <f t="shared" si="583"/>
        <v>0.7502634351949421</v>
      </c>
      <c r="E83" s="281">
        <f t="shared" si="584"/>
        <v>-2.2942197201345493E-2</v>
      </c>
      <c r="F83" s="283">
        <f t="shared" si="585"/>
        <v>0.70654625042222952</v>
      </c>
      <c r="G83" s="283">
        <f t="shared" si="586"/>
        <v>0.74738236023911564</v>
      </c>
      <c r="H83" s="283">
        <f t="shared" si="587"/>
        <v>0.72144580765907051</v>
      </c>
      <c r="I83" s="485">
        <f t="shared" si="588"/>
        <v>0.77751857945598934</v>
      </c>
      <c r="J83" s="490"/>
      <c r="K83" s="487">
        <f t="shared" si="589"/>
        <v>0.9236977256052824</v>
      </c>
      <c r="L83" s="281">
        <f t="shared" si="590"/>
        <v>0.8806179775280899</v>
      </c>
      <c r="M83" s="281">
        <f t="shared" si="591"/>
        <v>4.3079748077192503E-2</v>
      </c>
      <c r="N83" s="283">
        <f t="shared" si="592"/>
        <v>0.90830382161172218</v>
      </c>
      <c r="O83" s="283">
        <f t="shared" si="593"/>
        <v>0.93723299149923522</v>
      </c>
      <c r="P83" s="283">
        <f t="shared" si="594"/>
        <v>0.85450967747212236</v>
      </c>
      <c r="Q83" s="283">
        <f t="shared" si="595"/>
        <v>0.90351943788251721</v>
      </c>
      <c r="R83" s="382">
        <f t="shared" si="596"/>
        <v>-2.2942197201345493E-2</v>
      </c>
      <c r="S83" s="382">
        <f t="shared" si="597"/>
        <v>8.6999999999999994E-2</v>
      </c>
    </row>
    <row r="84" spans="2:20">
      <c r="B84" s="283">
        <f t="shared" si="581"/>
        <v>2012</v>
      </c>
      <c r="C84" s="281">
        <f t="shared" si="582"/>
        <v>0.79952690715552932</v>
      </c>
      <c r="D84" s="281">
        <f t="shared" si="583"/>
        <v>0.77262693156732887</v>
      </c>
      <c r="E84" s="281">
        <f t="shared" si="584"/>
        <v>2.6899975588200453E-2</v>
      </c>
      <c r="F84" s="283">
        <f t="shared" si="585"/>
        <v>0.77963674856933018</v>
      </c>
      <c r="G84" s="283">
        <f t="shared" si="586"/>
        <v>0.81837172014058635</v>
      </c>
      <c r="H84" s="283">
        <f t="shared" si="587"/>
        <v>0.73121183709047344</v>
      </c>
      <c r="I84" s="485">
        <f t="shared" si="588"/>
        <v>0.81043988699878244</v>
      </c>
      <c r="J84" s="490"/>
      <c r="K84" s="487">
        <f t="shared" si="589"/>
        <v>0.94600591715976334</v>
      </c>
      <c r="L84" s="281">
        <f t="shared" si="590"/>
        <v>0.85142857142857153</v>
      </c>
      <c r="M84" s="281">
        <f t="shared" si="591"/>
        <v>9.4577345731191809E-2</v>
      </c>
      <c r="N84" s="283">
        <f t="shared" si="592"/>
        <v>0.93258629970448625</v>
      </c>
      <c r="O84" s="283">
        <f t="shared" si="593"/>
        <v>0.95744175092705153</v>
      </c>
      <c r="P84" s="283">
        <f t="shared" si="594"/>
        <v>0.80977452815935114</v>
      </c>
      <c r="Q84" s="283">
        <f t="shared" si="595"/>
        <v>0.88700705256782908</v>
      </c>
      <c r="R84" s="382">
        <f t="shared" si="596"/>
        <v>2.6899975588200453E-2</v>
      </c>
      <c r="S84" s="382">
        <f t="shared" si="597"/>
        <v>0.106</v>
      </c>
    </row>
    <row r="85" spans="2:20">
      <c r="B85" s="283">
        <f t="shared" si="581"/>
        <v>2013</v>
      </c>
      <c r="C85" s="281">
        <f t="shared" si="582"/>
        <v>0.85118219749652291</v>
      </c>
      <c r="D85" s="281">
        <f t="shared" si="583"/>
        <v>0.74708171206225682</v>
      </c>
      <c r="E85" s="281">
        <f t="shared" si="584"/>
        <v>0.10410048543426609</v>
      </c>
      <c r="F85" s="283">
        <f t="shared" si="585"/>
        <v>0.8230355693692285</v>
      </c>
      <c r="G85" s="283">
        <f t="shared" si="586"/>
        <v>0.87640867648140408</v>
      </c>
      <c r="H85" s="283">
        <f t="shared" si="587"/>
        <v>0.68932207548035695</v>
      </c>
      <c r="I85" s="485">
        <f t="shared" si="588"/>
        <v>0.79904474016536953</v>
      </c>
      <c r="J85" s="490"/>
      <c r="K85" s="487">
        <f t="shared" si="589"/>
        <v>0.91503267973856206</v>
      </c>
      <c r="L85" s="281">
        <f t="shared" si="590"/>
        <v>0.92708333333333326</v>
      </c>
      <c r="M85" s="281">
        <f t="shared" si="591"/>
        <v>-1.2050653594771199E-2</v>
      </c>
      <c r="N85" s="283">
        <f t="shared" si="592"/>
        <v>0.89006848545079742</v>
      </c>
      <c r="O85" s="283">
        <f t="shared" si="593"/>
        <v>0.93589284211440738</v>
      </c>
      <c r="P85" s="283">
        <f t="shared" si="594"/>
        <v>0.88068392971575427</v>
      </c>
      <c r="Q85" s="283">
        <f t="shared" si="595"/>
        <v>0.9595644420450723</v>
      </c>
      <c r="R85" s="382">
        <f t="shared" si="596"/>
        <v>0.10410048543426609</v>
      </c>
      <c r="S85" s="382">
        <f t="shared" si="597"/>
        <v>6.0999999999999999E-2</v>
      </c>
    </row>
    <row r="86" spans="2:20">
      <c r="B86" s="283">
        <f t="shared" si="581"/>
        <v>2014</v>
      </c>
      <c r="C86" s="281">
        <f t="shared" si="582"/>
        <v>0.74044875682231659</v>
      </c>
      <c r="D86" s="281">
        <f t="shared" si="583"/>
        <v>0.71149144254278729</v>
      </c>
      <c r="E86" s="281">
        <f t="shared" si="584"/>
        <v>2.89573142795293E-2</v>
      </c>
      <c r="F86" s="283">
        <f t="shared" si="585"/>
        <v>0.71857039545168733</v>
      </c>
      <c r="G86" s="283">
        <f t="shared" si="586"/>
        <v>0.76146788044609082</v>
      </c>
      <c r="H86" s="283">
        <f t="shared" si="587"/>
        <v>0.66493793809857271</v>
      </c>
      <c r="I86" s="485">
        <f t="shared" si="588"/>
        <v>0.7549538924374225</v>
      </c>
      <c r="J86" s="490"/>
      <c r="K86" s="487">
        <f t="shared" si="589"/>
        <v>0.95741195741195739</v>
      </c>
      <c r="L86" s="281">
        <f t="shared" si="590"/>
        <v>0.94845360824742264</v>
      </c>
      <c r="M86" s="281">
        <f t="shared" si="591"/>
        <v>8.9583491645347513E-3</v>
      </c>
      <c r="N86" s="283">
        <f t="shared" si="592"/>
        <v>0.94452393642636745</v>
      </c>
      <c r="O86" s="283">
        <f t="shared" si="593"/>
        <v>0.96803245691875828</v>
      </c>
      <c r="P86" s="283">
        <f t="shared" si="594"/>
        <v>0.91640632451590787</v>
      </c>
      <c r="Q86" s="283">
        <f t="shared" si="595"/>
        <v>0.97086637481144533</v>
      </c>
      <c r="R86" s="382">
        <f t="shared" si="596"/>
        <v>2.89573142795293E-2</v>
      </c>
      <c r="S86" s="382">
        <f t="shared" si="597"/>
        <v>0.11899999999999999</v>
      </c>
    </row>
    <row r="87" spans="2:20">
      <c r="B87" s="283">
        <f t="shared" si="581"/>
        <v>2015</v>
      </c>
      <c r="C87" s="281">
        <f t="shared" si="582"/>
        <v>0.92398190045248874</v>
      </c>
      <c r="D87" s="281">
        <f t="shared" si="583"/>
        <v>0.69161676646706582</v>
      </c>
      <c r="E87" s="281">
        <f t="shared" si="584"/>
        <v>0.23236513398542291</v>
      </c>
      <c r="F87" s="283">
        <f t="shared" si="585"/>
        <v>0.91213442329291061</v>
      </c>
      <c r="G87" s="283">
        <f t="shared" si="586"/>
        <v>0.9346897802454045</v>
      </c>
      <c r="H87" s="283">
        <f t="shared" si="587"/>
        <v>0.65505563482489237</v>
      </c>
      <c r="I87" s="485">
        <f t="shared" si="588"/>
        <v>0.72647460026746558</v>
      </c>
      <c r="J87" s="490"/>
      <c r="K87" s="487">
        <f t="shared" si="589"/>
        <v>0.85063663075416251</v>
      </c>
      <c r="L87" s="281">
        <f t="shared" si="590"/>
        <v>0.88744588744588748</v>
      </c>
      <c r="M87" s="281">
        <f t="shared" si="591"/>
        <v>-3.6809256691724968E-2</v>
      </c>
      <c r="N87" s="283">
        <f t="shared" si="592"/>
        <v>0.83442937817945073</v>
      </c>
      <c r="O87" s="283">
        <f t="shared" si="593"/>
        <v>0.86582991976878909</v>
      </c>
      <c r="P87" s="283">
        <f t="shared" si="594"/>
        <v>0.85502898247580084</v>
      </c>
      <c r="Q87" s="283">
        <f t="shared" si="595"/>
        <v>0.91478806285899816</v>
      </c>
      <c r="R87" s="382">
        <f t="shared" si="596"/>
        <v>0.23236513398542291</v>
      </c>
      <c r="S87" s="382">
        <f t="shared" si="597"/>
        <v>0.124</v>
      </c>
      <c r="T87">
        <v>2015</v>
      </c>
    </row>
    <row r="88" spans="2:20">
      <c r="B88" s="283">
        <f t="shared" si="581"/>
        <v>2016</v>
      </c>
      <c r="C88" s="281">
        <f t="shared" si="582"/>
        <v>0.78215223097112863</v>
      </c>
      <c r="D88" s="281">
        <f t="shared" si="583"/>
        <v>0.79584775086505188</v>
      </c>
      <c r="E88" s="281">
        <f t="shared" si="584"/>
        <v>-1.3695519893923258E-2</v>
      </c>
      <c r="F88" s="283">
        <f t="shared" si="585"/>
        <v>0.75707394055434341</v>
      </c>
      <c r="G88" s="283">
        <f t="shared" si="586"/>
        <v>0.80576913359745139</v>
      </c>
      <c r="H88" s="283">
        <f t="shared" si="587"/>
        <v>0.74471098753991705</v>
      </c>
      <c r="I88" s="485">
        <f t="shared" si="588"/>
        <v>0.84080390786648296</v>
      </c>
      <c r="J88" s="490"/>
      <c r="K88" s="487">
        <f t="shared" si="589"/>
        <v>0.93512304250559286</v>
      </c>
      <c r="L88" s="281">
        <f t="shared" si="590"/>
        <v>0.92608695652173911</v>
      </c>
      <c r="M88" s="281">
        <f t="shared" si="591"/>
        <v>9.0360859838537477E-3</v>
      </c>
      <c r="N88" s="283">
        <f t="shared" si="592"/>
        <v>0.91693553713324527</v>
      </c>
      <c r="O88" s="283">
        <f t="shared" si="593"/>
        <v>0.95037120100762118</v>
      </c>
      <c r="P88" s="283">
        <f t="shared" si="594"/>
        <v>0.884294284358772</v>
      </c>
      <c r="Q88" s="283">
        <f t="shared" si="595"/>
        <v>0.9563555437786686</v>
      </c>
      <c r="R88" s="382">
        <f t="shared" si="596"/>
        <v>-1.3695519893923258E-2</v>
      </c>
      <c r="S88" s="382">
        <f t="shared" si="597"/>
        <v>9.9000000000000005E-2</v>
      </c>
    </row>
    <row r="89" spans="2:20">
      <c r="B89" s="283">
        <v>2017</v>
      </c>
      <c r="C89" s="281">
        <f t="shared" si="582"/>
        <v>0.75100401606425704</v>
      </c>
      <c r="D89" s="281">
        <f t="shared" si="583"/>
        <v>0.80733944954128445</v>
      </c>
      <c r="E89" s="281">
        <f t="shared" ref="E89:E91" si="598">C89-D89</f>
        <v>-5.6335433477027408E-2</v>
      </c>
      <c r="F89" s="283">
        <f t="shared" si="585"/>
        <v>0.71837006051630126</v>
      </c>
      <c r="G89" s="283">
        <f t="shared" si="586"/>
        <v>0.78164175252409607</v>
      </c>
      <c r="H89" s="283">
        <f t="shared" si="587"/>
        <v>0.74863657956968899</v>
      </c>
      <c r="I89" s="485">
        <f t="shared" si="588"/>
        <v>0.85747767029404043</v>
      </c>
      <c r="J89" s="490"/>
      <c r="K89" s="487">
        <f t="shared" si="589"/>
        <v>0.94117647058823528</v>
      </c>
      <c r="L89" s="281">
        <f t="shared" si="590"/>
        <v>0.90909090909090906</v>
      </c>
      <c r="M89" s="281">
        <f t="shared" ref="M89:M91" si="599">K89-L89</f>
        <v>3.208556149732622E-2</v>
      </c>
      <c r="N89" s="283">
        <f t="shared" si="592"/>
        <v>0.91837858408351392</v>
      </c>
      <c r="O89" s="283">
        <f t="shared" si="593"/>
        <v>0.95916634128377676</v>
      </c>
      <c r="P89" s="283">
        <f t="shared" si="594"/>
        <v>0.85656792594103726</v>
      </c>
      <c r="Q89" s="283">
        <f t="shared" si="595"/>
        <v>0.94714172627322746</v>
      </c>
      <c r="R89" s="382">
        <f t="shared" ref="R89:R94" si="600">E25-E55</f>
        <v>-5.6335433477027408E-2</v>
      </c>
      <c r="S89" s="382">
        <f t="shared" si="597"/>
        <v>7.4999999999999997E-2</v>
      </c>
    </row>
    <row r="90" spans="2:20">
      <c r="B90" s="283">
        <f>A26</f>
        <v>2018</v>
      </c>
      <c r="C90" s="281">
        <f t="shared" si="582"/>
        <v>0.7371428571428571</v>
      </c>
      <c r="D90" s="281">
        <f t="shared" si="583"/>
        <v>0.70175438596491224</v>
      </c>
      <c r="E90" s="281">
        <f t="shared" si="598"/>
        <v>3.5388471177944858E-2</v>
      </c>
      <c r="F90" s="283">
        <f t="shared" si="585"/>
        <v>0.69726867796336789</v>
      </c>
      <c r="G90" s="283">
        <f t="shared" si="586"/>
        <v>0.77432329301069236</v>
      </c>
      <c r="H90" s="283">
        <f t="shared" si="587"/>
        <v>0.6378212043708883</v>
      </c>
      <c r="I90" s="485">
        <f t="shared" si="588"/>
        <v>0.76035407672534183</v>
      </c>
      <c r="J90" s="490"/>
      <c r="K90" s="487">
        <f t="shared" si="589"/>
        <v>0.90439276485788112</v>
      </c>
      <c r="L90" s="281">
        <f t="shared" si="590"/>
        <v>0.93125000000000013</v>
      </c>
      <c r="M90" s="281">
        <f t="shared" si="599"/>
        <v>-2.6857235142119018E-2</v>
      </c>
      <c r="N90" s="283">
        <f t="shared" si="592"/>
        <v>0.87062880727920944</v>
      </c>
      <c r="O90" s="283">
        <f t="shared" si="593"/>
        <v>0.93178803364622376</v>
      </c>
      <c r="P90" s="283">
        <f t="shared" si="594"/>
        <v>0.88031818793555627</v>
      </c>
      <c r="Q90" s="283">
        <f t="shared" si="595"/>
        <v>0.96518296542913595</v>
      </c>
      <c r="R90" s="382">
        <f t="shared" si="600"/>
        <v>3.5388471177944858E-2</v>
      </c>
      <c r="S90" s="382">
        <f t="shared" si="597"/>
        <v>0.10199999999999999</v>
      </c>
    </row>
    <row r="91" spans="2:20">
      <c r="B91" s="283">
        <f>A27</f>
        <v>2019</v>
      </c>
      <c r="C91" s="281">
        <f t="shared" si="582"/>
        <v>0.77546296296296291</v>
      </c>
      <c r="D91" s="281">
        <f t="shared" si="583"/>
        <v>0.82051282051282048</v>
      </c>
      <c r="E91" s="281">
        <f t="shared" si="598"/>
        <v>-4.5049857549857575E-2</v>
      </c>
      <c r="F91" s="283">
        <f t="shared" si="585"/>
        <v>0.73313910102076296</v>
      </c>
      <c r="G91" s="283">
        <f t="shared" si="586"/>
        <v>0.81396704392488017</v>
      </c>
      <c r="H91" s="283">
        <f t="shared" si="587"/>
        <v>0.73313910102076296</v>
      </c>
      <c r="I91" s="485">
        <f t="shared" si="588"/>
        <v>0.81396704392488017</v>
      </c>
      <c r="J91" s="490"/>
      <c r="K91" s="487">
        <f t="shared" si="589"/>
        <v>0.91641791044776122</v>
      </c>
      <c r="L91" s="281">
        <f t="shared" si="590"/>
        <v>0.921875</v>
      </c>
      <c r="M91" s="281">
        <f t="shared" si="599"/>
        <v>-5.4570895522387808E-3</v>
      </c>
      <c r="N91" s="283">
        <f t="shared" ref="N91:N95" si="601">AJ27</f>
        <v>0.88146619931267778</v>
      </c>
      <c r="O91" s="283">
        <f t="shared" ref="O91:O95" si="602">AK27</f>
        <v>0.94374256595041439</v>
      </c>
      <c r="P91" s="283">
        <f t="shared" si="594"/>
        <v>0.88146619931267778</v>
      </c>
      <c r="Q91" s="283">
        <f t="shared" si="595"/>
        <v>0.94374256595041439</v>
      </c>
      <c r="R91" s="382">
        <f t="shared" si="600"/>
        <v>-4.5049857549857575E-2</v>
      </c>
      <c r="S91" s="382">
        <f t="shared" si="597"/>
        <v>6.6000000000000003E-2</v>
      </c>
    </row>
    <row r="92" spans="2:20">
      <c r="B92" s="283">
        <f>A28</f>
        <v>2020</v>
      </c>
      <c r="C92" s="281">
        <f t="shared" si="582"/>
        <v>0.84242424242424241</v>
      </c>
      <c r="D92" s="281">
        <f t="shared" si="583"/>
        <v>0.75496688741721851</v>
      </c>
      <c r="E92" s="281">
        <f t="shared" ref="E92:E95" si="603">C92-D92</f>
        <v>8.7457355007023896E-2</v>
      </c>
      <c r="F92" s="283">
        <f t="shared" ref="F92:F95" si="604">AC28</f>
        <v>0.79854929281533438</v>
      </c>
      <c r="G92" s="283">
        <f t="shared" ref="G92:G95" si="605">AD28</f>
        <v>0.88002055581849603</v>
      </c>
      <c r="H92" s="283">
        <f t="shared" ref="H92:H95" si="606">AC58</f>
        <v>0.79854929281533438</v>
      </c>
      <c r="I92" s="485">
        <f t="shared" ref="I92:I95" si="607">AD58</f>
        <v>0.88002055581849603</v>
      </c>
      <c r="J92" s="490"/>
      <c r="K92" s="487">
        <f t="shared" ref="K92:K95" si="608">F28</f>
        <v>0.9532374100719424</v>
      </c>
      <c r="L92" s="281">
        <f t="shared" ref="L92:L95" si="609">F58</f>
        <v>0.92982456140350889</v>
      </c>
      <c r="M92" s="281">
        <f t="shared" ref="M92:M95" si="610">K92-L92</f>
        <v>2.3412848668433517E-2</v>
      </c>
      <c r="N92" s="283">
        <f t="shared" si="601"/>
        <v>0.92136195064858351</v>
      </c>
      <c r="O92" s="283">
        <f t="shared" si="602"/>
        <v>0.97486921640629576</v>
      </c>
      <c r="P92" s="283">
        <f t="shared" ref="P92:Q92" si="611">AJ58</f>
        <v>0.92136195064858351</v>
      </c>
      <c r="Q92" s="283">
        <f t="shared" si="611"/>
        <v>0.97486921640629576</v>
      </c>
      <c r="R92" s="382">
        <f t="shared" si="600"/>
        <v>8.7457355007023896E-2</v>
      </c>
      <c r="S92" s="382">
        <f t="shared" si="597"/>
        <v>5.8999999999999997E-2</v>
      </c>
    </row>
    <row r="93" spans="2:20">
      <c r="B93" s="283">
        <f t="shared" ref="B93:B95" si="612">A29</f>
        <v>2021</v>
      </c>
      <c r="C93" s="281">
        <f t="shared" si="582"/>
        <v>0.80622009569377995</v>
      </c>
      <c r="D93" s="281">
        <f t="shared" si="583"/>
        <v>0.81395348837209303</v>
      </c>
      <c r="E93" s="281">
        <f t="shared" si="603"/>
        <v>-7.733392678313078E-3</v>
      </c>
      <c r="F93" s="283">
        <f t="shared" si="604"/>
        <v>0.76501536398482839</v>
      </c>
      <c r="G93" s="283">
        <f t="shared" si="605"/>
        <v>0.84302522857036766</v>
      </c>
      <c r="H93" s="283">
        <f t="shared" si="606"/>
        <v>0.76501536398482839</v>
      </c>
      <c r="I93" s="485">
        <f t="shared" si="607"/>
        <v>0.84302522857036766</v>
      </c>
      <c r="J93" s="490"/>
      <c r="K93" s="487">
        <f t="shared" si="608"/>
        <v>0.95548961424332346</v>
      </c>
      <c r="L93" s="281">
        <f t="shared" si="609"/>
        <v>0.94285714285714284</v>
      </c>
      <c r="M93" s="281">
        <f t="shared" si="610"/>
        <v>1.2632471386180621E-2</v>
      </c>
      <c r="N93" s="283">
        <f t="shared" si="601"/>
        <v>0.92764870105191255</v>
      </c>
      <c r="O93" s="283">
        <f t="shared" si="602"/>
        <v>0.97487707841772298</v>
      </c>
      <c r="P93" s="283">
        <f t="shared" ref="P93:Q93" si="613">AJ59</f>
        <v>0.92764870105191255</v>
      </c>
      <c r="Q93" s="283">
        <f t="shared" si="613"/>
        <v>0.97487707841772298</v>
      </c>
      <c r="R93" s="382">
        <f t="shared" si="600"/>
        <v>-7.733392678313078E-3</v>
      </c>
      <c r="S93" s="382">
        <f t="shared" si="597"/>
        <v>6.3E-2</v>
      </c>
    </row>
    <row r="94" spans="2:20">
      <c r="B94" s="283">
        <f t="shared" si="612"/>
        <v>2022</v>
      </c>
      <c r="C94" s="281">
        <f t="shared" si="582"/>
        <v>0.79282407407407407</v>
      </c>
      <c r="D94" s="281">
        <f t="shared" si="583"/>
        <v>0.81746031746031744</v>
      </c>
      <c r="E94" s="281">
        <f t="shared" si="603"/>
        <v>-2.4636243386243373E-2</v>
      </c>
      <c r="F94" s="283">
        <f t="shared" si="604"/>
        <v>0.76424381327042668</v>
      </c>
      <c r="G94" s="283">
        <f t="shared" si="605"/>
        <v>0.81939078829168777</v>
      </c>
      <c r="H94" s="283">
        <f t="shared" si="606"/>
        <v>0.76424381327042668</v>
      </c>
      <c r="I94" s="485">
        <f t="shared" si="607"/>
        <v>0.81939078829168777</v>
      </c>
      <c r="J94" s="490"/>
      <c r="K94" s="487">
        <f t="shared" si="608"/>
        <v>0.94014598540145988</v>
      </c>
      <c r="L94" s="281">
        <f t="shared" si="609"/>
        <v>0.96116504854368934</v>
      </c>
      <c r="M94" s="281">
        <f t="shared" si="610"/>
        <v>-2.1019063142229455E-2</v>
      </c>
      <c r="N94" s="283">
        <f t="shared" si="601"/>
        <v>0.91967430327730226</v>
      </c>
      <c r="O94" s="283">
        <f t="shared" si="602"/>
        <v>0.95670902056488549</v>
      </c>
      <c r="P94" s="283">
        <f t="shared" ref="P94:Q94" si="614">AJ60</f>
        <v>0.91967430327730226</v>
      </c>
      <c r="Q94" s="283">
        <f t="shared" si="614"/>
        <v>0.95670902056488549</v>
      </c>
      <c r="R94" s="382">
        <f t="shared" si="600"/>
        <v>-2.4636243386243373E-2</v>
      </c>
      <c r="S94" s="382">
        <f t="shared" si="597"/>
        <v>0.10199999999999999</v>
      </c>
    </row>
    <row r="95" spans="2:20">
      <c r="B95" s="283">
        <f t="shared" si="612"/>
        <v>2023</v>
      </c>
      <c r="C95" s="281">
        <f t="shared" ref="C95" si="615">E31</f>
        <v>0.80709071949947864</v>
      </c>
      <c r="D95" s="281">
        <f t="shared" si="583"/>
        <v>0.82222222222222219</v>
      </c>
      <c r="E95" s="281">
        <f t="shared" si="603"/>
        <v>-1.5131502722743551E-2</v>
      </c>
      <c r="F95" s="283">
        <f t="shared" si="604"/>
        <v>0.78066811816570281</v>
      </c>
      <c r="G95" s="283">
        <f t="shared" si="605"/>
        <v>0.83161182576229542</v>
      </c>
      <c r="H95" s="283">
        <f t="shared" si="606"/>
        <v>0</v>
      </c>
      <c r="I95" s="485">
        <f t="shared" si="607"/>
        <v>0</v>
      </c>
      <c r="J95" s="490"/>
      <c r="K95" s="487">
        <f t="shared" si="608"/>
        <v>0.98320413436692511</v>
      </c>
      <c r="L95" s="281">
        <f t="shared" si="609"/>
        <v>0.89189189189189189</v>
      </c>
      <c r="M95" s="281">
        <f t="shared" si="610"/>
        <v>9.1312242475033223E-2</v>
      </c>
      <c r="N95" s="283">
        <f t="shared" si="601"/>
        <v>0.97144980705954098</v>
      </c>
      <c r="O95" s="283">
        <f t="shared" si="602"/>
        <v>0.99102737756811554</v>
      </c>
      <c r="P95" s="283">
        <f t="shared" ref="P95:Q95" si="616">AJ61</f>
        <v>0</v>
      </c>
      <c r="Q95" s="283">
        <f t="shared" si="616"/>
        <v>0</v>
      </c>
    </row>
    <row r="96" spans="2:20">
      <c r="B96" s="283"/>
      <c r="C96" s="281"/>
      <c r="D96" s="281"/>
      <c r="E96" s="281"/>
      <c r="F96" s="283"/>
      <c r="G96" s="283"/>
      <c r="H96" s="283"/>
      <c r="I96" s="485"/>
      <c r="J96" s="490"/>
      <c r="K96" s="487"/>
      <c r="L96" s="281"/>
      <c r="M96" s="281"/>
      <c r="N96" s="283"/>
      <c r="O96" s="283"/>
      <c r="P96" s="283"/>
      <c r="Q96" s="283"/>
      <c r="R96" s="382"/>
      <c r="S96" s="382"/>
    </row>
    <row r="97" spans="2:17">
      <c r="B97" s="283"/>
      <c r="C97" s="281"/>
      <c r="D97" s="281"/>
      <c r="E97" s="281"/>
      <c r="F97" s="283"/>
      <c r="G97" s="283"/>
      <c r="H97" s="283"/>
      <c r="I97" s="485"/>
      <c r="J97" s="490"/>
      <c r="K97" s="487"/>
      <c r="L97" s="281"/>
      <c r="M97" s="281"/>
      <c r="N97" s="283"/>
      <c r="O97" s="283"/>
      <c r="P97" s="283"/>
      <c r="Q97" s="283"/>
    </row>
    <row r="98" spans="2:17">
      <c r="B98" s="282" t="s">
        <v>223</v>
      </c>
      <c r="C98" s="281">
        <f>+AVERAGE(C80:C88)</f>
        <v>0.78878597409594076</v>
      </c>
      <c r="D98" s="281">
        <f>+AVERAGE(D80:D88)</f>
        <v>0.75650240011760728</v>
      </c>
      <c r="E98" s="281">
        <f t="shared" si="579"/>
        <v>3.228357397833348E-2</v>
      </c>
      <c r="F98" s="281"/>
      <c r="G98" s="283"/>
      <c r="H98" s="283"/>
      <c r="I98" s="485"/>
      <c r="J98" s="490"/>
      <c r="K98" s="487">
        <f>+AVERAGE(K80:K88)</f>
        <v>0.9264910546531715</v>
      </c>
      <c r="L98" s="281">
        <f>+AVERAGE(L80:L88)</f>
        <v>0.91573290175831135</v>
      </c>
      <c r="M98" s="281">
        <f t="shared" si="580"/>
        <v>1.0758152894860151E-2</v>
      </c>
      <c r="N98" s="283"/>
      <c r="O98" s="283"/>
      <c r="P98" s="283"/>
      <c r="Q98" s="283"/>
    </row>
    <row r="99" spans="2:17">
      <c r="B99" s="282" t="s">
        <v>226</v>
      </c>
      <c r="C99" s="281"/>
      <c r="D99" s="281"/>
      <c r="E99" s="283"/>
      <c r="F99" s="283"/>
      <c r="G99" s="283"/>
      <c r="H99" s="283"/>
      <c r="I99" s="485"/>
      <c r="J99" s="491"/>
      <c r="K99" s="488"/>
      <c r="L99" s="283"/>
      <c r="M99" s="283"/>
      <c r="N99" s="283"/>
      <c r="O99" s="283"/>
      <c r="P99" s="283"/>
      <c r="Q99" s="283"/>
    </row>
    <row r="100" spans="2:17">
      <c r="C100" s="382"/>
      <c r="D100" s="382"/>
    </row>
    <row r="101" spans="2:17">
      <c r="B101" s="382" t="s">
        <v>302</v>
      </c>
      <c r="C101" s="382">
        <f>AVERAGE(C75:C91)</f>
        <v>0.79946120753958172</v>
      </c>
      <c r="D101" s="382">
        <f>AVERAGE(D75:D91)</f>
        <v>0.77294886612916425</v>
      </c>
      <c r="J101" s="382" t="s">
        <v>302</v>
      </c>
      <c r="K101" s="382">
        <f>AVERAGE(K75:K91)</f>
        <v>0.9328912652764012</v>
      </c>
      <c r="L101" s="382">
        <f>AVERAGE(L75:L91)</f>
        <v>0.92262589067170708</v>
      </c>
    </row>
    <row r="102" spans="2:17">
      <c r="C102" s="382"/>
      <c r="D102" s="382"/>
    </row>
    <row r="103" spans="2:17">
      <c r="B103" t="s">
        <v>303</v>
      </c>
      <c r="C103" s="382">
        <f>AVERAGE(C75:C86,C88:C97)</f>
        <v>0.79577088797059869</v>
      </c>
      <c r="D103" s="382">
        <f>AVERAGE(D75:D86,D88:D97)</f>
        <v>0.78285584366002892</v>
      </c>
      <c r="J103" t="s">
        <v>303</v>
      </c>
      <c r="K103" s="382">
        <f>AVERAGE(K75:K86,K88:K97)</f>
        <v>0.94202960115141554</v>
      </c>
      <c r="L103" s="382">
        <f>AVERAGE(L75:L86,L88:L97)</f>
        <v>0.92614664493346821</v>
      </c>
    </row>
    <row r="104" spans="2:17">
      <c r="C104" s="382"/>
      <c r="D104" s="382"/>
    </row>
    <row r="105" spans="2:17">
      <c r="C105" s="382"/>
      <c r="D105" s="382"/>
    </row>
    <row r="106" spans="2:17">
      <c r="C106" s="382"/>
      <c r="D106" s="382"/>
    </row>
    <row r="107" spans="2:17">
      <c r="C107" s="382"/>
      <c r="D107" s="382"/>
    </row>
    <row r="111" spans="2:17">
      <c r="B111" t="s">
        <v>305</v>
      </c>
      <c r="D111" t="s">
        <v>319</v>
      </c>
    </row>
    <row r="113" spans="2:16">
      <c r="B113" t="s">
        <v>306</v>
      </c>
    </row>
    <row r="114" spans="2:16" ht="14.4">
      <c r="B114" s="592" t="s">
        <v>307</v>
      </c>
      <c r="C114" s="592" t="s">
        <v>308</v>
      </c>
      <c r="D114" s="592" t="s">
        <v>230</v>
      </c>
      <c r="E114" s="592" t="s">
        <v>231</v>
      </c>
      <c r="F114" s="592" t="s">
        <v>232</v>
      </c>
      <c r="G114" s="592" t="s">
        <v>309</v>
      </c>
      <c r="H114" s="592" t="s">
        <v>233</v>
      </c>
      <c r="I114" s="592" t="s">
        <v>310</v>
      </c>
      <c r="J114" s="592" t="s">
        <v>234</v>
      </c>
      <c r="K114" s="592" t="s">
        <v>311</v>
      </c>
      <c r="L114" s="592" t="s">
        <v>312</v>
      </c>
      <c r="M114" s="592" t="s">
        <v>313</v>
      </c>
      <c r="N114" s="592" t="s">
        <v>314</v>
      </c>
      <c r="O114" s="592" t="s">
        <v>315</v>
      </c>
      <c r="P114" s="592" t="s">
        <v>316</v>
      </c>
    </row>
    <row r="115" spans="2:16" ht="28.8">
      <c r="B115" s="593" t="s">
        <v>317</v>
      </c>
      <c r="C115" s="593" t="s">
        <v>318</v>
      </c>
      <c r="D115" s="594">
        <v>2008</v>
      </c>
      <c r="E115" s="594">
        <v>1128</v>
      </c>
      <c r="F115" s="594">
        <v>0</v>
      </c>
      <c r="G115" s="594">
        <v>0</v>
      </c>
      <c r="H115" s="594">
        <v>828</v>
      </c>
      <c r="I115" s="594">
        <v>716</v>
      </c>
      <c r="J115" s="594">
        <v>0</v>
      </c>
      <c r="K115" s="594">
        <v>0</v>
      </c>
      <c r="L115" s="594">
        <v>796</v>
      </c>
      <c r="M115" s="594">
        <v>0</v>
      </c>
      <c r="N115" s="594">
        <v>0</v>
      </c>
      <c r="O115" s="594">
        <v>0</v>
      </c>
      <c r="P115" s="594">
        <v>0</v>
      </c>
    </row>
    <row r="116" spans="2:16" ht="28.8">
      <c r="B116" s="593" t="s">
        <v>317</v>
      </c>
      <c r="C116" s="593" t="s">
        <v>318</v>
      </c>
      <c r="D116" s="594">
        <v>2009</v>
      </c>
      <c r="E116" s="594">
        <v>1316</v>
      </c>
      <c r="F116" s="594">
        <v>0</v>
      </c>
      <c r="G116" s="594">
        <v>0</v>
      </c>
      <c r="H116" s="594">
        <v>1052</v>
      </c>
      <c r="I116" s="594">
        <v>1005</v>
      </c>
      <c r="J116" s="594">
        <v>0</v>
      </c>
      <c r="K116" s="594">
        <v>0</v>
      </c>
      <c r="L116" s="594">
        <v>1000</v>
      </c>
      <c r="M116" s="594">
        <v>0</v>
      </c>
      <c r="N116" s="594">
        <v>0</v>
      </c>
      <c r="O116" s="594">
        <v>0</v>
      </c>
      <c r="P116" s="594">
        <v>0</v>
      </c>
    </row>
    <row r="117" spans="2:16" ht="28.8">
      <c r="B117" s="593" t="s">
        <v>317</v>
      </c>
      <c r="C117" s="593" t="s">
        <v>318</v>
      </c>
      <c r="D117" s="594">
        <v>2010</v>
      </c>
      <c r="E117" s="594">
        <v>2380</v>
      </c>
      <c r="F117" s="594">
        <v>0</v>
      </c>
      <c r="G117" s="594">
        <v>0</v>
      </c>
      <c r="H117" s="594">
        <v>1881</v>
      </c>
      <c r="I117" s="594">
        <v>1573</v>
      </c>
      <c r="J117" s="594">
        <v>0</v>
      </c>
      <c r="K117" s="594">
        <v>0</v>
      </c>
      <c r="L117" s="594">
        <v>1776</v>
      </c>
      <c r="M117" s="594">
        <v>2</v>
      </c>
      <c r="N117" s="594">
        <v>2</v>
      </c>
      <c r="O117" s="594">
        <v>2</v>
      </c>
      <c r="P117" s="594">
        <v>1</v>
      </c>
    </row>
    <row r="118" spans="2:16" ht="28.8">
      <c r="B118" s="593" t="s">
        <v>317</v>
      </c>
      <c r="C118" s="593" t="s">
        <v>318</v>
      </c>
      <c r="D118" s="594">
        <v>2011</v>
      </c>
      <c r="E118" s="594">
        <v>1800</v>
      </c>
      <c r="F118" s="594">
        <v>0</v>
      </c>
      <c r="G118" s="594">
        <v>0</v>
      </c>
      <c r="H118" s="594">
        <v>1302</v>
      </c>
      <c r="I118" s="594">
        <v>1135</v>
      </c>
      <c r="J118" s="594">
        <v>0</v>
      </c>
      <c r="K118" s="594">
        <v>0</v>
      </c>
      <c r="L118" s="594">
        <v>1212</v>
      </c>
      <c r="M118" s="594">
        <v>1</v>
      </c>
      <c r="N118" s="594">
        <v>1</v>
      </c>
      <c r="O118" s="594">
        <v>1</v>
      </c>
      <c r="P118" s="594">
        <v>1</v>
      </c>
    </row>
    <row r="119" spans="2:16" ht="28.8">
      <c r="B119" s="593" t="s">
        <v>317</v>
      </c>
      <c r="C119" s="593" t="s">
        <v>318</v>
      </c>
      <c r="D119" s="594">
        <v>2012</v>
      </c>
      <c r="E119" s="594">
        <v>1630</v>
      </c>
      <c r="F119" s="594">
        <v>0</v>
      </c>
      <c r="G119" s="594">
        <v>0</v>
      </c>
      <c r="H119" s="594">
        <v>1315</v>
      </c>
      <c r="I119" s="594">
        <v>1215</v>
      </c>
      <c r="J119" s="594">
        <v>0</v>
      </c>
      <c r="K119" s="594">
        <v>0</v>
      </c>
      <c r="L119" s="594">
        <v>1217</v>
      </c>
      <c r="M119" s="594">
        <v>0</v>
      </c>
      <c r="N119" s="594">
        <v>0</v>
      </c>
      <c r="O119" s="594">
        <v>0</v>
      </c>
      <c r="P119" s="594">
        <v>0</v>
      </c>
    </row>
    <row r="120" spans="2:16" ht="28.8">
      <c r="B120" s="593" t="s">
        <v>317</v>
      </c>
      <c r="C120" s="593" t="s">
        <v>318</v>
      </c>
      <c r="D120" s="594">
        <v>2013</v>
      </c>
      <c r="E120" s="594">
        <v>757</v>
      </c>
      <c r="F120" s="594">
        <v>689</v>
      </c>
      <c r="G120" s="594">
        <v>0</v>
      </c>
      <c r="H120" s="594">
        <v>646</v>
      </c>
      <c r="I120" s="594">
        <v>552</v>
      </c>
      <c r="J120" s="594">
        <v>0</v>
      </c>
      <c r="K120" s="594">
        <v>0</v>
      </c>
      <c r="L120" s="594">
        <v>595</v>
      </c>
      <c r="M120" s="594">
        <v>0</v>
      </c>
      <c r="N120" s="594">
        <v>0</v>
      </c>
      <c r="O120" s="594">
        <v>0</v>
      </c>
      <c r="P120" s="594">
        <v>0</v>
      </c>
    </row>
    <row r="121" spans="2:16" ht="28.8">
      <c r="B121" s="593" t="s">
        <v>317</v>
      </c>
      <c r="C121" s="593" t="s">
        <v>318</v>
      </c>
      <c r="D121" s="594">
        <v>2014</v>
      </c>
      <c r="E121" s="594">
        <v>1566</v>
      </c>
      <c r="F121" s="594">
        <v>1307</v>
      </c>
      <c r="G121" s="594">
        <v>0</v>
      </c>
      <c r="H121" s="594">
        <v>1163</v>
      </c>
      <c r="I121" s="594">
        <v>1047</v>
      </c>
      <c r="J121" s="594">
        <v>1145</v>
      </c>
      <c r="K121" s="594">
        <v>1126</v>
      </c>
      <c r="L121" s="594">
        <v>1115</v>
      </c>
      <c r="M121" s="594">
        <v>1</v>
      </c>
      <c r="N121" s="594">
        <v>0</v>
      </c>
      <c r="O121" s="594">
        <v>0</v>
      </c>
      <c r="P121" s="594">
        <v>0</v>
      </c>
    </row>
    <row r="122" spans="2:16" ht="28.8">
      <c r="B122" s="593" t="s">
        <v>317</v>
      </c>
      <c r="C122" s="593" t="s">
        <v>318</v>
      </c>
      <c r="D122" s="594">
        <v>2015</v>
      </c>
      <c r="E122" s="594">
        <v>2076</v>
      </c>
      <c r="F122" s="594">
        <v>1818</v>
      </c>
      <c r="G122" s="594">
        <v>0</v>
      </c>
      <c r="H122" s="594">
        <v>1576</v>
      </c>
      <c r="I122" s="594">
        <v>1469</v>
      </c>
      <c r="J122" s="594">
        <v>1520</v>
      </c>
      <c r="K122" s="594">
        <v>1436</v>
      </c>
      <c r="L122" s="594">
        <v>1444</v>
      </c>
      <c r="M122" s="594">
        <v>3</v>
      </c>
      <c r="N122" s="594">
        <v>3</v>
      </c>
      <c r="O122" s="594">
        <v>2</v>
      </c>
      <c r="P122" s="594">
        <v>2</v>
      </c>
    </row>
    <row r="123" spans="2:16" ht="28.8">
      <c r="B123" s="593" t="s">
        <v>317</v>
      </c>
      <c r="C123" s="593" t="s">
        <v>318</v>
      </c>
      <c r="D123" s="594">
        <v>2016</v>
      </c>
      <c r="E123" s="594">
        <v>881</v>
      </c>
      <c r="F123" s="594">
        <v>751</v>
      </c>
      <c r="G123" s="594">
        <v>0</v>
      </c>
      <c r="H123" s="594">
        <v>679</v>
      </c>
      <c r="I123" s="594">
        <v>628</v>
      </c>
      <c r="J123" s="594">
        <v>651</v>
      </c>
      <c r="K123" s="594">
        <v>640</v>
      </c>
      <c r="L123" s="594">
        <v>632</v>
      </c>
      <c r="M123" s="594">
        <v>2</v>
      </c>
      <c r="N123" s="594">
        <v>2</v>
      </c>
      <c r="O123" s="594">
        <v>2</v>
      </c>
      <c r="P123" s="594">
        <v>1</v>
      </c>
    </row>
    <row r="124" spans="2:16" ht="28.8">
      <c r="B124" s="593" t="s">
        <v>317</v>
      </c>
      <c r="C124" s="593" t="s">
        <v>318</v>
      </c>
      <c r="D124" s="594">
        <v>2017</v>
      </c>
      <c r="E124" s="594">
        <v>487</v>
      </c>
      <c r="F124" s="594">
        <v>381</v>
      </c>
      <c r="G124" s="594">
        <v>0</v>
      </c>
      <c r="H124" s="594">
        <v>353</v>
      </c>
      <c r="I124" s="594">
        <v>336</v>
      </c>
      <c r="J124" s="594">
        <v>349</v>
      </c>
      <c r="K124" s="594">
        <v>341</v>
      </c>
      <c r="L124" s="594">
        <v>331</v>
      </c>
      <c r="M124" s="594">
        <v>0</v>
      </c>
      <c r="N124" s="594">
        <v>0</v>
      </c>
      <c r="O124" s="594">
        <v>0</v>
      </c>
      <c r="P124" s="594">
        <v>0</v>
      </c>
    </row>
    <row r="125" spans="2:16" ht="28.8">
      <c r="B125" s="593" t="s">
        <v>317</v>
      </c>
      <c r="C125" s="593" t="s">
        <v>318</v>
      </c>
      <c r="D125" s="594">
        <v>2018</v>
      </c>
      <c r="E125" s="594">
        <v>529</v>
      </c>
      <c r="F125" s="594">
        <v>430</v>
      </c>
      <c r="G125" s="594">
        <v>401</v>
      </c>
      <c r="H125" s="594">
        <v>390</v>
      </c>
      <c r="I125" s="594">
        <v>362</v>
      </c>
      <c r="J125" s="594">
        <v>380</v>
      </c>
      <c r="K125" s="594">
        <v>361</v>
      </c>
      <c r="L125" s="594">
        <v>352</v>
      </c>
      <c r="M125" s="594">
        <v>0</v>
      </c>
      <c r="N125" s="594">
        <v>0</v>
      </c>
      <c r="O125" s="594">
        <v>0</v>
      </c>
      <c r="P125" s="594">
        <v>0</v>
      </c>
    </row>
    <row r="126" spans="2:16" ht="28.8">
      <c r="B126" s="593" t="s">
        <v>317</v>
      </c>
      <c r="C126" s="593" t="s">
        <v>318</v>
      </c>
      <c r="D126" s="594">
        <v>2019</v>
      </c>
      <c r="E126" s="594">
        <v>432</v>
      </c>
      <c r="F126" s="594">
        <v>361</v>
      </c>
      <c r="G126" s="594">
        <v>334</v>
      </c>
      <c r="H126" s="594">
        <v>335</v>
      </c>
      <c r="I126" s="594">
        <v>311</v>
      </c>
      <c r="J126" s="594">
        <v>329</v>
      </c>
      <c r="K126" s="594">
        <v>312</v>
      </c>
      <c r="L126" s="594">
        <v>307</v>
      </c>
      <c r="M126" s="594">
        <v>0</v>
      </c>
      <c r="N126" s="594">
        <v>0</v>
      </c>
      <c r="O126" s="594">
        <v>0</v>
      </c>
      <c r="P126" s="594">
        <v>0</v>
      </c>
    </row>
    <row r="127" spans="2:16" ht="28.8">
      <c r="B127" s="593" t="s">
        <v>317</v>
      </c>
      <c r="C127" s="593" t="s">
        <v>318</v>
      </c>
      <c r="D127" s="594">
        <v>2020</v>
      </c>
      <c r="E127" s="594">
        <v>330</v>
      </c>
      <c r="F127" s="594">
        <v>293</v>
      </c>
      <c r="G127" s="594">
        <v>281</v>
      </c>
      <c r="H127" s="594">
        <v>278</v>
      </c>
      <c r="I127" s="594">
        <v>261</v>
      </c>
      <c r="J127" s="594">
        <v>272</v>
      </c>
      <c r="K127" s="594">
        <v>266</v>
      </c>
      <c r="L127" s="594">
        <v>265</v>
      </c>
      <c r="M127" s="594">
        <v>0</v>
      </c>
      <c r="N127" s="594">
        <v>0</v>
      </c>
      <c r="O127" s="594">
        <v>0</v>
      </c>
      <c r="P127" s="594">
        <v>0</v>
      </c>
    </row>
    <row r="128" spans="2:16" ht="28.8">
      <c r="B128" s="593" t="s">
        <v>317</v>
      </c>
      <c r="C128" s="593" t="s">
        <v>318</v>
      </c>
      <c r="D128" s="594">
        <v>2021</v>
      </c>
      <c r="E128" s="594">
        <v>418</v>
      </c>
      <c r="F128" s="594">
        <v>365</v>
      </c>
      <c r="G128" s="594">
        <v>343</v>
      </c>
      <c r="H128" s="594">
        <v>337</v>
      </c>
      <c r="I128" s="594">
        <v>317</v>
      </c>
      <c r="J128" s="594">
        <v>335</v>
      </c>
      <c r="K128" s="594">
        <v>325</v>
      </c>
      <c r="L128" s="594">
        <v>322</v>
      </c>
      <c r="M128" s="594">
        <v>0</v>
      </c>
      <c r="N128" s="594">
        <v>0</v>
      </c>
      <c r="O128" s="594">
        <v>0</v>
      </c>
      <c r="P128" s="594">
        <v>0</v>
      </c>
    </row>
    <row r="129" spans="2:16" ht="28.8">
      <c r="B129" s="593" t="s">
        <v>317</v>
      </c>
      <c r="C129" s="593" t="s">
        <v>318</v>
      </c>
      <c r="D129" s="594">
        <v>2022</v>
      </c>
      <c r="E129" s="594">
        <v>864</v>
      </c>
      <c r="F129" s="594">
        <v>737</v>
      </c>
      <c r="G129" s="594">
        <v>695</v>
      </c>
      <c r="H129" s="594">
        <v>685</v>
      </c>
      <c r="I129" s="594">
        <v>667</v>
      </c>
      <c r="J129" s="594">
        <v>660</v>
      </c>
      <c r="K129" s="594">
        <v>647</v>
      </c>
      <c r="L129" s="594">
        <v>644</v>
      </c>
      <c r="M129" s="594">
        <v>0</v>
      </c>
      <c r="N129" s="594">
        <v>0</v>
      </c>
      <c r="O129" s="594">
        <v>0</v>
      </c>
      <c r="P129" s="594">
        <v>0</v>
      </c>
    </row>
    <row r="136" spans="2:16">
      <c r="B136" t="s">
        <v>281</v>
      </c>
    </row>
    <row r="138" spans="2:16" ht="14.4">
      <c r="B138" s="592" t="s">
        <v>307</v>
      </c>
      <c r="C138" s="592" t="s">
        <v>308</v>
      </c>
      <c r="D138" s="592" t="s">
        <v>230</v>
      </c>
      <c r="E138" s="592" t="s">
        <v>231</v>
      </c>
      <c r="F138" s="592" t="s">
        <v>232</v>
      </c>
      <c r="G138" s="592" t="s">
        <v>309</v>
      </c>
      <c r="H138" s="592" t="s">
        <v>233</v>
      </c>
      <c r="I138" s="592" t="s">
        <v>310</v>
      </c>
      <c r="J138" s="592" t="s">
        <v>234</v>
      </c>
      <c r="K138" s="592" t="s">
        <v>311</v>
      </c>
      <c r="L138" s="592" t="s">
        <v>312</v>
      </c>
      <c r="M138" s="592" t="s">
        <v>313</v>
      </c>
      <c r="N138" s="592" t="s">
        <v>314</v>
      </c>
      <c r="O138" s="592" t="s">
        <v>315</v>
      </c>
      <c r="P138" s="592" t="s">
        <v>316</v>
      </c>
    </row>
    <row r="139" spans="2:16" ht="28.8">
      <c r="B139" s="593" t="s">
        <v>317</v>
      </c>
      <c r="C139" s="593" t="s">
        <v>318</v>
      </c>
      <c r="D139" s="594">
        <v>2008</v>
      </c>
      <c r="E139" s="594">
        <v>855</v>
      </c>
      <c r="F139" s="594">
        <v>0</v>
      </c>
      <c r="G139" s="594">
        <v>0</v>
      </c>
      <c r="H139" s="594">
        <v>659</v>
      </c>
      <c r="I139" s="594">
        <v>637</v>
      </c>
      <c r="J139" s="594">
        <v>0</v>
      </c>
      <c r="K139" s="594">
        <v>0</v>
      </c>
      <c r="L139" s="594">
        <v>617</v>
      </c>
      <c r="M139" s="594">
        <v>1</v>
      </c>
      <c r="N139" s="594">
        <v>1</v>
      </c>
      <c r="O139" s="594">
        <v>1</v>
      </c>
      <c r="P139" s="594">
        <v>0</v>
      </c>
    </row>
    <row r="140" spans="2:16" ht="28.8">
      <c r="B140" s="593" t="s">
        <v>317</v>
      </c>
      <c r="C140" s="593" t="s">
        <v>318</v>
      </c>
      <c r="D140" s="594">
        <v>2009</v>
      </c>
      <c r="E140" s="594">
        <v>425</v>
      </c>
      <c r="F140" s="594">
        <v>0</v>
      </c>
      <c r="G140" s="594">
        <v>0</v>
      </c>
      <c r="H140" s="594">
        <v>343</v>
      </c>
      <c r="I140" s="594">
        <v>326</v>
      </c>
      <c r="J140" s="594">
        <v>0</v>
      </c>
      <c r="K140" s="594">
        <v>0</v>
      </c>
      <c r="L140" s="594">
        <v>318</v>
      </c>
      <c r="M140" s="594">
        <v>0</v>
      </c>
      <c r="N140" s="594">
        <v>0</v>
      </c>
      <c r="O140" s="594">
        <v>0</v>
      </c>
      <c r="P140" s="594">
        <v>0</v>
      </c>
    </row>
    <row r="141" spans="2:16" ht="28.8">
      <c r="B141" s="593" t="s">
        <v>317</v>
      </c>
      <c r="C141" s="593" t="s">
        <v>318</v>
      </c>
      <c r="D141" s="594">
        <v>2010</v>
      </c>
      <c r="E141" s="594">
        <v>1979</v>
      </c>
      <c r="F141" s="594">
        <v>0</v>
      </c>
      <c r="G141" s="594">
        <v>0</v>
      </c>
      <c r="H141" s="594">
        <v>1479</v>
      </c>
      <c r="I141" s="594">
        <v>1421</v>
      </c>
      <c r="J141" s="594">
        <v>0</v>
      </c>
      <c r="K141" s="594">
        <v>0</v>
      </c>
      <c r="L141" s="594">
        <v>1364</v>
      </c>
      <c r="M141" s="594">
        <v>10</v>
      </c>
      <c r="N141" s="594">
        <v>8</v>
      </c>
      <c r="O141" s="594">
        <v>6</v>
      </c>
      <c r="P141" s="594">
        <v>4</v>
      </c>
    </row>
    <row r="142" spans="2:16" ht="28.8">
      <c r="B142" s="593" t="s">
        <v>317</v>
      </c>
      <c r="C142" s="593" t="s">
        <v>318</v>
      </c>
      <c r="D142" s="594">
        <v>2011</v>
      </c>
      <c r="E142" s="594">
        <v>985</v>
      </c>
      <c r="F142" s="594">
        <v>0</v>
      </c>
      <c r="G142" s="594">
        <v>0</v>
      </c>
      <c r="H142" s="594">
        <v>745</v>
      </c>
      <c r="I142" s="594">
        <v>698</v>
      </c>
      <c r="J142" s="594">
        <v>0</v>
      </c>
      <c r="K142" s="594">
        <v>0</v>
      </c>
      <c r="L142" s="594">
        <v>654</v>
      </c>
      <c r="M142" s="594">
        <v>5</v>
      </c>
      <c r="N142" s="594">
        <v>4</v>
      </c>
      <c r="O142" s="594">
        <v>4</v>
      </c>
      <c r="P142" s="594">
        <v>4</v>
      </c>
    </row>
    <row r="143" spans="2:16" ht="28.8">
      <c r="B143" s="593" t="s">
        <v>317</v>
      </c>
      <c r="C143" s="593" t="s">
        <v>318</v>
      </c>
      <c r="D143" s="594">
        <v>2012</v>
      </c>
      <c r="E143" s="594">
        <v>459</v>
      </c>
      <c r="F143" s="594">
        <v>0</v>
      </c>
      <c r="G143" s="594">
        <v>0</v>
      </c>
      <c r="H143" s="594">
        <v>355</v>
      </c>
      <c r="I143" s="594">
        <v>327</v>
      </c>
      <c r="J143" s="594">
        <v>0</v>
      </c>
      <c r="K143" s="594">
        <v>0</v>
      </c>
      <c r="L143" s="594">
        <v>301</v>
      </c>
      <c r="M143" s="594">
        <v>8</v>
      </c>
      <c r="N143" s="594">
        <v>8</v>
      </c>
      <c r="O143" s="594">
        <v>5</v>
      </c>
      <c r="P143" s="594">
        <v>4</v>
      </c>
    </row>
    <row r="144" spans="2:16" ht="28.8">
      <c r="B144" s="593" t="s">
        <v>317</v>
      </c>
      <c r="C144" s="593" t="s">
        <v>318</v>
      </c>
      <c r="D144" s="594">
        <v>2013</v>
      </c>
      <c r="E144" s="594">
        <v>286</v>
      </c>
      <c r="F144" s="594">
        <v>253</v>
      </c>
      <c r="G144" s="594">
        <v>0</v>
      </c>
      <c r="H144" s="594">
        <v>213</v>
      </c>
      <c r="I144" s="594">
        <v>208</v>
      </c>
      <c r="J144" s="594">
        <v>0</v>
      </c>
      <c r="K144" s="594">
        <v>0</v>
      </c>
      <c r="L144" s="594">
        <v>196</v>
      </c>
      <c r="M144" s="594">
        <v>1</v>
      </c>
      <c r="N144" s="594">
        <v>1</v>
      </c>
      <c r="O144" s="594">
        <v>0</v>
      </c>
      <c r="P144" s="594">
        <v>0</v>
      </c>
    </row>
    <row r="145" spans="2:16" ht="28.8">
      <c r="B145" s="593" t="s">
        <v>317</v>
      </c>
      <c r="C145" s="593" t="s">
        <v>318</v>
      </c>
      <c r="D145" s="594">
        <v>2014</v>
      </c>
      <c r="E145" s="594">
        <v>427</v>
      </c>
      <c r="F145" s="594">
        <v>359</v>
      </c>
      <c r="G145" s="594">
        <v>0</v>
      </c>
      <c r="H145" s="594">
        <v>305</v>
      </c>
      <c r="I145" s="594">
        <v>301</v>
      </c>
      <c r="J145" s="594">
        <v>300</v>
      </c>
      <c r="K145" s="594">
        <v>292</v>
      </c>
      <c r="L145" s="594">
        <v>288</v>
      </c>
      <c r="M145" s="594">
        <v>2</v>
      </c>
      <c r="N145" s="594">
        <v>0</v>
      </c>
      <c r="O145" s="594">
        <v>0</v>
      </c>
      <c r="P145" s="594">
        <v>0</v>
      </c>
    </row>
    <row r="146" spans="2:16" ht="28.8">
      <c r="B146" s="593" t="s">
        <v>317</v>
      </c>
      <c r="C146" s="593" t="s">
        <v>318</v>
      </c>
      <c r="D146" s="594">
        <v>2015</v>
      </c>
      <c r="E146" s="594">
        <v>694</v>
      </c>
      <c r="F146" s="594">
        <v>595</v>
      </c>
      <c r="G146" s="594">
        <v>0</v>
      </c>
      <c r="H146" s="594">
        <v>473</v>
      </c>
      <c r="I146" s="594">
        <v>445</v>
      </c>
      <c r="J146" s="594">
        <v>431</v>
      </c>
      <c r="K146" s="594">
        <v>414</v>
      </c>
      <c r="L146" s="594">
        <v>413</v>
      </c>
      <c r="M146" s="594">
        <v>9</v>
      </c>
      <c r="N146" s="594">
        <v>7</v>
      </c>
      <c r="O146" s="594">
        <v>8</v>
      </c>
      <c r="P146" s="594">
        <v>6</v>
      </c>
    </row>
    <row r="147" spans="2:16" ht="28.8">
      <c r="B147" s="593" t="s">
        <v>317</v>
      </c>
      <c r="C147" s="593" t="s">
        <v>318</v>
      </c>
      <c r="D147" s="594">
        <v>2016</v>
      </c>
      <c r="E147" s="594">
        <v>482</v>
      </c>
      <c r="F147" s="594">
        <v>430</v>
      </c>
      <c r="G147" s="594">
        <v>0</v>
      </c>
      <c r="H147" s="594">
        <v>384</v>
      </c>
      <c r="I147" s="594">
        <v>371</v>
      </c>
      <c r="J147" s="594">
        <v>367</v>
      </c>
      <c r="K147" s="594">
        <v>359</v>
      </c>
      <c r="L147" s="594">
        <v>358</v>
      </c>
      <c r="M147" s="594">
        <v>6</v>
      </c>
      <c r="N147" s="594">
        <v>3</v>
      </c>
      <c r="O147" s="594">
        <v>2</v>
      </c>
      <c r="P147" s="594">
        <v>2</v>
      </c>
    </row>
    <row r="148" spans="2:16" ht="28.8">
      <c r="B148" s="593" t="s">
        <v>317</v>
      </c>
      <c r="C148" s="593" t="s">
        <v>318</v>
      </c>
      <c r="D148" s="594">
        <v>2017</v>
      </c>
      <c r="E148" s="594">
        <v>143</v>
      </c>
      <c r="F148" s="594">
        <v>117</v>
      </c>
      <c r="G148" s="594">
        <v>0</v>
      </c>
      <c r="H148" s="594">
        <v>111</v>
      </c>
      <c r="I148" s="594">
        <v>105</v>
      </c>
      <c r="J148" s="594">
        <v>103</v>
      </c>
      <c r="K148" s="594">
        <v>103</v>
      </c>
      <c r="L148" s="594">
        <v>100</v>
      </c>
      <c r="M148" s="594">
        <v>1</v>
      </c>
      <c r="N148" s="594">
        <v>1</v>
      </c>
      <c r="O148" s="594">
        <v>1</v>
      </c>
      <c r="P148" s="594">
        <v>0</v>
      </c>
    </row>
    <row r="149" spans="2:16" ht="28.8">
      <c r="B149" s="593" t="s">
        <v>317</v>
      </c>
      <c r="C149" s="593" t="s">
        <v>318</v>
      </c>
      <c r="D149" s="594">
        <v>2018</v>
      </c>
      <c r="E149" s="594">
        <v>238</v>
      </c>
      <c r="F149" s="594">
        <v>194</v>
      </c>
      <c r="G149" s="594">
        <v>175</v>
      </c>
      <c r="H149" s="594">
        <v>169</v>
      </c>
      <c r="I149" s="594">
        <v>163</v>
      </c>
      <c r="J149" s="594">
        <v>161</v>
      </c>
      <c r="K149" s="594">
        <v>158</v>
      </c>
      <c r="L149" s="594">
        <v>156</v>
      </c>
      <c r="M149" s="594">
        <v>2</v>
      </c>
      <c r="N149" s="594">
        <v>2</v>
      </c>
      <c r="O149" s="594">
        <v>2</v>
      </c>
      <c r="P149" s="594">
        <v>0</v>
      </c>
    </row>
    <row r="150" spans="2:16" ht="28.8">
      <c r="B150" s="593" t="s">
        <v>317</v>
      </c>
      <c r="C150" s="593" t="s">
        <v>318</v>
      </c>
      <c r="D150" s="594">
        <v>2019</v>
      </c>
      <c r="E150" s="594">
        <v>78</v>
      </c>
      <c r="F150" s="594">
        <v>69</v>
      </c>
      <c r="G150" s="594">
        <v>63</v>
      </c>
      <c r="H150" s="594">
        <v>64</v>
      </c>
      <c r="I150" s="594">
        <v>64</v>
      </c>
      <c r="J150" s="594">
        <v>63</v>
      </c>
      <c r="K150" s="594">
        <v>62</v>
      </c>
      <c r="L150" s="594">
        <v>59</v>
      </c>
      <c r="M150" s="594">
        <v>0</v>
      </c>
      <c r="N150" s="594">
        <v>0</v>
      </c>
      <c r="O150" s="594">
        <v>0</v>
      </c>
      <c r="P150" s="594">
        <v>0</v>
      </c>
    </row>
    <row r="151" spans="2:16" ht="28.8">
      <c r="B151" s="593" t="s">
        <v>317</v>
      </c>
      <c r="C151" s="593" t="s">
        <v>318</v>
      </c>
      <c r="D151" s="594">
        <v>2020</v>
      </c>
      <c r="E151" s="594">
        <v>151</v>
      </c>
      <c r="F151" s="594">
        <v>128</v>
      </c>
      <c r="G151" s="594">
        <v>117</v>
      </c>
      <c r="H151" s="594">
        <v>114</v>
      </c>
      <c r="I151" s="594">
        <v>112</v>
      </c>
      <c r="J151" s="594">
        <v>112</v>
      </c>
      <c r="K151" s="594">
        <v>106</v>
      </c>
      <c r="L151" s="594">
        <v>106</v>
      </c>
      <c r="M151" s="594">
        <v>0</v>
      </c>
      <c r="N151" s="594">
        <v>0</v>
      </c>
      <c r="O151" s="594">
        <v>0</v>
      </c>
      <c r="P151" s="594">
        <v>0</v>
      </c>
    </row>
    <row r="152" spans="2:16" ht="28.8">
      <c r="B152" s="593" t="s">
        <v>317</v>
      </c>
      <c r="C152" s="593" t="s">
        <v>318</v>
      </c>
      <c r="D152" s="594">
        <v>2021</v>
      </c>
      <c r="E152" s="594">
        <v>86</v>
      </c>
      <c r="F152" s="594">
        <v>76</v>
      </c>
      <c r="G152" s="594">
        <v>71</v>
      </c>
      <c r="H152" s="594">
        <v>70</v>
      </c>
      <c r="I152" s="594">
        <v>68</v>
      </c>
      <c r="J152" s="594">
        <v>69</v>
      </c>
      <c r="K152" s="594">
        <v>65</v>
      </c>
      <c r="L152" s="594">
        <v>66</v>
      </c>
      <c r="M152" s="594">
        <v>0</v>
      </c>
      <c r="N152" s="594">
        <v>0</v>
      </c>
      <c r="O152" s="594">
        <v>0</v>
      </c>
      <c r="P152" s="594">
        <v>0</v>
      </c>
    </row>
    <row r="153" spans="2:16" ht="28.8">
      <c r="B153" s="593" t="s">
        <v>317</v>
      </c>
      <c r="C153" s="593" t="s">
        <v>318</v>
      </c>
      <c r="D153" s="594">
        <v>2022</v>
      </c>
      <c r="E153" s="594">
        <v>126</v>
      </c>
      <c r="F153" s="594">
        <v>113</v>
      </c>
      <c r="G153" s="594">
        <v>108</v>
      </c>
      <c r="H153" s="594">
        <v>103</v>
      </c>
      <c r="I153" s="594">
        <v>101</v>
      </c>
      <c r="J153" s="594">
        <v>100</v>
      </c>
      <c r="K153" s="594">
        <v>100</v>
      </c>
      <c r="L153" s="594">
        <v>99</v>
      </c>
      <c r="M153" s="594">
        <v>0</v>
      </c>
      <c r="N153" s="594">
        <v>0</v>
      </c>
      <c r="O153" s="594">
        <v>0</v>
      </c>
      <c r="P153" s="594">
        <v>0</v>
      </c>
    </row>
    <row r="161" spans="2:23">
      <c r="B161" t="s">
        <v>324</v>
      </c>
    </row>
    <row r="162" spans="2:23">
      <c r="B162" t="s">
        <v>325</v>
      </c>
    </row>
    <row r="164" spans="2:23" ht="14.4">
      <c r="B164" s="592" t="s">
        <v>307</v>
      </c>
      <c r="C164" s="592" t="s">
        <v>308</v>
      </c>
      <c r="D164" s="592" t="s">
        <v>230</v>
      </c>
      <c r="E164" s="592" t="s">
        <v>231</v>
      </c>
      <c r="F164" s="592" t="s">
        <v>232</v>
      </c>
      <c r="G164" s="592" t="s">
        <v>309</v>
      </c>
      <c r="H164" s="592" t="s">
        <v>233</v>
      </c>
      <c r="I164" s="592" t="s">
        <v>310</v>
      </c>
      <c r="J164" s="592" t="s">
        <v>234</v>
      </c>
      <c r="K164" s="592" t="s">
        <v>311</v>
      </c>
      <c r="L164" s="592" t="s">
        <v>312</v>
      </c>
      <c r="M164" s="592"/>
      <c r="N164" s="603" t="s">
        <v>346</v>
      </c>
      <c r="O164" s="603" t="s">
        <v>347</v>
      </c>
      <c r="P164" s="603" t="s">
        <v>348</v>
      </c>
      <c r="Q164" s="603" t="s">
        <v>115</v>
      </c>
      <c r="R164" s="603" t="s">
        <v>237</v>
      </c>
      <c r="S164" s="603" t="s">
        <v>349</v>
      </c>
      <c r="T164" s="603" t="s">
        <v>350</v>
      </c>
      <c r="U164" s="603" t="s">
        <v>238</v>
      </c>
      <c r="V164" s="603" t="s">
        <v>240</v>
      </c>
      <c r="W164" s="603" t="s">
        <v>351</v>
      </c>
    </row>
    <row r="165" spans="2:23" ht="28.8">
      <c r="B165" s="593" t="s">
        <v>317</v>
      </c>
      <c r="C165" s="593" t="s">
        <v>318</v>
      </c>
      <c r="D165" s="594">
        <v>2008</v>
      </c>
      <c r="E165" s="594">
        <v>521</v>
      </c>
      <c r="F165" s="594">
        <v>0</v>
      </c>
      <c r="G165" s="594">
        <v>0</v>
      </c>
      <c r="H165" s="594">
        <v>482</v>
      </c>
      <c r="I165" s="594">
        <v>450</v>
      </c>
      <c r="J165" s="594">
        <v>0</v>
      </c>
      <c r="K165" s="594">
        <v>0</v>
      </c>
      <c r="L165" s="594">
        <v>473</v>
      </c>
      <c r="M165" s="594"/>
      <c r="N165" s="604"/>
      <c r="O165" s="604"/>
      <c r="P165" s="604"/>
      <c r="Q165" s="455">
        <f t="shared" ref="Q165:Q166" si="617">I165/E165</f>
        <v>0.8637236084452975</v>
      </c>
      <c r="R165" s="455">
        <f t="shared" ref="R165:R166" si="618">I165/H165</f>
        <v>0.93360995850622408</v>
      </c>
      <c r="S165" s="604"/>
      <c r="T165" s="604"/>
      <c r="U165" s="604"/>
      <c r="V165" s="455">
        <f t="shared" ref="V165:V166" si="619">L165/H165</f>
        <v>0.98132780082987547</v>
      </c>
      <c r="W165" s="455">
        <f t="shared" ref="W165:W166" si="620">L165/E165</f>
        <v>0.90786948176583493</v>
      </c>
    </row>
    <row r="166" spans="2:23" ht="28.8">
      <c r="B166" s="593" t="s">
        <v>317</v>
      </c>
      <c r="C166" s="593" t="s">
        <v>318</v>
      </c>
      <c r="D166" s="594">
        <v>2009</v>
      </c>
      <c r="E166" s="594">
        <v>1258</v>
      </c>
      <c r="F166" s="594">
        <v>0</v>
      </c>
      <c r="G166" s="594">
        <v>0</v>
      </c>
      <c r="H166" s="594">
        <v>1120</v>
      </c>
      <c r="I166" s="594">
        <v>965</v>
      </c>
      <c r="J166" s="594">
        <v>0</v>
      </c>
      <c r="K166" s="594">
        <v>0</v>
      </c>
      <c r="L166" s="594">
        <v>1080</v>
      </c>
      <c r="M166" s="594"/>
      <c r="N166" s="604"/>
      <c r="O166" s="604"/>
      <c r="P166" s="604"/>
      <c r="Q166" s="455">
        <f t="shared" si="617"/>
        <v>0.76709062003179651</v>
      </c>
      <c r="R166" s="455">
        <f t="shared" si="618"/>
        <v>0.8616071428571429</v>
      </c>
      <c r="S166" s="604"/>
      <c r="T166" s="604"/>
      <c r="U166" s="604"/>
      <c r="V166" s="455">
        <f t="shared" si="619"/>
        <v>0.9642857142857143</v>
      </c>
      <c r="W166" s="455">
        <f t="shared" si="620"/>
        <v>0.85850556438791736</v>
      </c>
    </row>
    <row r="167" spans="2:23" ht="28.8">
      <c r="B167" s="593" t="s">
        <v>317</v>
      </c>
      <c r="C167" s="593" t="s">
        <v>318</v>
      </c>
      <c r="D167" s="594">
        <v>2010</v>
      </c>
      <c r="E167" s="594">
        <v>273</v>
      </c>
      <c r="F167" s="594">
        <v>0</v>
      </c>
      <c r="G167" s="594">
        <v>0</v>
      </c>
      <c r="H167" s="594">
        <v>257</v>
      </c>
      <c r="I167" s="594">
        <v>233</v>
      </c>
      <c r="J167" s="594">
        <v>0</v>
      </c>
      <c r="K167" s="594">
        <v>0</v>
      </c>
      <c r="L167" s="594">
        <v>245</v>
      </c>
      <c r="M167" s="594"/>
      <c r="N167" s="604"/>
      <c r="O167" s="604"/>
      <c r="P167" s="604"/>
      <c r="Q167" s="455">
        <f>I167/E167</f>
        <v>0.85347985347985345</v>
      </c>
      <c r="R167" s="455">
        <f>I167/H167</f>
        <v>0.9066147859922179</v>
      </c>
      <c r="S167" s="604"/>
      <c r="T167" s="604"/>
      <c r="U167" s="604"/>
      <c r="V167" s="455">
        <f>L167/H167</f>
        <v>0.953307392996109</v>
      </c>
      <c r="W167" s="455">
        <f>L167/E167</f>
        <v>0.89743589743589747</v>
      </c>
    </row>
    <row r="168" spans="2:23" ht="28.8">
      <c r="B168" s="593" t="s">
        <v>317</v>
      </c>
      <c r="C168" s="593" t="s">
        <v>318</v>
      </c>
      <c r="D168" s="594">
        <v>2011</v>
      </c>
      <c r="E168" s="594">
        <v>927</v>
      </c>
      <c r="F168" s="594">
        <v>0</v>
      </c>
      <c r="G168" s="594">
        <v>0</v>
      </c>
      <c r="H168" s="594">
        <v>772</v>
      </c>
      <c r="I168" s="594">
        <v>655</v>
      </c>
      <c r="J168" s="594">
        <v>0</v>
      </c>
      <c r="K168" s="594">
        <v>0</v>
      </c>
      <c r="L168" s="594">
        <v>715</v>
      </c>
      <c r="M168" s="594"/>
      <c r="N168" s="455">
        <f t="shared" ref="N168:P179" si="621">F168/E168</f>
        <v>0</v>
      </c>
      <c r="O168" s="604"/>
      <c r="P168" s="604"/>
      <c r="Q168" s="455">
        <f t="shared" ref="Q168:Q179" si="622">I168/E168</f>
        <v>0.7065803667745415</v>
      </c>
      <c r="R168" s="455">
        <f t="shared" ref="R168:U179" si="623">I168/H168</f>
        <v>0.8484455958549223</v>
      </c>
      <c r="S168" s="604"/>
      <c r="T168" s="604"/>
      <c r="U168" s="604"/>
      <c r="V168" s="455">
        <f t="shared" ref="V168:V179" si="624">L168/H168</f>
        <v>0.92616580310880825</v>
      </c>
      <c r="W168" s="455">
        <f t="shared" ref="W168:W179" si="625">L168/E168</f>
        <v>0.77130528586839264</v>
      </c>
    </row>
    <row r="169" spans="2:23" ht="28.8">
      <c r="B169" s="593" t="s">
        <v>317</v>
      </c>
      <c r="C169" s="593" t="s">
        <v>318</v>
      </c>
      <c r="D169" s="594">
        <v>2012</v>
      </c>
      <c r="E169" s="594">
        <v>100</v>
      </c>
      <c r="F169" s="594">
        <v>0</v>
      </c>
      <c r="G169" s="594">
        <v>0</v>
      </c>
      <c r="H169" s="594">
        <v>91</v>
      </c>
      <c r="I169" s="594">
        <v>84</v>
      </c>
      <c r="J169" s="594">
        <v>0</v>
      </c>
      <c r="K169" s="594">
        <v>0</v>
      </c>
      <c r="L169" s="594">
        <v>85</v>
      </c>
      <c r="M169" s="594"/>
      <c r="N169" s="455">
        <f t="shared" si="621"/>
        <v>0</v>
      </c>
      <c r="O169" s="604"/>
      <c r="P169" s="604"/>
      <c r="Q169" s="455">
        <f t="shared" si="622"/>
        <v>0.84</v>
      </c>
      <c r="R169" s="455">
        <f t="shared" si="623"/>
        <v>0.92307692307692313</v>
      </c>
      <c r="S169" s="604"/>
      <c r="T169" s="604"/>
      <c r="U169" s="604"/>
      <c r="V169" s="455">
        <f t="shared" si="624"/>
        <v>0.93406593406593408</v>
      </c>
      <c r="W169" s="455">
        <f t="shared" si="625"/>
        <v>0.85</v>
      </c>
    </row>
    <row r="170" spans="2:23" ht="28.8">
      <c r="B170" s="593" t="s">
        <v>317</v>
      </c>
      <c r="C170" s="593" t="s">
        <v>318</v>
      </c>
      <c r="D170" s="594">
        <v>2013</v>
      </c>
      <c r="E170" s="594">
        <v>638</v>
      </c>
      <c r="F170" s="594">
        <v>608</v>
      </c>
      <c r="G170" s="594">
        <v>0</v>
      </c>
      <c r="H170" s="594">
        <v>578</v>
      </c>
      <c r="I170" s="594">
        <v>509</v>
      </c>
      <c r="J170" s="594">
        <v>0</v>
      </c>
      <c r="K170" s="594">
        <v>0</v>
      </c>
      <c r="L170" s="594">
        <v>544</v>
      </c>
      <c r="M170" s="594"/>
      <c r="N170" s="455">
        <f t="shared" si="621"/>
        <v>0.95297805642633227</v>
      </c>
      <c r="O170" s="604"/>
      <c r="P170" s="604"/>
      <c r="Q170" s="455">
        <f t="shared" si="622"/>
        <v>0.79780564263322884</v>
      </c>
      <c r="R170" s="455">
        <f t="shared" si="623"/>
        <v>0.88062283737024216</v>
      </c>
      <c r="S170" s="455">
        <f t="shared" si="623"/>
        <v>0</v>
      </c>
      <c r="T170" s="455" t="e">
        <f t="shared" si="623"/>
        <v>#DIV/0!</v>
      </c>
      <c r="U170" s="455" t="e">
        <f t="shared" si="623"/>
        <v>#DIV/0!</v>
      </c>
      <c r="V170" s="455">
        <f t="shared" si="624"/>
        <v>0.94117647058823528</v>
      </c>
      <c r="W170" s="455">
        <f t="shared" si="625"/>
        <v>0.85266457680250785</v>
      </c>
    </row>
    <row r="171" spans="2:23" ht="28.8">
      <c r="B171" s="593" t="s">
        <v>317</v>
      </c>
      <c r="C171" s="593" t="s">
        <v>318</v>
      </c>
      <c r="D171" s="594">
        <v>2014</v>
      </c>
      <c r="E171" s="594">
        <v>674</v>
      </c>
      <c r="F171" s="594">
        <v>631</v>
      </c>
      <c r="G171" s="594">
        <v>0</v>
      </c>
      <c r="H171" s="594">
        <v>599</v>
      </c>
      <c r="I171" s="594">
        <v>561</v>
      </c>
      <c r="J171" s="594">
        <v>583</v>
      </c>
      <c r="K171" s="594">
        <v>577</v>
      </c>
      <c r="L171" s="594">
        <v>561</v>
      </c>
      <c r="M171" s="594"/>
      <c r="N171" s="455">
        <f t="shared" si="621"/>
        <v>0.93620178041543023</v>
      </c>
      <c r="O171" s="604"/>
      <c r="P171" s="604"/>
      <c r="Q171" s="455">
        <f t="shared" si="622"/>
        <v>0.83234421364985167</v>
      </c>
      <c r="R171" s="455">
        <f t="shared" si="623"/>
        <v>0.93656093489148584</v>
      </c>
      <c r="S171" s="455">
        <f t="shared" si="623"/>
        <v>1.0392156862745099</v>
      </c>
      <c r="T171" s="455">
        <f t="shared" si="623"/>
        <v>0.98970840480274447</v>
      </c>
      <c r="U171" s="455">
        <f t="shared" si="623"/>
        <v>0.97227036395147315</v>
      </c>
      <c r="V171" s="455">
        <f t="shared" si="624"/>
        <v>0.93656093489148584</v>
      </c>
      <c r="W171" s="455">
        <f t="shared" si="625"/>
        <v>0.83234421364985167</v>
      </c>
    </row>
    <row r="172" spans="2:23" ht="28.8">
      <c r="B172" s="593" t="s">
        <v>317</v>
      </c>
      <c r="C172" s="593" t="s">
        <v>318</v>
      </c>
      <c r="D172" s="594">
        <v>2015</v>
      </c>
      <c r="E172" s="594">
        <v>294</v>
      </c>
      <c r="F172" s="594">
        <v>271</v>
      </c>
      <c r="G172" s="594">
        <v>0</v>
      </c>
      <c r="H172" s="594">
        <v>244</v>
      </c>
      <c r="I172" s="594">
        <v>223</v>
      </c>
      <c r="J172" s="594">
        <v>230</v>
      </c>
      <c r="K172" s="594">
        <v>208</v>
      </c>
      <c r="L172" s="594">
        <v>211</v>
      </c>
      <c r="M172" s="594"/>
      <c r="N172" s="455">
        <f t="shared" si="621"/>
        <v>0.92176870748299322</v>
      </c>
      <c r="O172" s="604"/>
      <c r="P172" s="604"/>
      <c r="Q172" s="455">
        <f t="shared" si="622"/>
        <v>0.75850340136054417</v>
      </c>
      <c r="R172" s="455">
        <f t="shared" si="623"/>
        <v>0.91393442622950816</v>
      </c>
      <c r="S172" s="455">
        <f t="shared" si="623"/>
        <v>1.0313901345291481</v>
      </c>
      <c r="T172" s="455">
        <f t="shared" si="623"/>
        <v>0.90434782608695652</v>
      </c>
      <c r="U172" s="455">
        <f t="shared" si="623"/>
        <v>1.0144230769230769</v>
      </c>
      <c r="V172" s="455">
        <f t="shared" si="624"/>
        <v>0.86475409836065575</v>
      </c>
      <c r="W172" s="455">
        <f t="shared" si="625"/>
        <v>0.71768707482993199</v>
      </c>
    </row>
    <row r="173" spans="2:23" ht="28.8">
      <c r="B173" s="593" t="s">
        <v>317</v>
      </c>
      <c r="C173" s="593" t="s">
        <v>318</v>
      </c>
      <c r="D173" s="594">
        <v>2016</v>
      </c>
      <c r="E173" s="594">
        <v>141</v>
      </c>
      <c r="F173" s="594">
        <v>134</v>
      </c>
      <c r="G173" s="594">
        <v>0</v>
      </c>
      <c r="H173" s="594">
        <v>131</v>
      </c>
      <c r="I173" s="594">
        <v>127</v>
      </c>
      <c r="J173" s="594">
        <v>128</v>
      </c>
      <c r="K173" s="594">
        <v>123</v>
      </c>
      <c r="L173" s="594">
        <v>121</v>
      </c>
      <c r="M173" s="594"/>
      <c r="N173" s="455">
        <f t="shared" si="621"/>
        <v>0.95035460992907805</v>
      </c>
      <c r="O173" s="604"/>
      <c r="P173" s="604"/>
      <c r="Q173" s="455">
        <f t="shared" si="622"/>
        <v>0.900709219858156</v>
      </c>
      <c r="R173" s="455">
        <f t="shared" si="623"/>
        <v>0.96946564885496178</v>
      </c>
      <c r="S173" s="455">
        <f t="shared" si="623"/>
        <v>1.0078740157480315</v>
      </c>
      <c r="T173" s="455">
        <f t="shared" si="623"/>
        <v>0.9609375</v>
      </c>
      <c r="U173" s="455">
        <f t="shared" si="623"/>
        <v>0.98373983739837401</v>
      </c>
      <c r="V173" s="455">
        <f t="shared" si="624"/>
        <v>0.92366412213740456</v>
      </c>
      <c r="W173" s="455">
        <f t="shared" si="625"/>
        <v>0.85815602836879434</v>
      </c>
    </row>
    <row r="174" spans="2:23" ht="28.8">
      <c r="B174" s="593" t="s">
        <v>317</v>
      </c>
      <c r="C174" s="593" t="s">
        <v>318</v>
      </c>
      <c r="D174" s="594">
        <v>2017</v>
      </c>
      <c r="E174" s="594">
        <v>203</v>
      </c>
      <c r="F174" s="594">
        <v>177</v>
      </c>
      <c r="G174" s="594">
        <v>0</v>
      </c>
      <c r="H174" s="594">
        <v>169</v>
      </c>
      <c r="I174" s="594">
        <v>148</v>
      </c>
      <c r="J174" s="594">
        <v>162</v>
      </c>
      <c r="K174" s="594">
        <v>160</v>
      </c>
      <c r="L174" s="594">
        <v>158</v>
      </c>
      <c r="M174" s="594"/>
      <c r="N174" s="455">
        <f t="shared" si="621"/>
        <v>0.8719211822660099</v>
      </c>
      <c r="O174" s="604"/>
      <c r="P174" s="604"/>
      <c r="Q174" s="455">
        <f t="shared" si="622"/>
        <v>0.72906403940886699</v>
      </c>
      <c r="R174" s="455">
        <f t="shared" si="623"/>
        <v>0.87573964497041423</v>
      </c>
      <c r="S174" s="455">
        <f t="shared" si="623"/>
        <v>1.0945945945945945</v>
      </c>
      <c r="T174" s="455">
        <f t="shared" si="623"/>
        <v>0.98765432098765427</v>
      </c>
      <c r="U174" s="455">
        <f t="shared" si="623"/>
        <v>0.98750000000000004</v>
      </c>
      <c r="V174" s="455">
        <f t="shared" si="624"/>
        <v>0.9349112426035503</v>
      </c>
      <c r="W174" s="455">
        <f t="shared" si="625"/>
        <v>0.77832512315270941</v>
      </c>
    </row>
    <row r="175" spans="2:23" ht="28.8">
      <c r="B175" s="593" t="s">
        <v>317</v>
      </c>
      <c r="C175" s="593" t="s">
        <v>318</v>
      </c>
      <c r="D175" s="594">
        <v>2018</v>
      </c>
      <c r="E175" s="594">
        <v>76</v>
      </c>
      <c r="F175" s="594">
        <v>68</v>
      </c>
      <c r="G175" s="594">
        <v>65</v>
      </c>
      <c r="H175" s="594">
        <v>65</v>
      </c>
      <c r="I175" s="594">
        <v>60</v>
      </c>
      <c r="J175" s="594">
        <v>62</v>
      </c>
      <c r="K175" s="594">
        <v>63</v>
      </c>
      <c r="L175" s="594">
        <v>62</v>
      </c>
      <c r="M175" s="594"/>
      <c r="N175" s="455">
        <f t="shared" si="621"/>
        <v>0.89473684210526316</v>
      </c>
      <c r="O175" s="455">
        <f t="shared" si="621"/>
        <v>0.95588235294117652</v>
      </c>
      <c r="P175" s="455">
        <f t="shared" si="621"/>
        <v>1</v>
      </c>
      <c r="Q175" s="455">
        <f t="shared" si="622"/>
        <v>0.78947368421052633</v>
      </c>
      <c r="R175" s="455">
        <f t="shared" si="623"/>
        <v>0.92307692307692313</v>
      </c>
      <c r="S175" s="455">
        <f t="shared" si="623"/>
        <v>1.0333333333333334</v>
      </c>
      <c r="T175" s="455">
        <f t="shared" si="623"/>
        <v>1.0161290322580645</v>
      </c>
      <c r="U175" s="455">
        <f t="shared" si="623"/>
        <v>0.98412698412698407</v>
      </c>
      <c r="V175" s="455">
        <f t="shared" si="624"/>
        <v>0.9538461538461539</v>
      </c>
      <c r="W175" s="455">
        <f t="shared" si="625"/>
        <v>0.81578947368421051</v>
      </c>
    </row>
    <row r="176" spans="2:23" ht="28.8">
      <c r="B176" s="593" t="s">
        <v>317</v>
      </c>
      <c r="C176" s="593" t="s">
        <v>318</v>
      </c>
      <c r="D176" s="594">
        <v>2019</v>
      </c>
      <c r="E176" s="594">
        <v>67</v>
      </c>
      <c r="F176" s="594">
        <v>61</v>
      </c>
      <c r="G176" s="594">
        <v>61</v>
      </c>
      <c r="H176" s="594">
        <v>60</v>
      </c>
      <c r="I176" s="594">
        <v>57</v>
      </c>
      <c r="J176" s="594">
        <v>60</v>
      </c>
      <c r="K176" s="594">
        <v>56</v>
      </c>
      <c r="L176" s="594">
        <v>56</v>
      </c>
      <c r="M176" s="594"/>
      <c r="N176" s="455">
        <f t="shared" si="621"/>
        <v>0.91044776119402981</v>
      </c>
      <c r="O176" s="455">
        <f t="shared" si="621"/>
        <v>1</v>
      </c>
      <c r="P176" s="455">
        <f t="shared" si="621"/>
        <v>0.98360655737704916</v>
      </c>
      <c r="Q176" s="455">
        <f t="shared" si="622"/>
        <v>0.85074626865671643</v>
      </c>
      <c r="R176" s="455">
        <f t="shared" si="623"/>
        <v>0.95</v>
      </c>
      <c r="S176" s="455">
        <f t="shared" si="623"/>
        <v>1.0526315789473684</v>
      </c>
      <c r="T176" s="455">
        <f t="shared" si="623"/>
        <v>0.93333333333333335</v>
      </c>
      <c r="U176" s="455">
        <f t="shared" si="623"/>
        <v>1</v>
      </c>
      <c r="V176" s="455">
        <f t="shared" si="624"/>
        <v>0.93333333333333335</v>
      </c>
      <c r="W176" s="455">
        <f t="shared" si="625"/>
        <v>0.83582089552238803</v>
      </c>
    </row>
    <row r="177" spans="2:23" ht="28.8">
      <c r="B177" s="593" t="s">
        <v>317</v>
      </c>
      <c r="C177" s="593" t="s">
        <v>318</v>
      </c>
      <c r="D177" s="594">
        <v>2020</v>
      </c>
      <c r="E177" s="594">
        <v>84</v>
      </c>
      <c r="F177" s="594">
        <v>78</v>
      </c>
      <c r="G177" s="594">
        <v>76</v>
      </c>
      <c r="H177" s="594">
        <v>76</v>
      </c>
      <c r="I177" s="594">
        <v>71</v>
      </c>
      <c r="J177" s="594">
        <v>72</v>
      </c>
      <c r="K177" s="594">
        <v>75</v>
      </c>
      <c r="L177" s="594">
        <v>74</v>
      </c>
      <c r="M177" s="594"/>
      <c r="N177" s="455">
        <f t="shared" si="621"/>
        <v>0.9285714285714286</v>
      </c>
      <c r="O177" s="455">
        <f t="shared" si="621"/>
        <v>0.97435897435897434</v>
      </c>
      <c r="P177" s="455">
        <f t="shared" si="621"/>
        <v>1</v>
      </c>
      <c r="Q177" s="455">
        <f t="shared" si="622"/>
        <v>0.84523809523809523</v>
      </c>
      <c r="R177" s="455">
        <f t="shared" si="623"/>
        <v>0.93421052631578949</v>
      </c>
      <c r="S177" s="455">
        <f t="shared" si="623"/>
        <v>1.0140845070422535</v>
      </c>
      <c r="T177" s="455">
        <f t="shared" si="623"/>
        <v>1.0416666666666667</v>
      </c>
      <c r="U177" s="455">
        <f t="shared" si="623"/>
        <v>0.98666666666666669</v>
      </c>
      <c r="V177" s="455">
        <f t="shared" si="624"/>
        <v>0.97368421052631582</v>
      </c>
      <c r="W177" s="455">
        <f t="shared" si="625"/>
        <v>0.88095238095238093</v>
      </c>
    </row>
    <row r="178" spans="2:23" ht="28.8">
      <c r="B178" s="593" t="s">
        <v>317</v>
      </c>
      <c r="C178" s="593" t="s">
        <v>318</v>
      </c>
      <c r="D178" s="594">
        <v>2021</v>
      </c>
      <c r="E178" s="594">
        <v>126</v>
      </c>
      <c r="F178" s="594">
        <v>121</v>
      </c>
      <c r="G178" s="594">
        <v>120</v>
      </c>
      <c r="H178" s="594">
        <v>118</v>
      </c>
      <c r="I178" s="594">
        <v>115</v>
      </c>
      <c r="J178" s="594">
        <v>114</v>
      </c>
      <c r="K178" s="594">
        <v>110</v>
      </c>
      <c r="L178" s="594">
        <v>109</v>
      </c>
      <c r="M178" s="594"/>
      <c r="N178" s="455">
        <f t="shared" si="621"/>
        <v>0.96031746031746035</v>
      </c>
      <c r="O178" s="455">
        <f t="shared" si="621"/>
        <v>0.99173553719008267</v>
      </c>
      <c r="P178" s="455">
        <f t="shared" si="621"/>
        <v>0.98333333333333328</v>
      </c>
      <c r="Q178" s="455">
        <f t="shared" si="622"/>
        <v>0.91269841269841268</v>
      </c>
      <c r="R178" s="455">
        <f t="shared" si="623"/>
        <v>0.97457627118644063</v>
      </c>
      <c r="S178" s="455">
        <f t="shared" si="623"/>
        <v>0.99130434782608701</v>
      </c>
      <c r="T178" s="455">
        <f t="shared" si="623"/>
        <v>0.96491228070175439</v>
      </c>
      <c r="U178" s="455">
        <f t="shared" si="623"/>
        <v>0.99090909090909096</v>
      </c>
      <c r="V178" s="455">
        <f t="shared" si="624"/>
        <v>0.92372881355932202</v>
      </c>
      <c r="W178" s="455">
        <f t="shared" si="625"/>
        <v>0.86507936507936511</v>
      </c>
    </row>
    <row r="179" spans="2:23" ht="28.8">
      <c r="B179" s="593" t="s">
        <v>317</v>
      </c>
      <c r="C179" s="593" t="s">
        <v>318</v>
      </c>
      <c r="D179" s="594">
        <v>2022</v>
      </c>
      <c r="E179" s="594">
        <v>168</v>
      </c>
      <c r="F179" s="594">
        <v>161</v>
      </c>
      <c r="G179" s="594">
        <v>157</v>
      </c>
      <c r="H179" s="594">
        <v>157</v>
      </c>
      <c r="I179" s="594">
        <v>142</v>
      </c>
      <c r="J179" s="594">
        <v>147</v>
      </c>
      <c r="K179" s="594">
        <v>145</v>
      </c>
      <c r="L179" s="594">
        <v>144</v>
      </c>
      <c r="M179" s="594"/>
      <c r="N179" s="455">
        <f t="shared" si="621"/>
        <v>0.95833333333333337</v>
      </c>
      <c r="O179" s="455">
        <f t="shared" si="621"/>
        <v>0.97515527950310554</v>
      </c>
      <c r="P179" s="455">
        <f t="shared" si="621"/>
        <v>1</v>
      </c>
      <c r="Q179" s="455">
        <f t="shared" si="622"/>
        <v>0.84523809523809523</v>
      </c>
      <c r="R179" s="455">
        <f t="shared" si="623"/>
        <v>0.90445859872611467</v>
      </c>
      <c r="S179" s="455">
        <f t="shared" si="623"/>
        <v>1.0352112676056338</v>
      </c>
      <c r="T179" s="455">
        <f t="shared" si="623"/>
        <v>0.98639455782312924</v>
      </c>
      <c r="U179" s="455">
        <f t="shared" si="623"/>
        <v>0.99310344827586206</v>
      </c>
      <c r="V179" s="455">
        <f t="shared" si="624"/>
        <v>0.91719745222929938</v>
      </c>
      <c r="W179" s="455">
        <f t="shared" si="625"/>
        <v>0.8571428571428571</v>
      </c>
    </row>
    <row r="183" spans="2:23">
      <c r="B183" t="s">
        <v>281</v>
      </c>
    </row>
    <row r="184" spans="2:23" ht="14.4">
      <c r="B184" s="592" t="s">
        <v>307</v>
      </c>
      <c r="C184" s="592" t="s">
        <v>308</v>
      </c>
      <c r="D184" s="592" t="s">
        <v>230</v>
      </c>
      <c r="E184" s="592" t="s">
        <v>231</v>
      </c>
      <c r="F184" s="592" t="s">
        <v>232</v>
      </c>
      <c r="G184" s="592" t="s">
        <v>309</v>
      </c>
      <c r="H184" s="592" t="s">
        <v>233</v>
      </c>
      <c r="I184" s="592" t="s">
        <v>310</v>
      </c>
      <c r="J184" s="592" t="s">
        <v>234</v>
      </c>
      <c r="K184" s="592" t="s">
        <v>311</v>
      </c>
      <c r="L184" s="592" t="s">
        <v>312</v>
      </c>
      <c r="M184" s="592"/>
      <c r="N184" s="603" t="s">
        <v>346</v>
      </c>
      <c r="O184" s="603" t="s">
        <v>347</v>
      </c>
      <c r="P184" s="603" t="s">
        <v>348</v>
      </c>
      <c r="Q184" s="603" t="s">
        <v>115</v>
      </c>
      <c r="R184" s="603" t="s">
        <v>237</v>
      </c>
      <c r="S184" s="603" t="s">
        <v>349</v>
      </c>
      <c r="T184" s="603" t="s">
        <v>350</v>
      </c>
      <c r="U184" s="603" t="s">
        <v>238</v>
      </c>
      <c r="V184" s="603" t="s">
        <v>240</v>
      </c>
      <c r="W184" s="603" t="s">
        <v>351</v>
      </c>
    </row>
    <row r="185" spans="2:23" ht="28.8">
      <c r="B185" s="593" t="s">
        <v>317</v>
      </c>
      <c r="C185" s="593" t="s">
        <v>318</v>
      </c>
      <c r="D185" s="594">
        <v>2008</v>
      </c>
      <c r="E185" s="594">
        <v>93</v>
      </c>
      <c r="F185" s="594">
        <v>0</v>
      </c>
      <c r="G185" s="594">
        <v>0</v>
      </c>
      <c r="H185" s="594">
        <v>84</v>
      </c>
      <c r="I185" s="594">
        <v>82</v>
      </c>
      <c r="J185" s="594">
        <v>0</v>
      </c>
      <c r="K185" s="594">
        <v>0</v>
      </c>
      <c r="L185" s="594">
        <v>82</v>
      </c>
      <c r="M185" s="594"/>
      <c r="N185" s="604"/>
      <c r="O185" s="604"/>
      <c r="P185" s="604"/>
      <c r="Q185" s="455">
        <f t="shared" ref="Q185:Q186" si="626">I185/E185</f>
        <v>0.88172043010752688</v>
      </c>
      <c r="R185" s="455">
        <f t="shared" ref="R185:R186" si="627">I185/H185</f>
        <v>0.97619047619047616</v>
      </c>
      <c r="S185" s="604"/>
      <c r="T185" s="604"/>
      <c r="U185" s="604"/>
      <c r="V185" s="455">
        <f t="shared" ref="V185:V186" si="628">L185/H185</f>
        <v>0.97619047619047616</v>
      </c>
      <c r="W185" s="455">
        <f t="shared" ref="W185:W186" si="629">L185/E185</f>
        <v>0.88172043010752688</v>
      </c>
    </row>
    <row r="186" spans="2:23" ht="28.8">
      <c r="B186" s="593" t="s">
        <v>317</v>
      </c>
      <c r="C186" s="593" t="s">
        <v>318</v>
      </c>
      <c r="D186" s="594">
        <v>2009</v>
      </c>
      <c r="E186" s="594">
        <v>902</v>
      </c>
      <c r="F186" s="594">
        <v>0</v>
      </c>
      <c r="G186" s="594">
        <v>0</v>
      </c>
      <c r="H186" s="594">
        <v>797</v>
      </c>
      <c r="I186" s="594">
        <v>757</v>
      </c>
      <c r="J186" s="594">
        <v>0</v>
      </c>
      <c r="K186" s="594">
        <v>0</v>
      </c>
      <c r="L186" s="594">
        <v>737</v>
      </c>
      <c r="M186" s="594"/>
      <c r="N186" s="604"/>
      <c r="O186" s="604"/>
      <c r="P186" s="604"/>
      <c r="Q186" s="455">
        <f t="shared" si="626"/>
        <v>0.8392461197339246</v>
      </c>
      <c r="R186" s="455">
        <f t="shared" si="627"/>
        <v>0.94981179422835638</v>
      </c>
      <c r="S186" s="604"/>
      <c r="T186" s="604"/>
      <c r="U186" s="604"/>
      <c r="V186" s="455">
        <f t="shared" si="628"/>
        <v>0.92471769134253445</v>
      </c>
      <c r="W186" s="455">
        <f t="shared" si="629"/>
        <v>0.81707317073170727</v>
      </c>
    </row>
    <row r="187" spans="2:23" ht="28.8">
      <c r="B187" s="593" t="s">
        <v>317</v>
      </c>
      <c r="C187" s="593" t="s">
        <v>318</v>
      </c>
      <c r="D187" s="594">
        <v>2010</v>
      </c>
      <c r="E187" s="594">
        <v>112</v>
      </c>
      <c r="F187" s="594">
        <v>0</v>
      </c>
      <c r="G187" s="594">
        <v>0</v>
      </c>
      <c r="H187" s="594">
        <v>105</v>
      </c>
      <c r="I187" s="594">
        <v>103</v>
      </c>
      <c r="J187" s="594">
        <v>0</v>
      </c>
      <c r="K187" s="594">
        <v>0</v>
      </c>
      <c r="L187" s="594">
        <v>102</v>
      </c>
      <c r="M187" s="594"/>
      <c r="N187" s="604"/>
      <c r="O187" s="604"/>
      <c r="P187" s="604"/>
      <c r="Q187" s="455">
        <f>I187/E187</f>
        <v>0.9196428571428571</v>
      </c>
      <c r="R187" s="455">
        <f>I187/H187</f>
        <v>0.98095238095238091</v>
      </c>
      <c r="S187" s="604"/>
      <c r="T187" s="604"/>
      <c r="U187" s="604"/>
      <c r="V187" s="455">
        <f>L187/H187</f>
        <v>0.97142857142857142</v>
      </c>
      <c r="W187" s="455">
        <f>L187/E187</f>
        <v>0.9107142857142857</v>
      </c>
    </row>
    <row r="188" spans="2:23" ht="28.8">
      <c r="B188" s="593" t="s">
        <v>317</v>
      </c>
      <c r="C188" s="593" t="s">
        <v>318</v>
      </c>
      <c r="D188" s="594">
        <v>2011</v>
      </c>
      <c r="E188" s="594">
        <v>198</v>
      </c>
      <c r="F188" s="594">
        <v>0</v>
      </c>
      <c r="G188" s="594">
        <v>0</v>
      </c>
      <c r="H188" s="594">
        <v>162</v>
      </c>
      <c r="I188" s="594">
        <v>130</v>
      </c>
      <c r="J188" s="594">
        <v>0</v>
      </c>
      <c r="K188" s="594">
        <v>0</v>
      </c>
      <c r="L188" s="594">
        <v>133</v>
      </c>
      <c r="M188" s="594"/>
      <c r="N188" s="455">
        <f t="shared" ref="N188:N199" si="630">F188/E188</f>
        <v>0</v>
      </c>
      <c r="O188" s="604"/>
      <c r="P188" s="604"/>
      <c r="Q188" s="455">
        <f t="shared" ref="Q188:Q199" si="631">I188/E188</f>
        <v>0.65656565656565657</v>
      </c>
      <c r="R188" s="455">
        <f t="shared" ref="R188:R199" si="632">I188/H188</f>
        <v>0.80246913580246915</v>
      </c>
      <c r="S188" s="604"/>
      <c r="T188" s="604"/>
      <c r="U188" s="604"/>
      <c r="V188" s="455">
        <f t="shared" ref="V188:V199" si="633">L188/H188</f>
        <v>0.82098765432098764</v>
      </c>
      <c r="W188" s="455">
        <f t="shared" ref="W188:W199" si="634">L188/E188</f>
        <v>0.67171717171717171</v>
      </c>
    </row>
    <row r="189" spans="2:23" ht="28.8">
      <c r="B189" s="593" t="s">
        <v>317</v>
      </c>
      <c r="C189" s="593" t="s">
        <v>318</v>
      </c>
      <c r="D189" s="594">
        <v>2012</v>
      </c>
      <c r="E189" s="594">
        <v>28</v>
      </c>
      <c r="F189" s="594">
        <v>0</v>
      </c>
      <c r="G189" s="594">
        <v>0</v>
      </c>
      <c r="H189" s="594">
        <v>26</v>
      </c>
      <c r="I189" s="594">
        <v>25</v>
      </c>
      <c r="J189" s="594">
        <v>0</v>
      </c>
      <c r="K189" s="594">
        <v>0</v>
      </c>
      <c r="L189" s="594">
        <v>24</v>
      </c>
      <c r="M189" s="594"/>
      <c r="N189" s="455">
        <f t="shared" si="630"/>
        <v>0</v>
      </c>
      <c r="O189" s="604"/>
      <c r="P189" s="604"/>
      <c r="Q189" s="455">
        <f t="shared" si="631"/>
        <v>0.8928571428571429</v>
      </c>
      <c r="R189" s="455">
        <f t="shared" si="632"/>
        <v>0.96153846153846156</v>
      </c>
      <c r="S189" s="604"/>
      <c r="T189" s="604"/>
      <c r="U189" s="604"/>
      <c r="V189" s="455">
        <f t="shared" si="633"/>
        <v>0.92307692307692313</v>
      </c>
      <c r="W189" s="455">
        <f t="shared" si="634"/>
        <v>0.8571428571428571</v>
      </c>
    </row>
    <row r="190" spans="2:23" ht="28.8">
      <c r="B190" s="593" t="s">
        <v>317</v>
      </c>
      <c r="C190" s="593" t="s">
        <v>318</v>
      </c>
      <c r="D190" s="594">
        <v>2013</v>
      </c>
      <c r="E190" s="594">
        <v>109</v>
      </c>
      <c r="F190" s="594">
        <v>107</v>
      </c>
      <c r="G190" s="594">
        <v>0</v>
      </c>
      <c r="H190" s="594">
        <v>101</v>
      </c>
      <c r="I190" s="594">
        <v>98</v>
      </c>
      <c r="J190" s="594">
        <v>0</v>
      </c>
      <c r="K190" s="594">
        <v>0</v>
      </c>
      <c r="L190" s="594">
        <v>92</v>
      </c>
      <c r="M190" s="594"/>
      <c r="N190" s="455">
        <f t="shared" si="630"/>
        <v>0.98165137614678899</v>
      </c>
      <c r="O190" s="604"/>
      <c r="P190" s="604"/>
      <c r="Q190" s="455">
        <f t="shared" si="631"/>
        <v>0.8990825688073395</v>
      </c>
      <c r="R190" s="455">
        <f t="shared" si="632"/>
        <v>0.97029702970297027</v>
      </c>
      <c r="S190" s="455">
        <f t="shared" ref="S190:S199" si="635">J190/I190</f>
        <v>0</v>
      </c>
      <c r="T190" s="455" t="e">
        <f t="shared" ref="T190:T199" si="636">K190/J190</f>
        <v>#DIV/0!</v>
      </c>
      <c r="U190" s="455" t="e">
        <f t="shared" ref="U190:U199" si="637">L190/K190</f>
        <v>#DIV/0!</v>
      </c>
      <c r="V190" s="455">
        <f t="shared" si="633"/>
        <v>0.91089108910891092</v>
      </c>
      <c r="W190" s="455">
        <f t="shared" si="634"/>
        <v>0.84403669724770647</v>
      </c>
    </row>
    <row r="191" spans="2:23" ht="28.8">
      <c r="B191" s="593" t="s">
        <v>317</v>
      </c>
      <c r="C191" s="593" t="s">
        <v>318</v>
      </c>
      <c r="D191" s="594">
        <v>2014</v>
      </c>
      <c r="E191" s="594">
        <v>131</v>
      </c>
      <c r="F191" s="594">
        <v>126</v>
      </c>
      <c r="G191" s="594">
        <v>0</v>
      </c>
      <c r="H191" s="594">
        <v>115</v>
      </c>
      <c r="I191" s="594">
        <v>97</v>
      </c>
      <c r="J191" s="594">
        <v>99</v>
      </c>
      <c r="K191" s="594">
        <v>96</v>
      </c>
      <c r="L191" s="594">
        <v>95</v>
      </c>
      <c r="M191" s="594"/>
      <c r="N191" s="455">
        <f t="shared" si="630"/>
        <v>0.96183206106870234</v>
      </c>
      <c r="O191" s="604"/>
      <c r="P191" s="604"/>
      <c r="Q191" s="455">
        <f t="shared" si="631"/>
        <v>0.74045801526717558</v>
      </c>
      <c r="R191" s="455">
        <f t="shared" si="632"/>
        <v>0.84347826086956523</v>
      </c>
      <c r="S191" s="455">
        <f t="shared" si="635"/>
        <v>1.0206185567010309</v>
      </c>
      <c r="T191" s="455">
        <f t="shared" si="636"/>
        <v>0.96969696969696972</v>
      </c>
      <c r="U191" s="455">
        <f t="shared" si="637"/>
        <v>0.98958333333333337</v>
      </c>
      <c r="V191" s="455">
        <f t="shared" si="633"/>
        <v>0.82608695652173914</v>
      </c>
      <c r="W191" s="455">
        <f t="shared" si="634"/>
        <v>0.72519083969465647</v>
      </c>
    </row>
    <row r="192" spans="2:23" ht="28.8">
      <c r="B192" s="593" t="s">
        <v>317</v>
      </c>
      <c r="C192" s="593" t="s">
        <v>318</v>
      </c>
      <c r="D192" s="594">
        <v>2015</v>
      </c>
      <c r="E192" s="594">
        <v>160</v>
      </c>
      <c r="F192" s="594">
        <v>142</v>
      </c>
      <c r="G192" s="594">
        <v>0</v>
      </c>
      <c r="H192" s="594">
        <v>109</v>
      </c>
      <c r="I192" s="594">
        <v>100</v>
      </c>
      <c r="J192" s="594">
        <v>94</v>
      </c>
      <c r="K192" s="594">
        <v>85</v>
      </c>
      <c r="L192" s="594">
        <v>87</v>
      </c>
      <c r="M192" s="594"/>
      <c r="N192" s="455">
        <f t="shared" si="630"/>
        <v>0.88749999999999996</v>
      </c>
      <c r="O192" s="604"/>
      <c r="P192" s="604"/>
      <c r="Q192" s="455">
        <f t="shared" si="631"/>
        <v>0.625</v>
      </c>
      <c r="R192" s="455">
        <f t="shared" si="632"/>
        <v>0.91743119266055051</v>
      </c>
      <c r="S192" s="455">
        <f t="shared" si="635"/>
        <v>0.94</v>
      </c>
      <c r="T192" s="455">
        <f t="shared" si="636"/>
        <v>0.9042553191489362</v>
      </c>
      <c r="U192" s="455">
        <f t="shared" si="637"/>
        <v>1.0235294117647058</v>
      </c>
      <c r="V192" s="455">
        <f t="shared" si="633"/>
        <v>0.79816513761467889</v>
      </c>
      <c r="W192" s="455">
        <f t="shared" si="634"/>
        <v>0.54374999999999996</v>
      </c>
    </row>
    <row r="193" spans="2:23" ht="28.8">
      <c r="B193" s="593" t="s">
        <v>317</v>
      </c>
      <c r="C193" s="593" t="s">
        <v>318</v>
      </c>
      <c r="D193" s="594">
        <v>2016</v>
      </c>
      <c r="E193" s="594">
        <v>25</v>
      </c>
      <c r="F193" s="594">
        <v>24</v>
      </c>
      <c r="G193" s="594">
        <v>0</v>
      </c>
      <c r="H193" s="594">
        <v>23</v>
      </c>
      <c r="I193" s="594">
        <v>20</v>
      </c>
      <c r="J193" s="594">
        <v>21</v>
      </c>
      <c r="K193" s="594">
        <v>21</v>
      </c>
      <c r="L193" s="594">
        <v>21</v>
      </c>
      <c r="M193" s="594"/>
      <c r="N193" s="455">
        <f t="shared" si="630"/>
        <v>0.96</v>
      </c>
      <c r="O193" s="604"/>
      <c r="P193" s="604"/>
      <c r="Q193" s="455">
        <f t="shared" si="631"/>
        <v>0.8</v>
      </c>
      <c r="R193" s="455">
        <f t="shared" si="632"/>
        <v>0.86956521739130432</v>
      </c>
      <c r="S193" s="455">
        <f t="shared" si="635"/>
        <v>1.05</v>
      </c>
      <c r="T193" s="455">
        <f t="shared" si="636"/>
        <v>1</v>
      </c>
      <c r="U193" s="455">
        <f t="shared" si="637"/>
        <v>1</v>
      </c>
      <c r="V193" s="455">
        <f t="shared" si="633"/>
        <v>0.91304347826086951</v>
      </c>
      <c r="W193" s="455">
        <f t="shared" si="634"/>
        <v>0.84</v>
      </c>
    </row>
    <row r="194" spans="2:23" ht="28.8">
      <c r="B194" s="593" t="s">
        <v>317</v>
      </c>
      <c r="C194" s="593" t="s">
        <v>318</v>
      </c>
      <c r="D194" s="594">
        <v>2017</v>
      </c>
      <c r="E194" s="594">
        <v>68</v>
      </c>
      <c r="F194" s="594">
        <v>63</v>
      </c>
      <c r="G194" s="594">
        <v>0</v>
      </c>
      <c r="H194" s="594">
        <v>60</v>
      </c>
      <c r="I194" s="594">
        <v>55</v>
      </c>
      <c r="J194" s="594">
        <v>54</v>
      </c>
      <c r="K194" s="594">
        <v>56</v>
      </c>
      <c r="L194" s="594">
        <v>56</v>
      </c>
      <c r="M194" s="594"/>
      <c r="N194" s="455">
        <f t="shared" si="630"/>
        <v>0.92647058823529416</v>
      </c>
      <c r="O194" s="604"/>
      <c r="P194" s="604"/>
      <c r="Q194" s="455">
        <f t="shared" si="631"/>
        <v>0.80882352941176472</v>
      </c>
      <c r="R194" s="455">
        <f t="shared" si="632"/>
        <v>0.91666666666666663</v>
      </c>
      <c r="S194" s="455">
        <f t="shared" si="635"/>
        <v>0.98181818181818181</v>
      </c>
      <c r="T194" s="455">
        <f t="shared" si="636"/>
        <v>1.037037037037037</v>
      </c>
      <c r="U194" s="455">
        <f t="shared" si="637"/>
        <v>1</v>
      </c>
      <c r="V194" s="455">
        <f t="shared" si="633"/>
        <v>0.93333333333333335</v>
      </c>
      <c r="W194" s="455">
        <f t="shared" si="634"/>
        <v>0.82352941176470584</v>
      </c>
    </row>
    <row r="195" spans="2:23" ht="28.8">
      <c r="B195" s="593" t="s">
        <v>317</v>
      </c>
      <c r="C195" s="593" t="s">
        <v>318</v>
      </c>
      <c r="D195" s="594">
        <v>2018</v>
      </c>
      <c r="E195" s="594">
        <v>10</v>
      </c>
      <c r="F195" s="594">
        <v>9</v>
      </c>
      <c r="G195" s="594">
        <v>9</v>
      </c>
      <c r="H195" s="594">
        <v>9</v>
      </c>
      <c r="I195" s="594">
        <v>9</v>
      </c>
      <c r="J195" s="594">
        <v>9</v>
      </c>
      <c r="K195" s="594">
        <v>9</v>
      </c>
      <c r="L195" s="594">
        <v>9</v>
      </c>
      <c r="M195" s="594"/>
      <c r="N195" s="455">
        <f t="shared" si="630"/>
        <v>0.9</v>
      </c>
      <c r="O195" s="455">
        <f t="shared" ref="O195:O199" si="638">G195/F195</f>
        <v>1</v>
      </c>
      <c r="P195" s="455">
        <f t="shared" ref="P195:P199" si="639">H195/G195</f>
        <v>1</v>
      </c>
      <c r="Q195" s="455">
        <f t="shared" si="631"/>
        <v>0.9</v>
      </c>
      <c r="R195" s="455">
        <f t="shared" si="632"/>
        <v>1</v>
      </c>
      <c r="S195" s="455">
        <f t="shared" si="635"/>
        <v>1</v>
      </c>
      <c r="T195" s="455">
        <f t="shared" si="636"/>
        <v>1</v>
      </c>
      <c r="U195" s="455">
        <f t="shared" si="637"/>
        <v>1</v>
      </c>
      <c r="V195" s="455">
        <f t="shared" si="633"/>
        <v>1</v>
      </c>
      <c r="W195" s="455">
        <f t="shared" si="634"/>
        <v>0.9</v>
      </c>
    </row>
    <row r="196" spans="2:23" ht="28.8">
      <c r="B196" s="593" t="s">
        <v>317</v>
      </c>
      <c r="C196" s="593" t="s">
        <v>318</v>
      </c>
      <c r="D196" s="594">
        <v>2019</v>
      </c>
      <c r="E196" s="594">
        <v>26</v>
      </c>
      <c r="F196" s="594">
        <v>23</v>
      </c>
      <c r="G196" s="594">
        <v>23</v>
      </c>
      <c r="H196" s="594">
        <v>23</v>
      </c>
      <c r="I196" s="594">
        <v>23</v>
      </c>
      <c r="J196" s="594">
        <v>23</v>
      </c>
      <c r="K196" s="594">
        <v>23</v>
      </c>
      <c r="L196" s="594">
        <v>22</v>
      </c>
      <c r="M196" s="594"/>
      <c r="N196" s="455">
        <f t="shared" si="630"/>
        <v>0.88461538461538458</v>
      </c>
      <c r="O196" s="455">
        <f t="shared" si="638"/>
        <v>1</v>
      </c>
      <c r="P196" s="455">
        <f t="shared" si="639"/>
        <v>1</v>
      </c>
      <c r="Q196" s="455">
        <f t="shared" si="631"/>
        <v>0.88461538461538458</v>
      </c>
      <c r="R196" s="455">
        <f t="shared" si="632"/>
        <v>1</v>
      </c>
      <c r="S196" s="455">
        <f t="shared" si="635"/>
        <v>1</v>
      </c>
      <c r="T196" s="455">
        <f t="shared" si="636"/>
        <v>1</v>
      </c>
      <c r="U196" s="455">
        <f t="shared" si="637"/>
        <v>0.95652173913043481</v>
      </c>
      <c r="V196" s="455">
        <f t="shared" si="633"/>
        <v>0.95652173913043481</v>
      </c>
      <c r="W196" s="455">
        <f t="shared" si="634"/>
        <v>0.84615384615384615</v>
      </c>
    </row>
    <row r="197" spans="2:23" ht="28.8">
      <c r="B197" s="593" t="s">
        <v>317</v>
      </c>
      <c r="C197" s="593" t="s">
        <v>318</v>
      </c>
      <c r="D197" s="594">
        <v>2020</v>
      </c>
      <c r="E197" s="594">
        <v>13</v>
      </c>
      <c r="F197" s="594">
        <v>11</v>
      </c>
      <c r="G197" s="594">
        <v>11</v>
      </c>
      <c r="H197" s="594">
        <v>11</v>
      </c>
      <c r="I197" s="594">
        <v>10</v>
      </c>
      <c r="J197" s="594">
        <v>10</v>
      </c>
      <c r="K197" s="594">
        <v>10</v>
      </c>
      <c r="L197" s="594">
        <v>10</v>
      </c>
      <c r="M197" s="594"/>
      <c r="N197" s="455">
        <f t="shared" si="630"/>
        <v>0.84615384615384615</v>
      </c>
      <c r="O197" s="455">
        <f t="shared" si="638"/>
        <v>1</v>
      </c>
      <c r="P197" s="455">
        <f t="shared" si="639"/>
        <v>1</v>
      </c>
      <c r="Q197" s="455">
        <f t="shared" si="631"/>
        <v>0.76923076923076927</v>
      </c>
      <c r="R197" s="455">
        <f t="shared" si="632"/>
        <v>0.90909090909090906</v>
      </c>
      <c r="S197" s="455">
        <f t="shared" si="635"/>
        <v>1</v>
      </c>
      <c r="T197" s="455">
        <f t="shared" si="636"/>
        <v>1</v>
      </c>
      <c r="U197" s="455">
        <f t="shared" si="637"/>
        <v>1</v>
      </c>
      <c r="V197" s="455">
        <f t="shared" si="633"/>
        <v>0.90909090909090906</v>
      </c>
      <c r="W197" s="455">
        <f t="shared" si="634"/>
        <v>0.76923076923076927</v>
      </c>
    </row>
    <row r="198" spans="2:23" ht="28.8">
      <c r="B198" s="593" t="s">
        <v>317</v>
      </c>
      <c r="C198" s="593" t="s">
        <v>318</v>
      </c>
      <c r="D198" s="594">
        <v>2021</v>
      </c>
      <c r="E198" s="594">
        <v>24</v>
      </c>
      <c r="F198" s="594">
        <v>23</v>
      </c>
      <c r="G198" s="594">
        <v>22</v>
      </c>
      <c r="H198" s="594">
        <v>22</v>
      </c>
      <c r="I198" s="594">
        <v>22</v>
      </c>
      <c r="J198" s="594">
        <v>22</v>
      </c>
      <c r="K198" s="594">
        <v>22</v>
      </c>
      <c r="L198" s="594">
        <v>22</v>
      </c>
      <c r="M198" s="594"/>
      <c r="N198" s="455">
        <f t="shared" si="630"/>
        <v>0.95833333333333337</v>
      </c>
      <c r="O198" s="455">
        <f t="shared" si="638"/>
        <v>0.95652173913043481</v>
      </c>
      <c r="P198" s="455">
        <f t="shared" si="639"/>
        <v>1</v>
      </c>
      <c r="Q198" s="455">
        <f t="shared" si="631"/>
        <v>0.91666666666666663</v>
      </c>
      <c r="R198" s="455">
        <f t="shared" si="632"/>
        <v>1</v>
      </c>
      <c r="S198" s="455">
        <f t="shared" si="635"/>
        <v>1</v>
      </c>
      <c r="T198" s="455">
        <f t="shared" si="636"/>
        <v>1</v>
      </c>
      <c r="U198" s="455">
        <f t="shared" si="637"/>
        <v>1</v>
      </c>
      <c r="V198" s="455">
        <f t="shared" si="633"/>
        <v>1</v>
      </c>
      <c r="W198" s="455">
        <f t="shared" si="634"/>
        <v>0.91666666666666663</v>
      </c>
    </row>
    <row r="199" spans="2:23" ht="28.8">
      <c r="B199" s="593" t="s">
        <v>317</v>
      </c>
      <c r="C199" s="593" t="s">
        <v>318</v>
      </c>
      <c r="D199" s="594">
        <v>2022</v>
      </c>
      <c r="E199" s="594">
        <v>6</v>
      </c>
      <c r="F199" s="594">
        <v>5</v>
      </c>
      <c r="G199" s="594">
        <v>4</v>
      </c>
      <c r="H199" s="594">
        <v>4</v>
      </c>
      <c r="I199" s="594">
        <v>4</v>
      </c>
      <c r="J199" s="594">
        <v>4</v>
      </c>
      <c r="K199" s="594">
        <v>4</v>
      </c>
      <c r="L199" s="594">
        <v>4</v>
      </c>
      <c r="M199" s="594"/>
      <c r="N199" s="455">
        <f t="shared" si="630"/>
        <v>0.83333333333333337</v>
      </c>
      <c r="O199" s="455">
        <f t="shared" si="638"/>
        <v>0.8</v>
      </c>
      <c r="P199" s="455">
        <f t="shared" si="639"/>
        <v>1</v>
      </c>
      <c r="Q199" s="455">
        <f t="shared" si="631"/>
        <v>0.66666666666666663</v>
      </c>
      <c r="R199" s="455">
        <f t="shared" si="632"/>
        <v>1</v>
      </c>
      <c r="S199" s="455">
        <f t="shared" si="635"/>
        <v>1</v>
      </c>
      <c r="T199" s="455">
        <f t="shared" si="636"/>
        <v>1</v>
      </c>
      <c r="U199" s="455">
        <f t="shared" si="637"/>
        <v>1</v>
      </c>
      <c r="V199" s="455">
        <f t="shared" si="633"/>
        <v>1</v>
      </c>
      <c r="W199" s="455">
        <f t="shared" si="634"/>
        <v>0.66666666666666663</v>
      </c>
    </row>
    <row r="209" spans="4:20" ht="13.8" thickBot="1">
      <c r="E209" t="s">
        <v>326</v>
      </c>
      <c r="I209" t="s">
        <v>261</v>
      </c>
      <c r="K209" t="s">
        <v>116</v>
      </c>
      <c r="N209">
        <v>2008</v>
      </c>
      <c r="O209">
        <v>45.3</v>
      </c>
      <c r="P209">
        <v>54.3</v>
      </c>
      <c r="R209">
        <v>46.9</v>
      </c>
      <c r="S209">
        <v>57.7</v>
      </c>
      <c r="T209">
        <v>52.3</v>
      </c>
    </row>
    <row r="210" spans="4:20">
      <c r="E210" s="32" t="s">
        <v>281</v>
      </c>
      <c r="F210" s="40"/>
      <c r="G210" s="32" t="s">
        <v>327</v>
      </c>
      <c r="H210" s="40"/>
      <c r="I210" t="s">
        <v>328</v>
      </c>
      <c r="J210" t="s">
        <v>222</v>
      </c>
      <c r="K210" t="s">
        <v>281</v>
      </c>
      <c r="N210">
        <v>2009</v>
      </c>
      <c r="O210">
        <v>38.299999999999997</v>
      </c>
      <c r="P210">
        <v>40.4</v>
      </c>
      <c r="R210">
        <v>43.7</v>
      </c>
      <c r="S210">
        <v>49</v>
      </c>
      <c r="T210">
        <v>46.4</v>
      </c>
    </row>
    <row r="211" spans="4:20">
      <c r="E211" s="513" t="s">
        <v>173</v>
      </c>
      <c r="F211" s="73" t="s">
        <v>172</v>
      </c>
      <c r="G211" s="513" t="s">
        <v>173</v>
      </c>
      <c r="H211" s="73" t="s">
        <v>172</v>
      </c>
      <c r="I211" s="455"/>
      <c r="J211" s="455"/>
      <c r="N211">
        <v>2010</v>
      </c>
      <c r="O211">
        <v>22.6</v>
      </c>
      <c r="P211">
        <v>38.200000000000003</v>
      </c>
      <c r="R211">
        <v>35</v>
      </c>
      <c r="S211">
        <v>36.6</v>
      </c>
      <c r="T211">
        <v>35.799999999999997</v>
      </c>
    </row>
    <row r="212" spans="4:20">
      <c r="D212">
        <f>D185</f>
        <v>2008</v>
      </c>
      <c r="E212" s="513">
        <f>E185</f>
        <v>93</v>
      </c>
      <c r="F212" s="73">
        <f>H185</f>
        <v>84</v>
      </c>
      <c r="G212" s="513">
        <f t="shared" ref="G212:G226" si="640">E165</f>
        <v>521</v>
      </c>
      <c r="H212" s="73">
        <f t="shared" ref="H212:H226" si="641">H165</f>
        <v>482</v>
      </c>
      <c r="I212" s="455">
        <f>F212/E212</f>
        <v>0.90322580645161288</v>
      </c>
      <c r="J212" s="455">
        <f>H212/G212</f>
        <v>0.92514395393474091</v>
      </c>
      <c r="N212">
        <v>2011</v>
      </c>
      <c r="O212">
        <v>40.700000000000003</v>
      </c>
      <c r="P212">
        <v>35.200000000000003</v>
      </c>
      <c r="R212">
        <v>36.1</v>
      </c>
      <c r="S212">
        <v>43.3</v>
      </c>
      <c r="T212">
        <v>39.700000000000003</v>
      </c>
    </row>
    <row r="213" spans="4:20">
      <c r="D213">
        <f t="shared" ref="D213:E213" si="642">D186</f>
        <v>2009</v>
      </c>
      <c r="E213" s="513">
        <f t="shared" si="642"/>
        <v>902</v>
      </c>
      <c r="F213" s="73">
        <f t="shared" ref="F213:F226" si="643">H186</f>
        <v>797</v>
      </c>
      <c r="G213" s="513">
        <f t="shared" si="640"/>
        <v>1258</v>
      </c>
      <c r="H213" s="73">
        <f t="shared" si="641"/>
        <v>1120</v>
      </c>
      <c r="I213" s="455">
        <f t="shared" ref="I213:I226" si="644">F213/E213</f>
        <v>0.88359201773835916</v>
      </c>
      <c r="J213" s="455">
        <f t="shared" ref="J213:J226" si="645">H213/G213</f>
        <v>0.890302066772655</v>
      </c>
      <c r="N213">
        <v>2012</v>
      </c>
      <c r="O213">
        <v>24.7</v>
      </c>
      <c r="P213">
        <v>22.7</v>
      </c>
      <c r="R213">
        <v>26.2</v>
      </c>
      <c r="S213">
        <v>31.4</v>
      </c>
      <c r="T213">
        <v>28.8</v>
      </c>
    </row>
    <row r="214" spans="4:20">
      <c r="D214">
        <f t="shared" ref="D214:E214" si="646">D187</f>
        <v>2010</v>
      </c>
      <c r="E214" s="513">
        <f t="shared" si="646"/>
        <v>112</v>
      </c>
      <c r="F214" s="73">
        <f t="shared" si="643"/>
        <v>105</v>
      </c>
      <c r="G214" s="513">
        <f t="shared" si="640"/>
        <v>273</v>
      </c>
      <c r="H214" s="73">
        <f t="shared" si="641"/>
        <v>257</v>
      </c>
      <c r="I214" s="455">
        <f t="shared" si="644"/>
        <v>0.9375</v>
      </c>
      <c r="J214" s="455">
        <f t="shared" si="645"/>
        <v>0.94139194139194138</v>
      </c>
      <c r="N214">
        <v>2013</v>
      </c>
      <c r="O214">
        <v>31</v>
      </c>
      <c r="P214">
        <v>36.1</v>
      </c>
      <c r="R214">
        <v>33.6</v>
      </c>
      <c r="S214">
        <v>51.4</v>
      </c>
      <c r="T214">
        <v>42.5</v>
      </c>
    </row>
    <row r="215" spans="4:20">
      <c r="D215">
        <f t="shared" ref="D215:E215" si="647">D188</f>
        <v>2011</v>
      </c>
      <c r="E215" s="513">
        <f t="shared" si="647"/>
        <v>198</v>
      </c>
      <c r="F215" s="73">
        <f t="shared" si="643"/>
        <v>162</v>
      </c>
      <c r="G215" s="513">
        <f t="shared" si="640"/>
        <v>927</v>
      </c>
      <c r="H215" s="73">
        <f t="shared" si="641"/>
        <v>772</v>
      </c>
      <c r="I215" s="455">
        <f t="shared" si="644"/>
        <v>0.81818181818181823</v>
      </c>
      <c r="J215" s="455">
        <f t="shared" si="645"/>
        <v>0.83279395900755127</v>
      </c>
      <c r="N215">
        <v>2014</v>
      </c>
      <c r="O215">
        <v>38.299999999999997</v>
      </c>
      <c r="P215">
        <v>30.9</v>
      </c>
      <c r="R215">
        <v>33.299999999999997</v>
      </c>
      <c r="S215">
        <v>47.4</v>
      </c>
      <c r="T215">
        <v>40.4</v>
      </c>
    </row>
    <row r="216" spans="4:20">
      <c r="D216">
        <f t="shared" ref="D216:E216" si="648">D189</f>
        <v>2012</v>
      </c>
      <c r="E216" s="513">
        <f t="shared" si="648"/>
        <v>28</v>
      </c>
      <c r="F216" s="73">
        <f t="shared" si="643"/>
        <v>26</v>
      </c>
      <c r="G216" s="513">
        <f t="shared" si="640"/>
        <v>100</v>
      </c>
      <c r="H216" s="73">
        <f t="shared" si="641"/>
        <v>91</v>
      </c>
      <c r="I216" s="455">
        <f t="shared" si="644"/>
        <v>0.9285714285714286</v>
      </c>
      <c r="J216" s="455">
        <f t="shared" si="645"/>
        <v>0.91</v>
      </c>
      <c r="N216">
        <v>2015</v>
      </c>
      <c r="O216">
        <v>13.6</v>
      </c>
      <c r="P216">
        <v>11.4</v>
      </c>
      <c r="R216">
        <v>13.2</v>
      </c>
      <c r="S216">
        <v>18.7</v>
      </c>
      <c r="T216">
        <v>16</v>
      </c>
    </row>
    <row r="217" spans="4:20">
      <c r="D217">
        <f t="shared" ref="D217:E217" si="649">D190</f>
        <v>2013</v>
      </c>
      <c r="E217" s="513">
        <f t="shared" si="649"/>
        <v>109</v>
      </c>
      <c r="F217" s="73">
        <f t="shared" si="643"/>
        <v>101</v>
      </c>
      <c r="G217" s="513">
        <f t="shared" si="640"/>
        <v>638</v>
      </c>
      <c r="H217" s="73">
        <f t="shared" si="641"/>
        <v>578</v>
      </c>
      <c r="I217" s="455">
        <f t="shared" si="644"/>
        <v>0.92660550458715596</v>
      </c>
      <c r="J217" s="455">
        <f t="shared" si="645"/>
        <v>0.90595611285266453</v>
      </c>
      <c r="N217">
        <v>2016</v>
      </c>
      <c r="O217">
        <v>21</v>
      </c>
      <c r="P217">
        <v>19.3</v>
      </c>
      <c r="R217">
        <v>22.6</v>
      </c>
      <c r="S217">
        <v>27.7</v>
      </c>
      <c r="T217">
        <v>25.2</v>
      </c>
    </row>
    <row r="218" spans="4:20">
      <c r="D218">
        <f t="shared" ref="D218:E218" si="650">D191</f>
        <v>2014</v>
      </c>
      <c r="E218" s="513">
        <f t="shared" si="650"/>
        <v>131</v>
      </c>
      <c r="F218" s="73">
        <f t="shared" si="643"/>
        <v>115</v>
      </c>
      <c r="G218" s="513">
        <f t="shared" si="640"/>
        <v>674</v>
      </c>
      <c r="H218" s="73">
        <f t="shared" si="641"/>
        <v>599</v>
      </c>
      <c r="I218" s="455">
        <f t="shared" si="644"/>
        <v>0.87786259541984735</v>
      </c>
      <c r="J218" s="455">
        <f t="shared" si="645"/>
        <v>0.88872403560830859</v>
      </c>
      <c r="N218">
        <v>2017</v>
      </c>
      <c r="O218">
        <v>21.4</v>
      </c>
      <c r="P218">
        <v>17.8</v>
      </c>
      <c r="R218">
        <v>19</v>
      </c>
      <c r="S218">
        <v>40.200000000000003</v>
      </c>
      <c r="T218">
        <v>29.6</v>
      </c>
    </row>
    <row r="219" spans="4:20">
      <c r="D219">
        <f t="shared" ref="D219:E219" si="651">D192</f>
        <v>2015</v>
      </c>
      <c r="E219" s="513">
        <f t="shared" si="651"/>
        <v>160</v>
      </c>
      <c r="F219" s="73">
        <f t="shared" si="643"/>
        <v>109</v>
      </c>
      <c r="G219" s="513">
        <f t="shared" si="640"/>
        <v>294</v>
      </c>
      <c r="H219" s="73">
        <f t="shared" si="641"/>
        <v>244</v>
      </c>
      <c r="I219" s="455">
        <f t="shared" si="644"/>
        <v>0.68125000000000002</v>
      </c>
      <c r="J219" s="455">
        <f t="shared" si="645"/>
        <v>0.82993197278911568</v>
      </c>
      <c r="N219">
        <v>2018</v>
      </c>
      <c r="O219">
        <v>45.4</v>
      </c>
      <c r="P219">
        <v>44.1</v>
      </c>
      <c r="R219">
        <v>44.5</v>
      </c>
      <c r="S219">
        <v>63.3</v>
      </c>
      <c r="T219">
        <v>53.9</v>
      </c>
    </row>
    <row r="220" spans="4:20">
      <c r="D220">
        <f t="shared" ref="D220:E220" si="652">D193</f>
        <v>2016</v>
      </c>
      <c r="E220" s="513">
        <f t="shared" si="652"/>
        <v>25</v>
      </c>
      <c r="F220" s="73">
        <f t="shared" si="643"/>
        <v>23</v>
      </c>
      <c r="G220" s="513">
        <f t="shared" si="640"/>
        <v>141</v>
      </c>
      <c r="H220" s="73">
        <f t="shared" si="641"/>
        <v>131</v>
      </c>
      <c r="I220" s="455">
        <f t="shared" si="644"/>
        <v>0.92</v>
      </c>
      <c r="J220" s="455">
        <f t="shared" si="645"/>
        <v>0.92907801418439717</v>
      </c>
      <c r="N220">
        <v>2019</v>
      </c>
      <c r="O220">
        <v>33.6</v>
      </c>
      <c r="P220">
        <v>41.6</v>
      </c>
      <c r="R220">
        <v>35.5</v>
      </c>
      <c r="S220">
        <v>44.1</v>
      </c>
      <c r="T220">
        <v>39.799999999999997</v>
      </c>
    </row>
    <row r="221" spans="4:20">
      <c r="D221">
        <f t="shared" ref="D221:E221" si="653">D194</f>
        <v>2017</v>
      </c>
      <c r="E221" s="513">
        <f t="shared" si="653"/>
        <v>68</v>
      </c>
      <c r="F221" s="73">
        <f t="shared" si="643"/>
        <v>60</v>
      </c>
      <c r="G221" s="513">
        <f t="shared" si="640"/>
        <v>203</v>
      </c>
      <c r="H221" s="73">
        <f t="shared" si="641"/>
        <v>169</v>
      </c>
      <c r="I221" s="455">
        <f t="shared" si="644"/>
        <v>0.88235294117647056</v>
      </c>
      <c r="J221" s="455">
        <f t="shared" si="645"/>
        <v>0.83251231527093594</v>
      </c>
      <c r="N221">
        <v>2020</v>
      </c>
      <c r="O221">
        <v>12.5</v>
      </c>
      <c r="P221">
        <v>18.8</v>
      </c>
      <c r="R221">
        <v>11.7</v>
      </c>
      <c r="S221">
        <v>20.5</v>
      </c>
      <c r="T221">
        <v>16.100000000000001</v>
      </c>
    </row>
    <row r="222" spans="4:20">
      <c r="D222">
        <f t="shared" ref="D222:E222" si="654">D195</f>
        <v>2018</v>
      </c>
      <c r="E222" s="513">
        <f t="shared" si="654"/>
        <v>10</v>
      </c>
      <c r="F222" s="73">
        <f t="shared" si="643"/>
        <v>9</v>
      </c>
      <c r="G222" s="513">
        <f t="shared" si="640"/>
        <v>76</v>
      </c>
      <c r="H222" s="73">
        <f t="shared" si="641"/>
        <v>65</v>
      </c>
      <c r="I222" s="455">
        <f t="shared" si="644"/>
        <v>0.9</v>
      </c>
      <c r="J222" s="455">
        <f t="shared" si="645"/>
        <v>0.85526315789473684</v>
      </c>
    </row>
    <row r="223" spans="4:20">
      <c r="D223">
        <f t="shared" ref="D223:E223" si="655">D196</f>
        <v>2019</v>
      </c>
      <c r="E223" s="513">
        <f t="shared" si="655"/>
        <v>26</v>
      </c>
      <c r="F223" s="73">
        <f t="shared" si="643"/>
        <v>23</v>
      </c>
      <c r="G223" s="513">
        <f t="shared" si="640"/>
        <v>67</v>
      </c>
      <c r="H223" s="73">
        <f t="shared" si="641"/>
        <v>60</v>
      </c>
      <c r="I223" s="455">
        <f t="shared" si="644"/>
        <v>0.88461538461538458</v>
      </c>
      <c r="J223" s="455">
        <f t="shared" si="645"/>
        <v>0.89552238805970152</v>
      </c>
    </row>
    <row r="224" spans="4:20">
      <c r="D224">
        <f t="shared" ref="D224:E224" si="656">D197</f>
        <v>2020</v>
      </c>
      <c r="E224" s="513">
        <f t="shared" si="656"/>
        <v>13</v>
      </c>
      <c r="F224" s="73">
        <f t="shared" si="643"/>
        <v>11</v>
      </c>
      <c r="G224" s="513">
        <f t="shared" si="640"/>
        <v>84</v>
      </c>
      <c r="H224" s="73">
        <f t="shared" si="641"/>
        <v>76</v>
      </c>
      <c r="I224" s="455">
        <f t="shared" si="644"/>
        <v>0.84615384615384615</v>
      </c>
      <c r="J224" s="455">
        <f t="shared" si="645"/>
        <v>0.90476190476190477</v>
      </c>
    </row>
    <row r="225" spans="4:11">
      <c r="D225">
        <f t="shared" ref="D225:E225" si="657">D198</f>
        <v>2021</v>
      </c>
      <c r="E225" s="513">
        <f t="shared" si="657"/>
        <v>24</v>
      </c>
      <c r="F225" s="73">
        <f t="shared" si="643"/>
        <v>22</v>
      </c>
      <c r="G225" s="513">
        <f t="shared" si="640"/>
        <v>126</v>
      </c>
      <c r="H225" s="73">
        <f t="shared" si="641"/>
        <v>118</v>
      </c>
      <c r="I225" s="455">
        <f t="shared" si="644"/>
        <v>0.91666666666666663</v>
      </c>
      <c r="J225" s="455">
        <f t="shared" si="645"/>
        <v>0.93650793650793651</v>
      </c>
    </row>
    <row r="226" spans="4:11" ht="13.8" thickBot="1">
      <c r="D226">
        <f>D199</f>
        <v>2022</v>
      </c>
      <c r="E226" s="514">
        <f>E199</f>
        <v>6</v>
      </c>
      <c r="F226" s="515">
        <f t="shared" si="643"/>
        <v>4</v>
      </c>
      <c r="G226" s="514">
        <f t="shared" si="640"/>
        <v>168</v>
      </c>
      <c r="H226" s="515">
        <f t="shared" si="641"/>
        <v>157</v>
      </c>
      <c r="I226" s="455">
        <f t="shared" si="644"/>
        <v>0.66666666666666663</v>
      </c>
      <c r="J226" s="455">
        <f t="shared" si="645"/>
        <v>0.93452380952380953</v>
      </c>
    </row>
    <row r="228" spans="4:11">
      <c r="F228" t="s">
        <v>331</v>
      </c>
    </row>
    <row r="229" spans="4:11">
      <c r="E229" t="s">
        <v>340</v>
      </c>
      <c r="G229" t="s">
        <v>324</v>
      </c>
      <c r="I229" t="s">
        <v>330</v>
      </c>
      <c r="K229" t="s">
        <v>341</v>
      </c>
    </row>
    <row r="230" spans="4:11">
      <c r="E230" t="s">
        <v>329</v>
      </c>
      <c r="G230" t="s">
        <v>329</v>
      </c>
      <c r="I230" t="s">
        <v>329</v>
      </c>
      <c r="K230" t="s">
        <v>342</v>
      </c>
    </row>
    <row r="231" spans="4:11">
      <c r="D231">
        <v>2008</v>
      </c>
      <c r="E231" s="455">
        <v>0.41053615960099749</v>
      </c>
      <c r="G231" s="455">
        <f>E212/(E212+G212)</f>
        <v>0.15146579804560262</v>
      </c>
      <c r="I231" s="455">
        <f>E139/(E139+E115)</f>
        <v>0.43116490166414523</v>
      </c>
      <c r="K231" s="455">
        <v>0.498</v>
      </c>
    </row>
    <row r="232" spans="4:11">
      <c r="D232">
        <v>2009</v>
      </c>
      <c r="E232" s="455">
        <v>9.9029126213592236E-2</v>
      </c>
      <c r="G232" s="455">
        <f t="shared" ref="G232:G245" si="658">E213/(E213+G213)</f>
        <v>0.41759259259259257</v>
      </c>
      <c r="I232" s="455">
        <f t="shared" ref="I232:I245" si="659">E140/(E140+E116)</f>
        <v>0.24411257897759908</v>
      </c>
      <c r="K232" s="455">
        <v>0.39400000000000002</v>
      </c>
    </row>
    <row r="233" spans="4:11">
      <c r="D233">
        <v>2010</v>
      </c>
      <c r="E233" s="455">
        <v>7.9921065614208184E-2</v>
      </c>
      <c r="G233" s="455">
        <f t="shared" si="658"/>
        <v>0.29090909090909089</v>
      </c>
      <c r="I233" s="455">
        <f t="shared" si="659"/>
        <v>0.45400321174581326</v>
      </c>
      <c r="K233" s="455">
        <v>0.30399999999999999</v>
      </c>
    </row>
    <row r="234" spans="4:11">
      <c r="D234">
        <v>2011</v>
      </c>
      <c r="E234" s="455">
        <v>0.14980289093298291</v>
      </c>
      <c r="G234" s="455">
        <f t="shared" si="658"/>
        <v>0.17599999999999999</v>
      </c>
      <c r="I234" s="455">
        <f t="shared" si="659"/>
        <v>0.35368043087971274</v>
      </c>
      <c r="K234" s="455">
        <v>0.38</v>
      </c>
    </row>
    <row r="235" spans="4:11">
      <c r="D235">
        <v>2012</v>
      </c>
      <c r="E235" s="455">
        <v>5.760297305667389E-2</v>
      </c>
      <c r="G235" s="455">
        <f t="shared" si="658"/>
        <v>0.21875</v>
      </c>
      <c r="I235" s="455">
        <f t="shared" si="659"/>
        <v>0.21972235519387268</v>
      </c>
      <c r="K235" s="455">
        <v>0.23699999999999999</v>
      </c>
    </row>
    <row r="236" spans="4:11">
      <c r="D236">
        <v>2013</v>
      </c>
      <c r="E236" s="455">
        <v>0.1022653721682848</v>
      </c>
      <c r="G236" s="455">
        <f t="shared" si="658"/>
        <v>0.1459170013386881</v>
      </c>
      <c r="I236" s="455">
        <f t="shared" si="659"/>
        <v>0.274209012464046</v>
      </c>
      <c r="K236" s="455">
        <v>0.33600000000000002</v>
      </c>
    </row>
    <row r="237" spans="4:11">
      <c r="D237">
        <v>2014</v>
      </c>
      <c r="E237" s="455">
        <v>0.10758377425044091</v>
      </c>
      <c r="G237" s="455">
        <f t="shared" si="658"/>
        <v>0.16273291925465838</v>
      </c>
      <c r="I237" s="455">
        <f t="shared" si="659"/>
        <v>0.21424987456096337</v>
      </c>
      <c r="K237" s="455">
        <v>0.34600000000000003</v>
      </c>
    </row>
    <row r="238" spans="4:11">
      <c r="D238">
        <v>2015</v>
      </c>
      <c r="E238" s="455">
        <v>1.7412935323383085E-2</v>
      </c>
      <c r="G238" s="455">
        <f t="shared" si="658"/>
        <v>0.3524229074889868</v>
      </c>
      <c r="I238" s="455">
        <f t="shared" si="659"/>
        <v>0.25054151624548737</v>
      </c>
      <c r="K238" s="455">
        <v>0.125</v>
      </c>
    </row>
    <row r="239" spans="4:11">
      <c r="D239">
        <v>2016</v>
      </c>
      <c r="E239" s="455">
        <v>0.11938534278959811</v>
      </c>
      <c r="G239" s="455">
        <f t="shared" si="658"/>
        <v>0.15060240963855423</v>
      </c>
      <c r="I239" s="455">
        <f t="shared" si="659"/>
        <v>0.3536316947909024</v>
      </c>
      <c r="K239" s="455">
        <v>0.20199999999999999</v>
      </c>
    </row>
    <row r="240" spans="4:11">
      <c r="D240">
        <v>2017</v>
      </c>
      <c r="E240" s="455">
        <v>5.7777777777777775E-2</v>
      </c>
      <c r="G240" s="455">
        <f t="shared" si="658"/>
        <v>0.25092250922509224</v>
      </c>
      <c r="I240" s="455">
        <f t="shared" si="659"/>
        <v>0.22698412698412698</v>
      </c>
      <c r="K240" s="455">
        <v>0.19600000000000001</v>
      </c>
    </row>
    <row r="241" spans="4:11">
      <c r="D241">
        <v>2018</v>
      </c>
      <c r="E241" s="455">
        <v>0.20414937759336099</v>
      </c>
      <c r="G241" s="455">
        <f t="shared" si="658"/>
        <v>0.11627906976744186</v>
      </c>
      <c r="I241" s="455">
        <f t="shared" si="659"/>
        <v>0.31029986962190353</v>
      </c>
      <c r="K241" s="455">
        <v>0.44799999999999995</v>
      </c>
    </row>
    <row r="242" spans="4:11">
      <c r="D242">
        <v>2019</v>
      </c>
      <c r="E242" s="455">
        <v>0.21724890829694324</v>
      </c>
      <c r="G242" s="455">
        <f t="shared" si="658"/>
        <v>0.27956989247311825</v>
      </c>
      <c r="I242" s="455">
        <f t="shared" si="659"/>
        <v>0.15294117647058825</v>
      </c>
      <c r="K242" s="455">
        <v>0.376</v>
      </c>
    </row>
    <row r="243" spans="4:11">
      <c r="D243">
        <v>2020</v>
      </c>
      <c r="E243" s="455">
        <v>6.8493150684931503E-2</v>
      </c>
      <c r="G243" s="455">
        <f t="shared" si="658"/>
        <v>0.13402061855670103</v>
      </c>
      <c r="I243" s="455">
        <f t="shared" si="659"/>
        <v>0.31392931392931395</v>
      </c>
      <c r="K243" s="455">
        <v>0.157</v>
      </c>
    </row>
    <row r="244" spans="4:11">
      <c r="D244">
        <v>2021</v>
      </c>
      <c r="E244" s="455">
        <v>2.1702838063439065E-2</v>
      </c>
      <c r="G244" s="455">
        <f>E225/(E225+G225)</f>
        <v>0.16</v>
      </c>
      <c r="I244" s="455">
        <f t="shared" si="659"/>
        <v>0.17063492063492064</v>
      </c>
      <c r="K244" s="455">
        <v>7.9000000000000001E-2</v>
      </c>
    </row>
    <row r="245" spans="4:11">
      <c r="D245">
        <v>2022</v>
      </c>
      <c r="E245" s="455">
        <v>0.10457516339869281</v>
      </c>
      <c r="G245" s="455">
        <f t="shared" si="658"/>
        <v>3.4482758620689655E-2</v>
      </c>
      <c r="I245" s="455">
        <f t="shared" si="659"/>
        <v>0.12727272727272726</v>
      </c>
    </row>
    <row r="246" spans="4:11">
      <c r="G246" t="s">
        <v>197</v>
      </c>
    </row>
    <row r="255" spans="4:11">
      <c r="F255" t="s">
        <v>336</v>
      </c>
      <c r="G255" t="s">
        <v>339</v>
      </c>
    </row>
    <row r="260" spans="6:14" ht="14.4">
      <c r="F260" s="592"/>
      <c r="G260" s="592"/>
      <c r="H260" s="592"/>
      <c r="I260" s="592"/>
      <c r="K260" s="592"/>
      <c r="L260" s="592"/>
      <c r="M260" s="592"/>
    </row>
    <row r="261" spans="6:14" ht="14.4">
      <c r="H261" t="s">
        <v>222</v>
      </c>
      <c r="K261" t="s">
        <v>337</v>
      </c>
      <c r="N261" s="594"/>
    </row>
    <row r="262" spans="6:14" ht="14.4">
      <c r="F262" s="592" t="s">
        <v>332</v>
      </c>
      <c r="G262" s="592" t="s">
        <v>333</v>
      </c>
      <c r="H262" s="592" t="s">
        <v>334</v>
      </c>
      <c r="I262" s="594"/>
      <c r="J262" s="592" t="s">
        <v>332</v>
      </c>
      <c r="K262" s="592" t="s">
        <v>334</v>
      </c>
      <c r="L262" s="599" t="s">
        <v>338</v>
      </c>
    </row>
    <row r="263" spans="6:14" ht="14.4">
      <c r="F263" s="594">
        <v>2002</v>
      </c>
      <c r="G263" s="593" t="s">
        <v>335</v>
      </c>
      <c r="H263" s="594">
        <v>88</v>
      </c>
      <c r="I263" s="594"/>
      <c r="L263" s="593"/>
      <c r="M263" s="594"/>
      <c r="N263" s="594"/>
    </row>
    <row r="264" spans="6:14" ht="14.4">
      <c r="F264" s="594">
        <v>2003</v>
      </c>
      <c r="G264" s="593" t="s">
        <v>335</v>
      </c>
      <c r="H264" s="594">
        <v>63</v>
      </c>
      <c r="I264" s="594"/>
      <c r="J264" s="594">
        <v>2003</v>
      </c>
      <c r="K264" s="594">
        <v>62</v>
      </c>
      <c r="L264" s="455">
        <f>K264/(K264+H264)</f>
        <v>0.496</v>
      </c>
    </row>
    <row r="265" spans="6:14" ht="14.4">
      <c r="F265" s="594">
        <v>2004</v>
      </c>
      <c r="G265" s="593" t="s">
        <v>335</v>
      </c>
      <c r="H265" s="594">
        <v>10</v>
      </c>
      <c r="I265" s="594"/>
      <c r="J265" s="594">
        <v>2004</v>
      </c>
      <c r="K265" s="594">
        <v>21</v>
      </c>
      <c r="L265" s="455">
        <f t="shared" ref="L265:L283" si="660">K265/(K265+H265)</f>
        <v>0.67741935483870963</v>
      </c>
      <c r="M265" s="594"/>
      <c r="N265" s="594"/>
    </row>
    <row r="266" spans="6:14" ht="14.4">
      <c r="F266" s="594">
        <v>2005</v>
      </c>
      <c r="G266" s="593" t="s">
        <v>335</v>
      </c>
      <c r="H266" s="594">
        <v>26</v>
      </c>
      <c r="I266" s="594"/>
      <c r="J266" s="594">
        <v>2005</v>
      </c>
      <c r="K266" s="594">
        <v>66</v>
      </c>
      <c r="L266" s="455">
        <f t="shared" si="660"/>
        <v>0.71739130434782605</v>
      </c>
      <c r="M266" s="598"/>
    </row>
    <row r="267" spans="6:14" ht="14.4">
      <c r="F267" s="594">
        <v>2006</v>
      </c>
      <c r="G267" s="593" t="s">
        <v>335</v>
      </c>
      <c r="H267" s="594">
        <v>519</v>
      </c>
      <c r="I267" s="594"/>
      <c r="J267" s="594">
        <v>2006</v>
      </c>
      <c r="K267" s="594">
        <v>479</v>
      </c>
      <c r="L267" s="455">
        <f t="shared" si="660"/>
        <v>0.47995991983967934</v>
      </c>
      <c r="M267" s="598"/>
    </row>
    <row r="268" spans="6:14" ht="14.4">
      <c r="F268" s="594">
        <v>2007</v>
      </c>
      <c r="G268" s="593" t="s">
        <v>335</v>
      </c>
      <c r="H268" s="594">
        <v>1213</v>
      </c>
      <c r="I268" s="594"/>
      <c r="J268" s="594">
        <v>2007</v>
      </c>
      <c r="K268" s="594">
        <v>56</v>
      </c>
      <c r="L268" s="455">
        <f t="shared" si="660"/>
        <v>4.4129235618597322E-2</v>
      </c>
      <c r="M268" s="598"/>
    </row>
    <row r="269" spans="6:14" ht="14.4">
      <c r="F269" s="594">
        <v>2008</v>
      </c>
      <c r="G269" s="593" t="s">
        <v>335</v>
      </c>
      <c r="H269" s="594">
        <v>1891</v>
      </c>
      <c r="I269" s="594"/>
      <c r="J269" s="594">
        <v>2008</v>
      </c>
      <c r="K269" s="594">
        <v>1317</v>
      </c>
      <c r="L269" s="455">
        <f t="shared" si="660"/>
        <v>0.41053615960099749</v>
      </c>
      <c r="M269" s="598"/>
    </row>
    <row r="270" spans="6:14" ht="14.4">
      <c r="F270" s="594">
        <v>2009</v>
      </c>
      <c r="G270" s="593" t="s">
        <v>335</v>
      </c>
      <c r="H270" s="594">
        <v>1392</v>
      </c>
      <c r="I270" s="594"/>
      <c r="J270" s="594">
        <v>2009</v>
      </c>
      <c r="K270" s="594">
        <v>153</v>
      </c>
      <c r="L270" s="455">
        <f t="shared" si="660"/>
        <v>9.9029126213592236E-2</v>
      </c>
      <c r="M270" s="598"/>
    </row>
    <row r="271" spans="6:14" ht="14.4">
      <c r="F271" s="594">
        <v>2010</v>
      </c>
      <c r="G271" s="593" t="s">
        <v>335</v>
      </c>
      <c r="H271" s="594">
        <v>1865</v>
      </c>
      <c r="I271" s="594"/>
      <c r="J271" s="594">
        <v>2010</v>
      </c>
      <c r="K271" s="594">
        <v>162</v>
      </c>
      <c r="L271" s="455">
        <f t="shared" si="660"/>
        <v>7.9921065614208184E-2</v>
      </c>
      <c r="M271" s="594"/>
      <c r="N271" s="594"/>
    </row>
    <row r="272" spans="6:14" ht="14.4">
      <c r="F272" s="594">
        <v>2011</v>
      </c>
      <c r="G272" s="593" t="s">
        <v>335</v>
      </c>
      <c r="H272" s="594">
        <v>647</v>
      </c>
      <c r="I272" s="594"/>
      <c r="J272" s="594">
        <v>2011</v>
      </c>
      <c r="K272" s="594">
        <v>114</v>
      </c>
      <c r="L272" s="455">
        <f t="shared" si="660"/>
        <v>0.14980289093298291</v>
      </c>
      <c r="M272" s="594"/>
      <c r="N272" s="594"/>
    </row>
    <row r="273" spans="5:14" ht="14.4">
      <c r="F273" s="594">
        <v>2012</v>
      </c>
      <c r="G273" s="593" t="s">
        <v>335</v>
      </c>
      <c r="H273" s="594">
        <v>3043</v>
      </c>
      <c r="I273" s="594"/>
      <c r="J273" s="594">
        <v>2012</v>
      </c>
      <c r="K273" s="594">
        <v>186</v>
      </c>
      <c r="L273" s="455">
        <f t="shared" si="660"/>
        <v>5.760297305667389E-2</v>
      </c>
      <c r="M273" s="594"/>
      <c r="N273" s="594"/>
    </row>
    <row r="274" spans="5:14" ht="14.4">
      <c r="F274" s="594">
        <v>2013</v>
      </c>
      <c r="G274" s="593" t="s">
        <v>335</v>
      </c>
      <c r="H274" s="594">
        <v>1387</v>
      </c>
      <c r="I274" s="594"/>
      <c r="J274" s="594">
        <v>2013</v>
      </c>
      <c r="K274" s="594">
        <v>158</v>
      </c>
      <c r="L274" s="455">
        <f t="shared" si="660"/>
        <v>0.1022653721682848</v>
      </c>
      <c r="M274" s="594"/>
      <c r="N274" s="594"/>
    </row>
    <row r="275" spans="5:14" ht="14.4">
      <c r="F275" s="594">
        <v>2014</v>
      </c>
      <c r="G275" s="593" t="s">
        <v>335</v>
      </c>
      <c r="H275" s="594">
        <v>506</v>
      </c>
      <c r="I275" s="594"/>
      <c r="J275" s="594">
        <v>2014</v>
      </c>
      <c r="K275" s="594">
        <v>61</v>
      </c>
      <c r="L275" s="455">
        <f t="shared" si="660"/>
        <v>0.10758377425044091</v>
      </c>
      <c r="M275" s="594"/>
      <c r="N275" s="594"/>
    </row>
    <row r="276" spans="5:14" ht="14.4">
      <c r="F276" s="594">
        <v>2015</v>
      </c>
      <c r="G276" s="593" t="s">
        <v>335</v>
      </c>
      <c r="H276" s="594">
        <v>395</v>
      </c>
      <c r="I276" s="594"/>
      <c r="J276" s="594">
        <v>2015</v>
      </c>
      <c r="K276" s="594">
        <v>7</v>
      </c>
      <c r="L276" s="455">
        <f t="shared" si="660"/>
        <v>1.7412935323383085E-2</v>
      </c>
      <c r="M276" s="593"/>
      <c r="N276" s="594"/>
    </row>
    <row r="277" spans="5:14" ht="14.4">
      <c r="F277" s="594">
        <v>2016</v>
      </c>
      <c r="G277" s="593" t="s">
        <v>335</v>
      </c>
      <c r="H277" s="594">
        <v>745</v>
      </c>
      <c r="I277" s="594"/>
      <c r="J277" s="594">
        <v>2016</v>
      </c>
      <c r="K277" s="594">
        <v>101</v>
      </c>
      <c r="L277" s="455">
        <f t="shared" si="660"/>
        <v>0.11938534278959811</v>
      </c>
      <c r="M277" s="593"/>
      <c r="N277" s="594"/>
    </row>
    <row r="278" spans="5:14" ht="14.4">
      <c r="F278" s="594">
        <v>2017</v>
      </c>
      <c r="G278" s="593" t="s">
        <v>335</v>
      </c>
      <c r="H278" s="594">
        <v>424</v>
      </c>
      <c r="I278" s="594"/>
      <c r="J278" s="594">
        <v>2017</v>
      </c>
      <c r="K278" s="594">
        <v>26</v>
      </c>
      <c r="L278" s="455">
        <f t="shared" si="660"/>
        <v>5.7777777777777775E-2</v>
      </c>
      <c r="M278" s="593"/>
      <c r="N278" s="594"/>
    </row>
    <row r="279" spans="5:14" ht="14.4">
      <c r="F279" s="594">
        <v>2018</v>
      </c>
      <c r="G279" s="593" t="s">
        <v>335</v>
      </c>
      <c r="H279" s="594">
        <v>959</v>
      </c>
      <c r="I279" s="594"/>
      <c r="J279" s="594">
        <v>2018</v>
      </c>
      <c r="K279" s="594">
        <v>246</v>
      </c>
      <c r="L279" s="455">
        <f t="shared" si="660"/>
        <v>0.20414937759336099</v>
      </c>
      <c r="M279" s="593"/>
      <c r="N279" s="594"/>
    </row>
    <row r="280" spans="5:14" ht="14.4">
      <c r="F280" s="594">
        <v>2019</v>
      </c>
      <c r="G280" s="593" t="s">
        <v>335</v>
      </c>
      <c r="H280" s="594">
        <v>717</v>
      </c>
      <c r="I280" s="594"/>
      <c r="J280" s="594">
        <v>2019</v>
      </c>
      <c r="K280" s="594">
        <v>199</v>
      </c>
      <c r="L280" s="455">
        <f t="shared" si="660"/>
        <v>0.21724890829694324</v>
      </c>
      <c r="M280" s="593"/>
      <c r="N280" s="594"/>
    </row>
    <row r="281" spans="5:14" ht="14.4">
      <c r="F281" s="594">
        <v>2020</v>
      </c>
      <c r="G281" s="593" t="s">
        <v>335</v>
      </c>
      <c r="H281" s="594">
        <v>2040</v>
      </c>
      <c r="I281" s="594"/>
      <c r="J281" s="594">
        <v>2020</v>
      </c>
      <c r="K281" s="594">
        <v>150</v>
      </c>
      <c r="L281" s="455">
        <f t="shared" si="660"/>
        <v>6.8493150684931503E-2</v>
      </c>
      <c r="M281" s="593"/>
      <c r="N281" s="594"/>
    </row>
    <row r="282" spans="5:14" ht="14.4">
      <c r="F282" s="594">
        <v>2021</v>
      </c>
      <c r="G282" s="593" t="s">
        <v>335</v>
      </c>
      <c r="H282" s="594">
        <v>586</v>
      </c>
      <c r="I282" s="594"/>
      <c r="J282" s="594">
        <v>2021</v>
      </c>
      <c r="K282" s="594">
        <v>13</v>
      </c>
      <c r="L282" s="455">
        <f t="shared" si="660"/>
        <v>2.1702838063439065E-2</v>
      </c>
      <c r="M282" s="593"/>
      <c r="N282" s="594"/>
    </row>
    <row r="283" spans="5:14" ht="14.4">
      <c r="F283" s="594">
        <v>2022</v>
      </c>
      <c r="G283" s="593" t="s">
        <v>335</v>
      </c>
      <c r="H283" s="594">
        <v>411</v>
      </c>
      <c r="I283" s="594"/>
      <c r="J283" s="594">
        <v>2022</v>
      </c>
      <c r="K283" s="594">
        <v>48</v>
      </c>
      <c r="L283" s="455">
        <f t="shared" si="660"/>
        <v>0.10457516339869281</v>
      </c>
    </row>
    <row r="284" spans="5:14" ht="14.4">
      <c r="I284" s="594"/>
    </row>
    <row r="285" spans="5:14" ht="14.4">
      <c r="I285" s="594"/>
    </row>
    <row r="286" spans="5:14" ht="14.4">
      <c r="I286" s="594"/>
    </row>
    <row r="288" spans="5:14">
      <c r="E288" t="s">
        <v>399</v>
      </c>
    </row>
    <row r="289" spans="4:7">
      <c r="E289" t="s">
        <v>171</v>
      </c>
      <c r="F289" t="s">
        <v>170</v>
      </c>
    </row>
    <row r="290" spans="4:7">
      <c r="D290" t="str">
        <f>A9</f>
        <v>2002*</v>
      </c>
      <c r="E290">
        <f>B9+B39</f>
        <v>2278</v>
      </c>
      <c r="F290">
        <f>D9+D39</f>
        <v>1826</v>
      </c>
      <c r="G290">
        <f>F290/E290</f>
        <v>0.80158033362598768</v>
      </c>
    </row>
    <row r="291" spans="4:7">
      <c r="D291">
        <f t="shared" ref="D291:D295" si="661">A10</f>
        <v>2003</v>
      </c>
      <c r="E291">
        <f t="shared" ref="E291:E295" si="662">B10+B40</f>
        <v>2109</v>
      </c>
      <c r="F291">
        <f t="shared" ref="F291:F295" si="663">D10+D40</f>
        <v>1652</v>
      </c>
      <c r="G291">
        <f t="shared" ref="G291:G311" si="664">F291/E291</f>
        <v>0.78330962541488858</v>
      </c>
    </row>
    <row r="292" spans="4:7">
      <c r="D292">
        <f t="shared" si="661"/>
        <v>2004</v>
      </c>
      <c r="E292">
        <f t="shared" si="662"/>
        <v>2299</v>
      </c>
      <c r="F292">
        <f t="shared" si="663"/>
        <v>1884</v>
      </c>
      <c r="G292">
        <f t="shared" si="664"/>
        <v>0.81948673336233147</v>
      </c>
    </row>
    <row r="293" spans="4:7">
      <c r="D293">
        <f t="shared" si="661"/>
        <v>2005</v>
      </c>
      <c r="E293">
        <f t="shared" si="662"/>
        <v>1110</v>
      </c>
      <c r="F293">
        <f t="shared" si="663"/>
        <v>912</v>
      </c>
      <c r="G293">
        <f t="shared" si="664"/>
        <v>0.82162162162162167</v>
      </c>
    </row>
    <row r="294" spans="4:7">
      <c r="D294">
        <f t="shared" si="661"/>
        <v>2006</v>
      </c>
      <c r="E294">
        <f t="shared" si="662"/>
        <v>663</v>
      </c>
      <c r="F294">
        <f t="shared" si="663"/>
        <v>463</v>
      </c>
      <c r="G294">
        <f t="shared" si="664"/>
        <v>0.69834087481146301</v>
      </c>
    </row>
    <row r="295" spans="4:7">
      <c r="D295">
        <f t="shared" si="661"/>
        <v>2007</v>
      </c>
      <c r="E295">
        <f t="shared" si="662"/>
        <v>584</v>
      </c>
      <c r="F295">
        <f t="shared" si="663"/>
        <v>447</v>
      </c>
      <c r="G295">
        <f t="shared" si="664"/>
        <v>0.7654109589041096</v>
      </c>
    </row>
    <row r="296" spans="4:7">
      <c r="D296">
        <f t="shared" ref="D296:D311" si="665">A16</f>
        <v>2008</v>
      </c>
      <c r="E296">
        <f t="shared" ref="E296:E311" si="666">B16+B46</f>
        <v>1974</v>
      </c>
      <c r="F296">
        <f t="shared" ref="F296:F311" si="667">D16+D46</f>
        <v>1412</v>
      </c>
      <c r="G296">
        <f t="shared" si="664"/>
        <v>0.71529888551165144</v>
      </c>
    </row>
    <row r="297" spans="4:7">
      <c r="D297">
        <f t="shared" si="665"/>
        <v>2009</v>
      </c>
      <c r="E297">
        <f t="shared" si="666"/>
        <v>1273</v>
      </c>
      <c r="F297">
        <f t="shared" si="667"/>
        <v>929</v>
      </c>
      <c r="G297">
        <f t="shared" si="664"/>
        <v>0.72977219167321283</v>
      </c>
    </row>
    <row r="298" spans="4:7">
      <c r="D298">
        <f t="shared" si="665"/>
        <v>2010</v>
      </c>
      <c r="E298">
        <f t="shared" si="666"/>
        <v>4327</v>
      </c>
      <c r="F298">
        <f t="shared" si="667"/>
        <v>3111</v>
      </c>
      <c r="G298">
        <f t="shared" si="664"/>
        <v>0.71897388490871272</v>
      </c>
    </row>
    <row r="299" spans="4:7">
      <c r="D299">
        <f t="shared" si="665"/>
        <v>2011</v>
      </c>
      <c r="E299">
        <f t="shared" si="666"/>
        <v>2823</v>
      </c>
      <c r="F299">
        <f t="shared" si="667"/>
        <v>1886</v>
      </c>
      <c r="G299">
        <f t="shared" si="664"/>
        <v>0.6680835990081474</v>
      </c>
    </row>
    <row r="300" spans="4:7">
      <c r="D300">
        <f t="shared" si="665"/>
        <v>2012</v>
      </c>
      <c r="E300">
        <f t="shared" si="666"/>
        <v>2144</v>
      </c>
      <c r="F300">
        <f t="shared" si="667"/>
        <v>1577</v>
      </c>
      <c r="G300">
        <f t="shared" si="664"/>
        <v>0.73554104477611937</v>
      </c>
    </row>
    <row r="301" spans="4:7">
      <c r="D301">
        <f t="shared" si="665"/>
        <v>2013</v>
      </c>
      <c r="E301">
        <f t="shared" si="666"/>
        <v>976</v>
      </c>
      <c r="F301">
        <f t="shared" si="667"/>
        <v>738</v>
      </c>
      <c r="G301">
        <f t="shared" si="664"/>
        <v>0.75614754098360659</v>
      </c>
    </row>
    <row r="302" spans="4:7">
      <c r="D302">
        <f t="shared" si="665"/>
        <v>2014</v>
      </c>
      <c r="E302">
        <f t="shared" si="666"/>
        <v>2058</v>
      </c>
      <c r="F302">
        <f t="shared" si="667"/>
        <v>1445</v>
      </c>
      <c r="G302">
        <f t="shared" si="664"/>
        <v>0.70213799805636545</v>
      </c>
    </row>
    <row r="303" spans="4:7">
      <c r="D303">
        <f t="shared" si="665"/>
        <v>2015</v>
      </c>
      <c r="E303">
        <f t="shared" si="666"/>
        <v>2878</v>
      </c>
      <c r="F303">
        <f t="shared" si="667"/>
        <v>2147</v>
      </c>
      <c r="G303">
        <f t="shared" si="664"/>
        <v>0.74600416956219595</v>
      </c>
    </row>
    <row r="304" spans="4:7">
      <c r="D304">
        <f t="shared" si="665"/>
        <v>2016</v>
      </c>
      <c r="E304">
        <f t="shared" si="666"/>
        <v>1432</v>
      </c>
      <c r="F304">
        <f t="shared" si="667"/>
        <v>1049</v>
      </c>
      <c r="G304">
        <f t="shared" si="664"/>
        <v>0.73254189944134074</v>
      </c>
    </row>
    <row r="305" spans="4:7">
      <c r="D305">
        <f t="shared" si="665"/>
        <v>2017</v>
      </c>
      <c r="E305">
        <f t="shared" si="666"/>
        <v>965</v>
      </c>
      <c r="F305">
        <f t="shared" si="667"/>
        <v>688</v>
      </c>
      <c r="G305">
        <f t="shared" si="664"/>
        <v>0.71295336787564767</v>
      </c>
    </row>
    <row r="306" spans="4:7">
      <c r="D306">
        <f t="shared" si="665"/>
        <v>2018</v>
      </c>
      <c r="E306">
        <f t="shared" si="666"/>
        <v>753</v>
      </c>
      <c r="F306">
        <f t="shared" si="667"/>
        <v>499</v>
      </c>
      <c r="G306">
        <f t="shared" si="664"/>
        <v>0.66268260292164671</v>
      </c>
    </row>
    <row r="307" spans="4:7">
      <c r="D307">
        <f t="shared" si="665"/>
        <v>2019</v>
      </c>
      <c r="E307">
        <f t="shared" si="666"/>
        <v>510</v>
      </c>
      <c r="F307">
        <f t="shared" si="667"/>
        <v>366</v>
      </c>
      <c r="G307">
        <f t="shared" si="664"/>
        <v>0.71764705882352942</v>
      </c>
    </row>
    <row r="308" spans="4:7">
      <c r="D308">
        <f t="shared" si="665"/>
        <v>2020</v>
      </c>
      <c r="E308">
        <f t="shared" si="666"/>
        <v>481</v>
      </c>
      <c r="F308">
        <f t="shared" si="667"/>
        <v>371</v>
      </c>
      <c r="G308">
        <f t="shared" si="664"/>
        <v>0.7713097713097713</v>
      </c>
    </row>
    <row r="309" spans="4:7">
      <c r="D309">
        <f t="shared" si="665"/>
        <v>2021</v>
      </c>
      <c r="E309">
        <f t="shared" si="666"/>
        <v>504</v>
      </c>
      <c r="F309">
        <f t="shared" si="667"/>
        <v>388</v>
      </c>
      <c r="G309">
        <f t="shared" si="664"/>
        <v>0.76984126984126988</v>
      </c>
    </row>
    <row r="310" spans="4:7">
      <c r="D310">
        <f t="shared" si="665"/>
        <v>2022</v>
      </c>
      <c r="E310">
        <f t="shared" si="666"/>
        <v>990</v>
      </c>
      <c r="F310">
        <f t="shared" si="667"/>
        <v>743</v>
      </c>
      <c r="G310">
        <f t="shared" si="664"/>
        <v>0.75050505050505045</v>
      </c>
    </row>
    <row r="311" spans="4:7">
      <c r="D311">
        <f t="shared" si="665"/>
        <v>2023</v>
      </c>
      <c r="E311">
        <f t="shared" si="666"/>
        <v>1004</v>
      </c>
      <c r="F311">
        <f t="shared" si="667"/>
        <v>794</v>
      </c>
      <c r="G311">
        <f t="shared" si="664"/>
        <v>0.79083665338645415</v>
      </c>
    </row>
  </sheetData>
  <sortState ref="F261:I307">
    <sortCondition ref="G261:G307"/>
  </sortState>
  <mergeCells count="22">
    <mergeCell ref="Q6:W6"/>
    <mergeCell ref="B6:P6"/>
    <mergeCell ref="H7:J7"/>
    <mergeCell ref="R7:T7"/>
    <mergeCell ref="U7:W7"/>
    <mergeCell ref="B7:D7"/>
    <mergeCell ref="E7:G7"/>
    <mergeCell ref="N72:Q72"/>
    <mergeCell ref="F72:I72"/>
    <mergeCell ref="C72:D72"/>
    <mergeCell ref="K72:L72"/>
    <mergeCell ref="K7:M7"/>
    <mergeCell ref="N7:P7"/>
    <mergeCell ref="B36:P36"/>
    <mergeCell ref="Q36:W36"/>
    <mergeCell ref="R37:T37"/>
    <mergeCell ref="U37:W37"/>
    <mergeCell ref="B37:D37"/>
    <mergeCell ref="E37:G37"/>
    <mergeCell ref="H37:J37"/>
    <mergeCell ref="K37:M37"/>
    <mergeCell ref="N37:P37"/>
  </mergeCells>
  <phoneticPr fontId="7" type="noConversion"/>
  <pageMargins left="0.7" right="0.7" top="0.75" bottom="0.75" header="0.3" footer="0.3"/>
  <pageSetup scale="5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7249-41F8-4ADD-9B2E-5D32960A21E3}">
  <dimension ref="A1:P65"/>
  <sheetViews>
    <sheetView topLeftCell="A53" workbookViewId="0">
      <selection activeCell="M72" sqref="M72"/>
    </sheetView>
  </sheetViews>
  <sheetFormatPr defaultRowHeight="13.2"/>
  <sheetData>
    <row r="1" spans="1:16" ht="14.4">
      <c r="A1" s="636" t="s">
        <v>361</v>
      </c>
      <c r="B1" s="636" t="s">
        <v>356</v>
      </c>
      <c r="C1" s="636" t="s">
        <v>333</v>
      </c>
      <c r="D1" s="636" t="s">
        <v>376</v>
      </c>
      <c r="E1" s="636" t="s">
        <v>377</v>
      </c>
      <c r="F1" s="636" t="s">
        <v>378</v>
      </c>
      <c r="G1" s="636" t="s">
        <v>379</v>
      </c>
      <c r="H1" s="636" t="s">
        <v>380</v>
      </c>
      <c r="I1" s="636" t="s">
        <v>381</v>
      </c>
      <c r="J1" s="636" t="s">
        <v>382</v>
      </c>
      <c r="K1" s="636" t="s">
        <v>383</v>
      </c>
      <c r="L1" s="636" t="s">
        <v>384</v>
      </c>
      <c r="M1" s="636" t="s">
        <v>385</v>
      </c>
      <c r="N1" s="636" t="s">
        <v>386</v>
      </c>
      <c r="O1" s="636" t="s">
        <v>400</v>
      </c>
      <c r="P1" s="636" t="s">
        <v>387</v>
      </c>
    </row>
    <row r="2" spans="1:16" ht="14.4">
      <c r="A2" s="637">
        <v>2008</v>
      </c>
      <c r="B2" s="638" t="s">
        <v>367</v>
      </c>
      <c r="C2" s="638" t="s">
        <v>335</v>
      </c>
      <c r="D2" s="637">
        <v>14</v>
      </c>
      <c r="E2" s="637">
        <v>0</v>
      </c>
      <c r="F2" s="637">
        <v>0</v>
      </c>
      <c r="G2" s="637">
        <v>10</v>
      </c>
      <c r="H2" s="637">
        <v>10</v>
      </c>
      <c r="I2" s="637">
        <v>0</v>
      </c>
      <c r="J2" s="637">
        <v>1</v>
      </c>
      <c r="K2" s="637">
        <v>10</v>
      </c>
      <c r="L2" s="637">
        <v>0</v>
      </c>
      <c r="M2" s="637">
        <v>0</v>
      </c>
      <c r="N2" s="637">
        <v>0</v>
      </c>
      <c r="O2" s="637">
        <v>0</v>
      </c>
      <c r="P2" s="637">
        <v>0</v>
      </c>
    </row>
    <row r="3" spans="1:16" ht="28.8">
      <c r="A3" s="637">
        <v>2008</v>
      </c>
      <c r="B3" s="638" t="s">
        <v>320</v>
      </c>
      <c r="C3" s="638" t="s">
        <v>335</v>
      </c>
      <c r="D3" s="637">
        <v>45</v>
      </c>
      <c r="E3" s="637">
        <v>0</v>
      </c>
      <c r="F3" s="637">
        <v>0</v>
      </c>
      <c r="G3" s="637">
        <v>34</v>
      </c>
      <c r="H3" s="637">
        <v>0</v>
      </c>
      <c r="I3" s="637">
        <v>0</v>
      </c>
      <c r="J3" s="637">
        <v>0</v>
      </c>
      <c r="K3" s="637">
        <v>0</v>
      </c>
      <c r="L3" s="637">
        <v>0</v>
      </c>
      <c r="M3" s="637">
        <v>0</v>
      </c>
      <c r="N3" s="637">
        <v>0</v>
      </c>
      <c r="O3" s="637">
        <v>40</v>
      </c>
      <c r="P3" s="637">
        <v>0</v>
      </c>
    </row>
    <row r="4" spans="1:16" ht="14.4">
      <c r="A4" s="637">
        <v>2009</v>
      </c>
      <c r="B4" s="638" t="s">
        <v>367</v>
      </c>
      <c r="C4" s="638" t="s">
        <v>335</v>
      </c>
      <c r="D4" s="637">
        <v>23</v>
      </c>
      <c r="E4" s="637">
        <v>0</v>
      </c>
      <c r="F4" s="637">
        <v>0</v>
      </c>
      <c r="G4" s="637">
        <v>16</v>
      </c>
      <c r="H4" s="637">
        <v>16</v>
      </c>
      <c r="I4" s="637">
        <v>0</v>
      </c>
      <c r="J4" s="637">
        <v>0</v>
      </c>
      <c r="K4" s="637">
        <v>17</v>
      </c>
      <c r="L4" s="637">
        <v>0</v>
      </c>
      <c r="M4" s="637">
        <v>0</v>
      </c>
      <c r="N4" s="637">
        <v>0</v>
      </c>
      <c r="O4" s="637">
        <v>0</v>
      </c>
      <c r="P4" s="637">
        <v>0</v>
      </c>
    </row>
    <row r="5" spans="1:16" ht="28.8">
      <c r="A5" s="637">
        <v>2009</v>
      </c>
      <c r="B5" s="638" t="s">
        <v>320</v>
      </c>
      <c r="C5" s="638" t="s">
        <v>335</v>
      </c>
      <c r="D5" s="637">
        <v>326</v>
      </c>
      <c r="E5" s="637">
        <v>0</v>
      </c>
      <c r="F5" s="637">
        <v>0</v>
      </c>
      <c r="G5" s="637">
        <v>243</v>
      </c>
      <c r="H5" s="637">
        <v>0</v>
      </c>
      <c r="I5" s="637">
        <v>0</v>
      </c>
      <c r="J5" s="637">
        <v>0</v>
      </c>
      <c r="K5" s="637">
        <v>0</v>
      </c>
      <c r="L5" s="637">
        <v>0</v>
      </c>
      <c r="M5" s="637">
        <v>0</v>
      </c>
      <c r="N5" s="637">
        <v>0</v>
      </c>
      <c r="O5" s="637">
        <v>254</v>
      </c>
      <c r="P5" s="637">
        <v>0</v>
      </c>
    </row>
    <row r="6" spans="1:16" ht="14.4">
      <c r="A6" s="637">
        <v>2010</v>
      </c>
      <c r="B6" s="638" t="s">
        <v>367</v>
      </c>
      <c r="C6" s="638" t="s">
        <v>335</v>
      </c>
      <c r="D6" s="637">
        <v>32</v>
      </c>
      <c r="E6" s="637">
        <v>0</v>
      </c>
      <c r="F6" s="637">
        <v>0</v>
      </c>
      <c r="G6" s="637">
        <v>27</v>
      </c>
      <c r="H6" s="637">
        <v>22</v>
      </c>
      <c r="I6" s="637">
        <v>0</v>
      </c>
      <c r="J6" s="637">
        <v>0</v>
      </c>
      <c r="K6" s="637">
        <v>26</v>
      </c>
      <c r="L6" s="637">
        <v>0</v>
      </c>
      <c r="M6" s="637">
        <v>0</v>
      </c>
      <c r="N6" s="637">
        <v>7</v>
      </c>
      <c r="O6" s="637">
        <v>0</v>
      </c>
      <c r="P6" s="637">
        <v>7</v>
      </c>
    </row>
    <row r="7" spans="1:16" ht="14.4">
      <c r="A7" s="637">
        <v>2010</v>
      </c>
      <c r="B7" s="638" t="s">
        <v>367</v>
      </c>
      <c r="C7" s="638" t="s">
        <v>328</v>
      </c>
      <c r="D7" s="637">
        <v>8</v>
      </c>
      <c r="E7" s="637">
        <v>0</v>
      </c>
      <c r="F7" s="637">
        <v>0</v>
      </c>
      <c r="G7" s="637">
        <v>7</v>
      </c>
      <c r="H7" s="637">
        <v>6</v>
      </c>
      <c r="I7" s="637">
        <v>0</v>
      </c>
      <c r="J7" s="637">
        <v>0</v>
      </c>
      <c r="K7" s="637">
        <v>5</v>
      </c>
      <c r="L7" s="637">
        <v>0</v>
      </c>
      <c r="M7" s="637">
        <v>0</v>
      </c>
      <c r="N7" s="637">
        <v>0</v>
      </c>
      <c r="O7" s="637">
        <v>1</v>
      </c>
      <c r="P7" s="637">
        <v>0</v>
      </c>
    </row>
    <row r="8" spans="1:16" ht="28.8">
      <c r="A8" s="637">
        <v>2010</v>
      </c>
      <c r="B8" s="638" t="s">
        <v>320</v>
      </c>
      <c r="C8" s="638" t="s">
        <v>335</v>
      </c>
      <c r="D8" s="637">
        <v>957</v>
      </c>
      <c r="E8" s="637">
        <v>0</v>
      </c>
      <c r="F8" s="637">
        <v>0</v>
      </c>
      <c r="G8" s="637">
        <v>765</v>
      </c>
      <c r="H8" s="637">
        <v>1</v>
      </c>
      <c r="I8" s="637">
        <v>0</v>
      </c>
      <c r="J8" s="637">
        <v>0</v>
      </c>
      <c r="K8" s="637">
        <v>0</v>
      </c>
      <c r="L8" s="637">
        <v>0</v>
      </c>
      <c r="M8" s="637">
        <v>0</v>
      </c>
      <c r="N8" s="637">
        <v>0</v>
      </c>
      <c r="O8" s="637">
        <v>766</v>
      </c>
      <c r="P8" s="637">
        <v>0</v>
      </c>
    </row>
    <row r="9" spans="1:16" ht="28.8">
      <c r="A9" s="637">
        <v>2011</v>
      </c>
      <c r="B9" s="638" t="s">
        <v>358</v>
      </c>
      <c r="C9" s="638" t="s">
        <v>335</v>
      </c>
      <c r="D9" s="637">
        <v>5</v>
      </c>
      <c r="E9" s="637">
        <v>0</v>
      </c>
      <c r="F9" s="637">
        <v>0</v>
      </c>
      <c r="G9" s="637">
        <v>4</v>
      </c>
      <c r="H9" s="637">
        <v>0</v>
      </c>
      <c r="I9" s="637">
        <v>0</v>
      </c>
      <c r="J9" s="637">
        <v>0</v>
      </c>
      <c r="K9" s="637">
        <v>0</v>
      </c>
      <c r="L9" s="637">
        <v>0</v>
      </c>
      <c r="M9" s="637">
        <v>0</v>
      </c>
      <c r="N9" s="637">
        <v>0</v>
      </c>
      <c r="O9" s="637">
        <v>4</v>
      </c>
      <c r="P9" s="637">
        <v>0</v>
      </c>
    </row>
    <row r="10" spans="1:16" ht="14.4">
      <c r="A10" s="637">
        <v>2011</v>
      </c>
      <c r="B10" s="638" t="s">
        <v>367</v>
      </c>
      <c r="C10" s="638" t="s">
        <v>335</v>
      </c>
      <c r="D10" s="637">
        <v>303</v>
      </c>
      <c r="E10" s="637">
        <v>0</v>
      </c>
      <c r="F10" s="637">
        <v>0</v>
      </c>
      <c r="G10" s="637">
        <v>194</v>
      </c>
      <c r="H10" s="637">
        <v>168</v>
      </c>
      <c r="I10" s="637">
        <v>0</v>
      </c>
      <c r="J10" s="637">
        <v>2</v>
      </c>
      <c r="K10" s="637">
        <v>189</v>
      </c>
      <c r="L10" s="637">
        <v>0</v>
      </c>
      <c r="M10" s="637">
        <v>0</v>
      </c>
      <c r="N10" s="637">
        <v>81</v>
      </c>
      <c r="O10" s="637">
        <v>0</v>
      </c>
      <c r="P10" s="637">
        <v>81</v>
      </c>
    </row>
    <row r="11" spans="1:16" ht="14.4">
      <c r="A11" s="637">
        <v>2011</v>
      </c>
      <c r="B11" s="638" t="s">
        <v>367</v>
      </c>
      <c r="C11" s="638" t="s">
        <v>401</v>
      </c>
      <c r="D11" s="637">
        <v>4</v>
      </c>
      <c r="E11" s="637">
        <v>0</v>
      </c>
      <c r="F11" s="637">
        <v>0</v>
      </c>
      <c r="G11" s="637">
        <v>2</v>
      </c>
      <c r="H11" s="637">
        <v>2</v>
      </c>
      <c r="I11" s="637">
        <v>0</v>
      </c>
      <c r="J11" s="637">
        <v>0</v>
      </c>
      <c r="K11" s="637">
        <v>2</v>
      </c>
      <c r="L11" s="637">
        <v>0</v>
      </c>
      <c r="M11" s="637">
        <v>0</v>
      </c>
      <c r="N11" s="637">
        <v>1</v>
      </c>
      <c r="O11" s="637">
        <v>0</v>
      </c>
      <c r="P11" s="637">
        <v>1</v>
      </c>
    </row>
    <row r="12" spans="1:16" ht="14.4">
      <c r="A12" s="637">
        <v>2011</v>
      </c>
      <c r="B12" s="638" t="s">
        <v>367</v>
      </c>
      <c r="C12" s="638" t="s">
        <v>328</v>
      </c>
      <c r="D12" s="637">
        <v>209</v>
      </c>
      <c r="E12" s="637">
        <v>0</v>
      </c>
      <c r="F12" s="637">
        <v>0</v>
      </c>
      <c r="G12" s="637">
        <v>144</v>
      </c>
      <c r="H12" s="637">
        <v>132</v>
      </c>
      <c r="I12" s="637">
        <v>1</v>
      </c>
      <c r="J12" s="637">
        <v>3</v>
      </c>
      <c r="K12" s="637">
        <v>137</v>
      </c>
      <c r="L12" s="637">
        <v>0</v>
      </c>
      <c r="M12" s="637">
        <v>0</v>
      </c>
      <c r="N12" s="637">
        <v>67</v>
      </c>
      <c r="O12" s="637">
        <v>0</v>
      </c>
      <c r="P12" s="637">
        <v>67</v>
      </c>
    </row>
    <row r="13" spans="1:16" ht="28.8">
      <c r="A13" s="637">
        <v>2011</v>
      </c>
      <c r="B13" s="638" t="s">
        <v>320</v>
      </c>
      <c r="C13" s="638" t="s">
        <v>335</v>
      </c>
      <c r="D13" s="637">
        <v>651</v>
      </c>
      <c r="E13" s="637">
        <v>0</v>
      </c>
      <c r="F13" s="637">
        <v>0</v>
      </c>
      <c r="G13" s="637">
        <v>424</v>
      </c>
      <c r="H13" s="637">
        <v>1</v>
      </c>
      <c r="I13" s="637">
        <v>0</v>
      </c>
      <c r="J13" s="637">
        <v>0</v>
      </c>
      <c r="K13" s="637">
        <v>0</v>
      </c>
      <c r="L13" s="637">
        <v>0</v>
      </c>
      <c r="M13" s="637">
        <v>0</v>
      </c>
      <c r="N13" s="637">
        <v>0</v>
      </c>
      <c r="O13" s="637">
        <v>436</v>
      </c>
      <c r="P13" s="637">
        <v>0</v>
      </c>
    </row>
    <row r="14" spans="1:16" ht="28.8">
      <c r="A14" s="637">
        <v>2012</v>
      </c>
      <c r="B14" s="638" t="s">
        <v>358</v>
      </c>
      <c r="C14" s="638" t="s">
        <v>335</v>
      </c>
      <c r="D14" s="637">
        <v>73</v>
      </c>
      <c r="E14" s="637">
        <v>0</v>
      </c>
      <c r="F14" s="637">
        <v>0</v>
      </c>
      <c r="G14" s="637">
        <v>54</v>
      </c>
      <c r="H14" s="637">
        <v>0</v>
      </c>
      <c r="I14" s="637">
        <v>0</v>
      </c>
      <c r="J14" s="637">
        <v>0</v>
      </c>
      <c r="K14" s="637">
        <v>0</v>
      </c>
      <c r="L14" s="637">
        <v>0</v>
      </c>
      <c r="M14" s="637">
        <v>0</v>
      </c>
      <c r="N14" s="637">
        <v>0</v>
      </c>
      <c r="O14" s="637">
        <v>52</v>
      </c>
      <c r="P14" s="637">
        <v>0</v>
      </c>
    </row>
    <row r="15" spans="1:16" ht="14.4">
      <c r="A15" s="637">
        <v>2012</v>
      </c>
      <c r="B15" s="638" t="s">
        <v>367</v>
      </c>
      <c r="C15" s="638" t="s">
        <v>335</v>
      </c>
      <c r="D15" s="637">
        <v>111</v>
      </c>
      <c r="E15" s="637">
        <v>0</v>
      </c>
      <c r="F15" s="637">
        <v>0</v>
      </c>
      <c r="G15" s="637">
        <v>63</v>
      </c>
      <c r="H15" s="637">
        <v>61</v>
      </c>
      <c r="I15" s="637">
        <v>0</v>
      </c>
      <c r="J15" s="637">
        <v>1</v>
      </c>
      <c r="K15" s="637">
        <v>59</v>
      </c>
      <c r="L15" s="637">
        <v>0</v>
      </c>
      <c r="M15" s="637">
        <v>0</v>
      </c>
      <c r="N15" s="637">
        <v>18</v>
      </c>
      <c r="O15" s="637">
        <v>2</v>
      </c>
      <c r="P15" s="637">
        <v>18</v>
      </c>
    </row>
    <row r="16" spans="1:16" ht="14.4">
      <c r="A16" s="637">
        <v>2012</v>
      </c>
      <c r="B16" s="638" t="s">
        <v>367</v>
      </c>
      <c r="C16" s="638" t="s">
        <v>328</v>
      </c>
      <c r="D16" s="637">
        <v>11</v>
      </c>
      <c r="E16" s="637">
        <v>0</v>
      </c>
      <c r="F16" s="637">
        <v>0</v>
      </c>
      <c r="G16" s="637">
        <v>6</v>
      </c>
      <c r="H16" s="637">
        <v>5</v>
      </c>
      <c r="I16" s="637">
        <v>0</v>
      </c>
      <c r="J16" s="637">
        <v>0</v>
      </c>
      <c r="K16" s="637">
        <v>4</v>
      </c>
      <c r="L16" s="637">
        <v>0</v>
      </c>
      <c r="M16" s="637">
        <v>0</v>
      </c>
      <c r="N16" s="637">
        <v>2</v>
      </c>
      <c r="O16" s="637">
        <v>0</v>
      </c>
      <c r="P16" s="637">
        <v>2</v>
      </c>
    </row>
    <row r="17" spans="1:16" ht="28.8">
      <c r="A17" s="637">
        <v>2012</v>
      </c>
      <c r="B17" s="638" t="s">
        <v>320</v>
      </c>
      <c r="C17" s="638" t="s">
        <v>335</v>
      </c>
      <c r="D17" s="637">
        <v>572</v>
      </c>
      <c r="E17" s="637">
        <v>0</v>
      </c>
      <c r="F17" s="637">
        <v>0</v>
      </c>
      <c r="G17" s="637">
        <v>421</v>
      </c>
      <c r="H17" s="637">
        <v>4</v>
      </c>
      <c r="I17" s="637">
        <v>0</v>
      </c>
      <c r="J17" s="637">
        <v>0</v>
      </c>
      <c r="K17" s="637">
        <v>0</v>
      </c>
      <c r="L17" s="637">
        <v>0</v>
      </c>
      <c r="M17" s="637">
        <v>0</v>
      </c>
      <c r="N17" s="637">
        <v>0</v>
      </c>
      <c r="O17" s="637">
        <v>401</v>
      </c>
      <c r="P17" s="637">
        <v>0</v>
      </c>
    </row>
    <row r="18" spans="1:16" ht="28.8">
      <c r="A18" s="637">
        <v>2013</v>
      </c>
      <c r="B18" s="638" t="s">
        <v>358</v>
      </c>
      <c r="C18" s="638" t="s">
        <v>335</v>
      </c>
      <c r="D18" s="637">
        <v>4</v>
      </c>
      <c r="E18" s="637">
        <v>4</v>
      </c>
      <c r="F18" s="637">
        <v>0</v>
      </c>
      <c r="G18" s="637">
        <v>4</v>
      </c>
      <c r="H18" s="637">
        <v>0</v>
      </c>
      <c r="I18" s="637">
        <v>0</v>
      </c>
      <c r="J18" s="637">
        <v>0</v>
      </c>
      <c r="K18" s="637">
        <v>0</v>
      </c>
      <c r="L18" s="637">
        <v>0</v>
      </c>
      <c r="M18" s="637">
        <v>0</v>
      </c>
      <c r="N18" s="637">
        <v>0</v>
      </c>
      <c r="O18" s="637">
        <v>4</v>
      </c>
      <c r="P18" s="637">
        <v>0</v>
      </c>
    </row>
    <row r="19" spans="1:16" ht="14.4">
      <c r="A19" s="637">
        <v>2013</v>
      </c>
      <c r="B19" s="638" t="s">
        <v>367</v>
      </c>
      <c r="C19" s="638" t="s">
        <v>335</v>
      </c>
      <c r="D19" s="637">
        <v>145</v>
      </c>
      <c r="E19" s="637">
        <v>119</v>
      </c>
      <c r="F19" s="637">
        <v>0</v>
      </c>
      <c r="G19" s="637">
        <v>110</v>
      </c>
      <c r="H19" s="637">
        <v>92</v>
      </c>
      <c r="I19" s="637">
        <v>0</v>
      </c>
      <c r="J19" s="637">
        <v>2</v>
      </c>
      <c r="K19" s="637">
        <v>81</v>
      </c>
      <c r="L19" s="637">
        <v>27</v>
      </c>
      <c r="M19" s="637">
        <v>27</v>
      </c>
      <c r="N19" s="637">
        <v>3</v>
      </c>
      <c r="O19" s="637">
        <v>2</v>
      </c>
      <c r="P19" s="637">
        <v>4</v>
      </c>
    </row>
    <row r="20" spans="1:16" ht="14.4">
      <c r="A20" s="637">
        <v>2013</v>
      </c>
      <c r="B20" s="638" t="s">
        <v>367</v>
      </c>
      <c r="C20" s="638" t="s">
        <v>401</v>
      </c>
      <c r="D20" s="637">
        <v>1</v>
      </c>
      <c r="E20" s="637">
        <v>1</v>
      </c>
      <c r="F20" s="637">
        <v>0</v>
      </c>
      <c r="G20" s="637">
        <v>1</v>
      </c>
      <c r="H20" s="637">
        <v>1</v>
      </c>
      <c r="I20" s="637">
        <v>1</v>
      </c>
      <c r="J20" s="637">
        <v>0</v>
      </c>
      <c r="K20" s="637">
        <v>0</v>
      </c>
      <c r="L20" s="637">
        <v>0</v>
      </c>
      <c r="M20" s="637">
        <v>0</v>
      </c>
      <c r="N20" s="637">
        <v>0</v>
      </c>
      <c r="O20" s="637">
        <v>0</v>
      </c>
      <c r="P20" s="637">
        <v>0</v>
      </c>
    </row>
    <row r="21" spans="1:16" ht="14.4">
      <c r="A21" s="637">
        <v>2013</v>
      </c>
      <c r="B21" s="638" t="s">
        <v>367</v>
      </c>
      <c r="C21" s="638" t="s">
        <v>328</v>
      </c>
      <c r="D21" s="637">
        <v>59</v>
      </c>
      <c r="E21" s="637">
        <v>49</v>
      </c>
      <c r="F21" s="637">
        <v>0</v>
      </c>
      <c r="G21" s="637">
        <v>27</v>
      </c>
      <c r="H21" s="637">
        <v>15</v>
      </c>
      <c r="I21" s="637">
        <v>1</v>
      </c>
      <c r="J21" s="637">
        <v>0</v>
      </c>
      <c r="K21" s="637">
        <v>10</v>
      </c>
      <c r="L21" s="637">
        <v>3</v>
      </c>
      <c r="M21" s="637">
        <v>3</v>
      </c>
      <c r="N21" s="637">
        <v>0</v>
      </c>
      <c r="O21" s="637">
        <v>9</v>
      </c>
      <c r="P21" s="637">
        <v>0</v>
      </c>
    </row>
    <row r="22" spans="1:16" ht="28.8">
      <c r="A22" s="637">
        <v>2013</v>
      </c>
      <c r="B22" s="638" t="s">
        <v>320</v>
      </c>
      <c r="C22" s="638" t="s">
        <v>335</v>
      </c>
      <c r="D22" s="637">
        <v>168</v>
      </c>
      <c r="E22" s="637">
        <v>138</v>
      </c>
      <c r="F22" s="637">
        <v>0</v>
      </c>
      <c r="G22" s="637">
        <v>130</v>
      </c>
      <c r="H22" s="637">
        <v>0</v>
      </c>
      <c r="I22" s="637">
        <v>0</v>
      </c>
      <c r="J22" s="637">
        <v>0</v>
      </c>
      <c r="K22" s="637">
        <v>0</v>
      </c>
      <c r="L22" s="637">
        <v>0</v>
      </c>
      <c r="M22" s="637">
        <v>0</v>
      </c>
      <c r="N22" s="637">
        <v>0</v>
      </c>
      <c r="O22" s="637">
        <v>127</v>
      </c>
      <c r="P22" s="637">
        <v>0</v>
      </c>
    </row>
    <row r="23" spans="1:16" ht="14.4">
      <c r="A23" s="637">
        <v>2013</v>
      </c>
      <c r="B23" s="638" t="s">
        <v>357</v>
      </c>
      <c r="C23" s="638" t="s">
        <v>335</v>
      </c>
      <c r="D23" s="637">
        <v>5</v>
      </c>
      <c r="E23" s="637">
        <v>5</v>
      </c>
      <c r="F23" s="637">
        <v>0</v>
      </c>
      <c r="G23" s="637">
        <v>4</v>
      </c>
      <c r="H23" s="637">
        <v>0</v>
      </c>
      <c r="I23" s="637">
        <v>0</v>
      </c>
      <c r="J23" s="637">
        <v>0</v>
      </c>
      <c r="K23" s="637">
        <v>0</v>
      </c>
      <c r="L23" s="637">
        <v>0</v>
      </c>
      <c r="M23" s="637">
        <v>0</v>
      </c>
      <c r="N23" s="637">
        <v>0</v>
      </c>
      <c r="O23" s="637">
        <v>0</v>
      </c>
      <c r="P23" s="637">
        <v>0</v>
      </c>
    </row>
    <row r="24" spans="1:16" ht="14.4">
      <c r="A24" s="637">
        <v>2014</v>
      </c>
      <c r="B24" s="638" t="s">
        <v>367</v>
      </c>
      <c r="C24" s="638" t="s">
        <v>335</v>
      </c>
      <c r="D24" s="637">
        <v>213</v>
      </c>
      <c r="E24" s="637">
        <v>181</v>
      </c>
      <c r="F24" s="637">
        <v>0</v>
      </c>
      <c r="G24" s="637">
        <v>153</v>
      </c>
      <c r="H24" s="637">
        <v>131</v>
      </c>
      <c r="I24" s="637">
        <v>156</v>
      </c>
      <c r="J24" s="637">
        <v>148</v>
      </c>
      <c r="K24" s="637">
        <v>142</v>
      </c>
      <c r="L24" s="637">
        <v>71</v>
      </c>
      <c r="M24" s="637">
        <v>71</v>
      </c>
      <c r="N24" s="637">
        <v>6</v>
      </c>
      <c r="O24" s="637">
        <v>4</v>
      </c>
      <c r="P24" s="637">
        <v>6</v>
      </c>
    </row>
    <row r="25" spans="1:16" ht="14.4">
      <c r="A25" s="637">
        <v>2014</v>
      </c>
      <c r="B25" s="638" t="s">
        <v>367</v>
      </c>
      <c r="C25" s="638" t="s">
        <v>401</v>
      </c>
      <c r="D25" s="637">
        <v>1</v>
      </c>
      <c r="E25" s="637">
        <v>1</v>
      </c>
      <c r="F25" s="637">
        <v>0</v>
      </c>
      <c r="G25" s="637">
        <v>1</v>
      </c>
      <c r="H25" s="637">
        <v>1</v>
      </c>
      <c r="I25" s="637">
        <v>1</v>
      </c>
      <c r="J25" s="637">
        <v>1</v>
      </c>
      <c r="K25" s="637">
        <v>1</v>
      </c>
      <c r="L25" s="637">
        <v>0</v>
      </c>
      <c r="M25" s="637">
        <v>0</v>
      </c>
      <c r="N25" s="637">
        <v>0</v>
      </c>
      <c r="O25" s="637">
        <v>0</v>
      </c>
      <c r="P25" s="637">
        <v>0</v>
      </c>
    </row>
    <row r="26" spans="1:16" ht="14.4">
      <c r="A26" s="637">
        <v>2014</v>
      </c>
      <c r="B26" s="638" t="s">
        <v>367</v>
      </c>
      <c r="C26" s="638" t="s">
        <v>328</v>
      </c>
      <c r="D26" s="637">
        <v>129</v>
      </c>
      <c r="E26" s="637">
        <v>104</v>
      </c>
      <c r="F26" s="637">
        <v>0</v>
      </c>
      <c r="G26" s="637">
        <v>56</v>
      </c>
      <c r="H26" s="637">
        <v>52</v>
      </c>
      <c r="I26" s="637">
        <v>53</v>
      </c>
      <c r="J26" s="637">
        <v>53</v>
      </c>
      <c r="K26" s="637">
        <v>53</v>
      </c>
      <c r="L26" s="637">
        <v>32</v>
      </c>
      <c r="M26" s="637">
        <v>32</v>
      </c>
      <c r="N26" s="637">
        <v>3</v>
      </c>
      <c r="O26" s="637">
        <v>1</v>
      </c>
      <c r="P26" s="637">
        <v>3</v>
      </c>
    </row>
    <row r="27" spans="1:16" ht="28.8">
      <c r="A27" s="637">
        <v>2014</v>
      </c>
      <c r="B27" s="638" t="s">
        <v>320</v>
      </c>
      <c r="C27" s="638" t="s">
        <v>335</v>
      </c>
      <c r="D27" s="637">
        <v>313</v>
      </c>
      <c r="E27" s="637">
        <v>289</v>
      </c>
      <c r="F27" s="637">
        <v>0</v>
      </c>
      <c r="G27" s="637">
        <v>267</v>
      </c>
      <c r="H27" s="637">
        <v>0</v>
      </c>
      <c r="I27" s="637">
        <v>0</v>
      </c>
      <c r="J27" s="637">
        <v>0</v>
      </c>
      <c r="K27" s="637">
        <v>0</v>
      </c>
      <c r="L27" s="637">
        <v>0</v>
      </c>
      <c r="M27" s="637">
        <v>0</v>
      </c>
      <c r="N27" s="637">
        <v>0</v>
      </c>
      <c r="O27" s="637">
        <v>259</v>
      </c>
      <c r="P27" s="637">
        <v>0</v>
      </c>
    </row>
    <row r="28" spans="1:16" ht="14.4">
      <c r="A28" s="637">
        <v>2015</v>
      </c>
      <c r="B28" s="638" t="s">
        <v>367</v>
      </c>
      <c r="C28" s="638" t="s">
        <v>335</v>
      </c>
      <c r="D28" s="637">
        <v>317</v>
      </c>
      <c r="E28" s="637">
        <v>203</v>
      </c>
      <c r="F28" s="637">
        <v>0</v>
      </c>
      <c r="G28" s="637">
        <v>78</v>
      </c>
      <c r="H28" s="637">
        <v>55</v>
      </c>
      <c r="I28" s="637">
        <v>48</v>
      </c>
      <c r="J28" s="637">
        <v>32</v>
      </c>
      <c r="K28" s="637">
        <v>27</v>
      </c>
      <c r="L28" s="637">
        <v>5</v>
      </c>
      <c r="M28" s="637">
        <v>5</v>
      </c>
      <c r="N28" s="637">
        <v>0</v>
      </c>
      <c r="O28" s="637">
        <v>3</v>
      </c>
      <c r="P28" s="637">
        <v>0</v>
      </c>
    </row>
    <row r="29" spans="1:16" ht="14.4">
      <c r="A29" s="637">
        <v>2015</v>
      </c>
      <c r="B29" s="638" t="s">
        <v>367</v>
      </c>
      <c r="C29" s="638" t="s">
        <v>401</v>
      </c>
      <c r="D29" s="637">
        <v>3</v>
      </c>
      <c r="E29" s="637">
        <v>2</v>
      </c>
      <c r="F29" s="637">
        <v>0</v>
      </c>
      <c r="G29" s="637">
        <v>0</v>
      </c>
      <c r="H29" s="637">
        <v>0</v>
      </c>
      <c r="I29" s="637">
        <v>0</v>
      </c>
      <c r="J29" s="637">
        <v>0</v>
      </c>
      <c r="K29" s="637">
        <v>0</v>
      </c>
      <c r="L29" s="637">
        <v>0</v>
      </c>
      <c r="M29" s="637">
        <v>0</v>
      </c>
      <c r="N29" s="637">
        <v>0</v>
      </c>
      <c r="O29" s="637">
        <v>0</v>
      </c>
      <c r="P29" s="637">
        <v>0</v>
      </c>
    </row>
    <row r="30" spans="1:16" ht="14.4">
      <c r="A30" s="637">
        <v>2015</v>
      </c>
      <c r="B30" s="638" t="s">
        <v>367</v>
      </c>
      <c r="C30" s="638" t="s">
        <v>328</v>
      </c>
      <c r="D30" s="637">
        <v>359</v>
      </c>
      <c r="E30" s="637">
        <v>217</v>
      </c>
      <c r="F30" s="637">
        <v>0</v>
      </c>
      <c r="G30" s="637">
        <v>20</v>
      </c>
      <c r="H30" s="637">
        <v>5</v>
      </c>
      <c r="I30" s="637">
        <v>2</v>
      </c>
      <c r="J30" s="637">
        <v>0</v>
      </c>
      <c r="K30" s="637">
        <v>0</v>
      </c>
      <c r="L30" s="637">
        <v>0</v>
      </c>
      <c r="M30" s="637">
        <v>0</v>
      </c>
      <c r="N30" s="637">
        <v>0</v>
      </c>
      <c r="O30" s="637">
        <v>6</v>
      </c>
      <c r="P30" s="637">
        <v>0</v>
      </c>
    </row>
    <row r="31" spans="1:16" ht="28.8">
      <c r="A31" s="637">
        <v>2015</v>
      </c>
      <c r="B31" s="638" t="s">
        <v>320</v>
      </c>
      <c r="C31" s="638" t="s">
        <v>335</v>
      </c>
      <c r="D31" s="637">
        <v>401</v>
      </c>
      <c r="E31" s="637">
        <v>344</v>
      </c>
      <c r="F31" s="637">
        <v>0</v>
      </c>
      <c r="G31" s="637">
        <v>244</v>
      </c>
      <c r="H31" s="637">
        <v>6</v>
      </c>
      <c r="I31" s="637">
        <v>0</v>
      </c>
      <c r="J31" s="637">
        <v>0</v>
      </c>
      <c r="K31" s="637">
        <v>0</v>
      </c>
      <c r="L31" s="637">
        <v>0</v>
      </c>
      <c r="M31" s="637">
        <v>0</v>
      </c>
      <c r="N31" s="637">
        <v>0</v>
      </c>
      <c r="O31" s="637">
        <v>211</v>
      </c>
      <c r="P31" s="637">
        <v>0</v>
      </c>
    </row>
    <row r="32" spans="1:16" ht="14.4">
      <c r="A32" s="637">
        <v>2015</v>
      </c>
      <c r="B32" s="638" t="s">
        <v>357</v>
      </c>
      <c r="C32" s="638" t="s">
        <v>335</v>
      </c>
      <c r="D32" s="637">
        <v>12</v>
      </c>
      <c r="E32" s="637">
        <v>8</v>
      </c>
      <c r="F32" s="637">
        <v>0</v>
      </c>
      <c r="G32" s="637">
        <v>6</v>
      </c>
      <c r="H32" s="637">
        <v>0</v>
      </c>
      <c r="I32" s="637">
        <v>0</v>
      </c>
      <c r="J32" s="637">
        <v>0</v>
      </c>
      <c r="K32" s="637">
        <v>0</v>
      </c>
      <c r="L32" s="637">
        <v>0</v>
      </c>
      <c r="M32" s="637">
        <v>0</v>
      </c>
      <c r="N32" s="637">
        <v>0</v>
      </c>
      <c r="O32" s="637">
        <v>2</v>
      </c>
      <c r="P32" s="637">
        <v>0</v>
      </c>
    </row>
    <row r="33" spans="1:16" ht="14.4">
      <c r="A33" s="637">
        <v>2016</v>
      </c>
      <c r="B33" s="638" t="s">
        <v>367</v>
      </c>
      <c r="C33" s="638" t="s">
        <v>335</v>
      </c>
      <c r="D33" s="637">
        <v>131</v>
      </c>
      <c r="E33" s="637">
        <v>111</v>
      </c>
      <c r="F33" s="637">
        <v>0</v>
      </c>
      <c r="G33" s="637">
        <v>105</v>
      </c>
      <c r="H33" s="637">
        <v>99</v>
      </c>
      <c r="I33" s="637">
        <v>101</v>
      </c>
      <c r="J33" s="637">
        <v>102</v>
      </c>
      <c r="K33" s="637">
        <v>101</v>
      </c>
      <c r="L33" s="637">
        <v>61</v>
      </c>
      <c r="M33" s="637">
        <v>61</v>
      </c>
      <c r="N33" s="637">
        <v>3</v>
      </c>
      <c r="O33" s="637">
        <v>2</v>
      </c>
      <c r="P33" s="637">
        <v>3</v>
      </c>
    </row>
    <row r="34" spans="1:16" ht="14.4">
      <c r="A34" s="637">
        <v>2016</v>
      </c>
      <c r="B34" s="638" t="s">
        <v>367</v>
      </c>
      <c r="C34" s="638" t="s">
        <v>401</v>
      </c>
      <c r="D34" s="637">
        <v>1</v>
      </c>
      <c r="E34" s="637">
        <v>1</v>
      </c>
      <c r="F34" s="637">
        <v>0</v>
      </c>
      <c r="G34" s="637">
        <v>0</v>
      </c>
      <c r="H34" s="637">
        <v>0</v>
      </c>
      <c r="I34" s="637">
        <v>0</v>
      </c>
      <c r="J34" s="637">
        <v>0</v>
      </c>
      <c r="K34" s="637">
        <v>0</v>
      </c>
      <c r="L34" s="637">
        <v>0</v>
      </c>
      <c r="M34" s="637">
        <v>0</v>
      </c>
      <c r="N34" s="637">
        <v>0</v>
      </c>
      <c r="O34" s="637">
        <v>0</v>
      </c>
      <c r="P34" s="637">
        <v>0</v>
      </c>
    </row>
    <row r="35" spans="1:16" ht="14.4">
      <c r="A35" s="637">
        <v>2016</v>
      </c>
      <c r="B35" s="638" t="s">
        <v>367</v>
      </c>
      <c r="C35" s="638" t="s">
        <v>328</v>
      </c>
      <c r="D35" s="637">
        <v>51</v>
      </c>
      <c r="E35" s="637">
        <v>45</v>
      </c>
      <c r="F35" s="637">
        <v>0</v>
      </c>
      <c r="G35" s="637">
        <v>27</v>
      </c>
      <c r="H35" s="637">
        <v>25</v>
      </c>
      <c r="I35" s="637">
        <v>25</v>
      </c>
      <c r="J35" s="637">
        <v>23</v>
      </c>
      <c r="K35" s="637">
        <v>23</v>
      </c>
      <c r="L35" s="637">
        <v>10</v>
      </c>
      <c r="M35" s="637">
        <v>10</v>
      </c>
      <c r="N35" s="637">
        <v>0</v>
      </c>
      <c r="O35" s="637">
        <v>0</v>
      </c>
      <c r="P35" s="637">
        <v>0</v>
      </c>
    </row>
    <row r="36" spans="1:16" ht="28.8">
      <c r="A36" s="637">
        <v>2016</v>
      </c>
      <c r="B36" s="638" t="s">
        <v>320</v>
      </c>
      <c r="C36" s="638" t="s">
        <v>335</v>
      </c>
      <c r="D36" s="637">
        <v>146</v>
      </c>
      <c r="E36" s="637">
        <v>131</v>
      </c>
      <c r="F36" s="637">
        <v>0</v>
      </c>
      <c r="G36" s="637">
        <v>120</v>
      </c>
      <c r="H36" s="637">
        <v>0</v>
      </c>
      <c r="I36" s="637">
        <v>0</v>
      </c>
      <c r="J36" s="637">
        <v>0</v>
      </c>
      <c r="K36" s="637">
        <v>0</v>
      </c>
      <c r="L36" s="637">
        <v>0</v>
      </c>
      <c r="M36" s="637">
        <v>0</v>
      </c>
      <c r="N36" s="637">
        <v>0</v>
      </c>
      <c r="O36" s="637">
        <v>118</v>
      </c>
      <c r="P36" s="637">
        <v>0</v>
      </c>
    </row>
    <row r="37" spans="1:16" ht="28.8">
      <c r="A37" s="637">
        <v>2017</v>
      </c>
      <c r="B37" s="638" t="s">
        <v>402</v>
      </c>
      <c r="C37" s="638" t="s">
        <v>335</v>
      </c>
      <c r="D37" s="637">
        <v>1</v>
      </c>
      <c r="E37" s="637">
        <v>1</v>
      </c>
      <c r="F37" s="637">
        <v>0</v>
      </c>
      <c r="G37" s="637">
        <v>0</v>
      </c>
      <c r="H37" s="637">
        <v>0</v>
      </c>
      <c r="I37" s="637">
        <v>0</v>
      </c>
      <c r="J37" s="637">
        <v>0</v>
      </c>
      <c r="K37" s="637">
        <v>0</v>
      </c>
      <c r="L37" s="637">
        <v>0</v>
      </c>
      <c r="M37" s="637">
        <v>0</v>
      </c>
      <c r="N37" s="637">
        <v>0</v>
      </c>
      <c r="O37" s="637">
        <v>0</v>
      </c>
      <c r="P37" s="637">
        <v>0</v>
      </c>
    </row>
    <row r="38" spans="1:16" ht="14.4">
      <c r="A38" s="637">
        <v>2017</v>
      </c>
      <c r="B38" s="638" t="s">
        <v>367</v>
      </c>
      <c r="C38" s="638" t="s">
        <v>335</v>
      </c>
      <c r="D38" s="637">
        <v>66</v>
      </c>
      <c r="E38" s="637">
        <v>49</v>
      </c>
      <c r="F38" s="637">
        <v>0</v>
      </c>
      <c r="G38" s="637">
        <v>41</v>
      </c>
      <c r="H38" s="637">
        <v>39</v>
      </c>
      <c r="I38" s="637">
        <v>41</v>
      </c>
      <c r="J38" s="637">
        <v>39</v>
      </c>
      <c r="K38" s="637">
        <v>37</v>
      </c>
      <c r="L38" s="637">
        <v>17</v>
      </c>
      <c r="M38" s="637">
        <v>17</v>
      </c>
      <c r="N38" s="637">
        <v>7</v>
      </c>
      <c r="O38" s="637">
        <v>0</v>
      </c>
      <c r="P38" s="637">
        <v>7</v>
      </c>
    </row>
    <row r="39" spans="1:16" ht="14.4">
      <c r="A39" s="637">
        <v>2017</v>
      </c>
      <c r="B39" s="638" t="s">
        <v>367</v>
      </c>
      <c r="C39" s="638" t="s">
        <v>328</v>
      </c>
      <c r="D39" s="637">
        <v>8</v>
      </c>
      <c r="E39" s="637">
        <v>7</v>
      </c>
      <c r="F39" s="637">
        <v>0</v>
      </c>
      <c r="G39" s="637">
        <v>3</v>
      </c>
      <c r="H39" s="637">
        <v>3</v>
      </c>
      <c r="I39" s="637">
        <v>3</v>
      </c>
      <c r="J39" s="637">
        <v>2</v>
      </c>
      <c r="K39" s="637">
        <v>3</v>
      </c>
      <c r="L39" s="637">
        <v>1</v>
      </c>
      <c r="M39" s="637">
        <v>1</v>
      </c>
      <c r="N39" s="637">
        <v>0</v>
      </c>
      <c r="O39" s="637">
        <v>0</v>
      </c>
      <c r="P39" s="637">
        <v>0</v>
      </c>
    </row>
    <row r="40" spans="1:16" ht="28.8">
      <c r="A40" s="637">
        <v>2017</v>
      </c>
      <c r="B40" s="638" t="s">
        <v>320</v>
      </c>
      <c r="C40" s="638" t="s">
        <v>335</v>
      </c>
      <c r="D40" s="637">
        <v>115</v>
      </c>
      <c r="E40" s="637">
        <v>109</v>
      </c>
      <c r="F40" s="637">
        <v>0</v>
      </c>
      <c r="G40" s="637">
        <v>101</v>
      </c>
      <c r="H40" s="637">
        <v>0</v>
      </c>
      <c r="I40" s="637">
        <v>0</v>
      </c>
      <c r="J40" s="637">
        <v>0</v>
      </c>
      <c r="K40" s="637">
        <v>0</v>
      </c>
      <c r="L40" s="637">
        <v>0</v>
      </c>
      <c r="M40" s="637">
        <v>0</v>
      </c>
      <c r="N40" s="637">
        <v>0</v>
      </c>
      <c r="O40" s="637">
        <v>93</v>
      </c>
      <c r="P40" s="637">
        <v>0</v>
      </c>
    </row>
    <row r="41" spans="1:16" ht="28.8">
      <c r="A41" s="637">
        <v>2018</v>
      </c>
      <c r="B41" s="638" t="s">
        <v>403</v>
      </c>
      <c r="C41" s="638" t="s">
        <v>335</v>
      </c>
      <c r="D41" s="637">
        <v>2</v>
      </c>
      <c r="E41" s="637">
        <v>0</v>
      </c>
      <c r="F41" s="637">
        <v>0</v>
      </c>
      <c r="G41" s="637">
        <v>0</v>
      </c>
      <c r="H41" s="637">
        <v>0</v>
      </c>
      <c r="I41" s="637">
        <v>0</v>
      </c>
      <c r="J41" s="637">
        <v>0</v>
      </c>
      <c r="K41" s="637">
        <v>0</v>
      </c>
      <c r="L41" s="637">
        <v>0</v>
      </c>
      <c r="M41" s="637">
        <v>0</v>
      </c>
      <c r="N41" s="637">
        <v>0</v>
      </c>
      <c r="O41" s="637">
        <v>0</v>
      </c>
      <c r="P41" s="637">
        <v>0</v>
      </c>
    </row>
    <row r="42" spans="1:16" ht="14.4">
      <c r="A42" s="637">
        <v>2018</v>
      </c>
      <c r="B42" s="638" t="s">
        <v>367</v>
      </c>
      <c r="C42" s="638" t="s">
        <v>335</v>
      </c>
      <c r="D42" s="637">
        <v>7</v>
      </c>
      <c r="E42" s="637">
        <v>6</v>
      </c>
      <c r="F42" s="637">
        <v>5</v>
      </c>
      <c r="G42" s="637">
        <v>4</v>
      </c>
      <c r="H42" s="637">
        <v>5</v>
      </c>
      <c r="I42" s="637">
        <v>5</v>
      </c>
      <c r="J42" s="637">
        <v>5</v>
      </c>
      <c r="K42" s="637">
        <v>5</v>
      </c>
      <c r="L42" s="637">
        <v>1</v>
      </c>
      <c r="M42" s="637">
        <v>1</v>
      </c>
      <c r="N42" s="637">
        <v>0</v>
      </c>
      <c r="O42" s="637">
        <v>0</v>
      </c>
      <c r="P42" s="637">
        <v>3</v>
      </c>
    </row>
    <row r="43" spans="1:16" ht="14.4">
      <c r="A43" s="637">
        <v>2018</v>
      </c>
      <c r="B43" s="638" t="s">
        <v>367</v>
      </c>
      <c r="C43" s="638" t="s">
        <v>328</v>
      </c>
      <c r="D43" s="637">
        <v>1</v>
      </c>
      <c r="E43" s="637">
        <v>1</v>
      </c>
      <c r="F43" s="637">
        <v>1</v>
      </c>
      <c r="G43" s="637">
        <v>1</v>
      </c>
      <c r="H43" s="637">
        <v>0</v>
      </c>
      <c r="I43" s="637">
        <v>0</v>
      </c>
      <c r="J43" s="637">
        <v>0</v>
      </c>
      <c r="K43" s="637">
        <v>0</v>
      </c>
      <c r="L43" s="637">
        <v>0</v>
      </c>
      <c r="M43" s="637">
        <v>0</v>
      </c>
      <c r="N43" s="637">
        <v>0</v>
      </c>
      <c r="O43" s="637">
        <v>1</v>
      </c>
      <c r="P43" s="637">
        <v>0</v>
      </c>
    </row>
    <row r="44" spans="1:16" ht="28.8">
      <c r="A44" s="637">
        <v>2018</v>
      </c>
      <c r="B44" s="638" t="s">
        <v>320</v>
      </c>
      <c r="C44" s="638" t="s">
        <v>335</v>
      </c>
      <c r="D44" s="637">
        <v>94</v>
      </c>
      <c r="E44" s="637">
        <v>86</v>
      </c>
      <c r="F44" s="637">
        <v>82</v>
      </c>
      <c r="G44" s="637">
        <v>82</v>
      </c>
      <c r="H44" s="637">
        <v>0</v>
      </c>
      <c r="I44" s="637">
        <v>0</v>
      </c>
      <c r="J44" s="637">
        <v>0</v>
      </c>
      <c r="K44" s="637">
        <v>0</v>
      </c>
      <c r="L44" s="637">
        <v>0</v>
      </c>
      <c r="M44" s="637">
        <v>0</v>
      </c>
      <c r="N44" s="637">
        <v>0</v>
      </c>
      <c r="O44" s="637">
        <v>80</v>
      </c>
      <c r="P44" s="637">
        <v>0</v>
      </c>
    </row>
    <row r="45" spans="1:16" ht="14.4">
      <c r="A45" s="637">
        <v>2019</v>
      </c>
      <c r="B45" s="638" t="s">
        <v>367</v>
      </c>
      <c r="C45" s="638" t="s">
        <v>335</v>
      </c>
      <c r="D45" s="637">
        <v>2</v>
      </c>
      <c r="E45" s="637">
        <v>2</v>
      </c>
      <c r="F45" s="637">
        <v>2</v>
      </c>
      <c r="G45" s="637">
        <v>1</v>
      </c>
      <c r="H45" s="637">
        <v>2</v>
      </c>
      <c r="I45" s="637">
        <v>2</v>
      </c>
      <c r="J45" s="637">
        <v>2</v>
      </c>
      <c r="K45" s="637">
        <v>2</v>
      </c>
      <c r="L45" s="637">
        <v>1</v>
      </c>
      <c r="M45" s="637">
        <v>1</v>
      </c>
      <c r="N45" s="637">
        <v>0</v>
      </c>
      <c r="O45" s="637">
        <v>0</v>
      </c>
      <c r="P45" s="637">
        <v>1</v>
      </c>
    </row>
    <row r="46" spans="1:16" ht="28.8">
      <c r="A46" s="637">
        <v>2019</v>
      </c>
      <c r="B46" s="638" t="s">
        <v>320</v>
      </c>
      <c r="C46" s="638" t="s">
        <v>335</v>
      </c>
      <c r="D46" s="637">
        <v>40</v>
      </c>
      <c r="E46" s="637">
        <v>40</v>
      </c>
      <c r="F46" s="637">
        <v>39</v>
      </c>
      <c r="G46" s="637">
        <v>37</v>
      </c>
      <c r="H46" s="637">
        <v>1</v>
      </c>
      <c r="I46" s="637">
        <v>0</v>
      </c>
      <c r="J46" s="637">
        <v>0</v>
      </c>
      <c r="K46" s="637">
        <v>0</v>
      </c>
      <c r="L46" s="637">
        <v>0</v>
      </c>
      <c r="M46" s="637">
        <v>0</v>
      </c>
      <c r="N46" s="637">
        <v>0</v>
      </c>
      <c r="O46" s="637">
        <v>36</v>
      </c>
      <c r="P46" s="637">
        <v>0</v>
      </c>
    </row>
    <row r="47" spans="1:16" ht="28.8">
      <c r="A47" s="637">
        <v>2020</v>
      </c>
      <c r="B47" s="638" t="s">
        <v>403</v>
      </c>
      <c r="C47" s="638" t="s">
        <v>335</v>
      </c>
      <c r="D47" s="637">
        <v>1725</v>
      </c>
      <c r="E47" s="637">
        <v>1584</v>
      </c>
      <c r="F47" s="637">
        <v>1489</v>
      </c>
      <c r="G47" s="637">
        <v>1461</v>
      </c>
      <c r="H47" s="637">
        <v>6</v>
      </c>
      <c r="I47" s="637">
        <v>1</v>
      </c>
      <c r="J47" s="637">
        <v>1</v>
      </c>
      <c r="K47" s="637">
        <v>0</v>
      </c>
      <c r="L47" s="637">
        <v>0</v>
      </c>
      <c r="M47" s="637">
        <v>0</v>
      </c>
      <c r="N47" s="637">
        <v>0</v>
      </c>
      <c r="O47" s="637">
        <v>1388</v>
      </c>
      <c r="P47" s="637">
        <v>0</v>
      </c>
    </row>
    <row r="48" spans="1:16" ht="14.4">
      <c r="A48" s="637">
        <v>2020</v>
      </c>
      <c r="B48" s="638" t="s">
        <v>367</v>
      </c>
      <c r="C48" s="638" t="s">
        <v>335</v>
      </c>
      <c r="D48" s="637">
        <v>4</v>
      </c>
      <c r="E48" s="637">
        <v>3</v>
      </c>
      <c r="F48" s="637">
        <v>3</v>
      </c>
      <c r="G48" s="637">
        <v>3</v>
      </c>
      <c r="H48" s="637">
        <v>3</v>
      </c>
      <c r="I48" s="637">
        <v>3</v>
      </c>
      <c r="J48" s="637">
        <v>3</v>
      </c>
      <c r="K48" s="637">
        <v>3</v>
      </c>
      <c r="L48" s="637">
        <v>0</v>
      </c>
      <c r="M48" s="637">
        <v>0</v>
      </c>
      <c r="N48" s="637">
        <v>0</v>
      </c>
      <c r="O48" s="637">
        <v>0</v>
      </c>
      <c r="P48" s="637">
        <v>0</v>
      </c>
    </row>
    <row r="49" spans="1:16" ht="14.4">
      <c r="A49" s="637">
        <v>2020</v>
      </c>
      <c r="B49" s="638" t="s">
        <v>367</v>
      </c>
      <c r="C49" s="638" t="s">
        <v>401</v>
      </c>
      <c r="D49" s="637">
        <v>1</v>
      </c>
      <c r="E49" s="637">
        <v>1</v>
      </c>
      <c r="F49" s="637">
        <v>1</v>
      </c>
      <c r="G49" s="637">
        <v>1</v>
      </c>
      <c r="H49" s="637">
        <v>1</v>
      </c>
      <c r="I49" s="637">
        <v>1</v>
      </c>
      <c r="J49" s="637">
        <v>1</v>
      </c>
      <c r="K49" s="637">
        <v>1</v>
      </c>
      <c r="L49" s="637">
        <v>0</v>
      </c>
      <c r="M49" s="637">
        <v>0</v>
      </c>
      <c r="N49" s="637">
        <v>0</v>
      </c>
      <c r="O49" s="637">
        <v>0</v>
      </c>
      <c r="P49" s="637">
        <v>0</v>
      </c>
    </row>
    <row r="50" spans="1:16" ht="14.4">
      <c r="A50" s="637">
        <v>2020</v>
      </c>
      <c r="B50" s="638" t="s">
        <v>367</v>
      </c>
      <c r="C50" s="638" t="s">
        <v>328</v>
      </c>
      <c r="D50" s="637">
        <v>1</v>
      </c>
      <c r="E50" s="637">
        <v>1</v>
      </c>
      <c r="F50" s="637">
        <v>1</v>
      </c>
      <c r="G50" s="637">
        <v>1</v>
      </c>
      <c r="H50" s="637">
        <v>1</v>
      </c>
      <c r="I50" s="637">
        <v>1</v>
      </c>
      <c r="J50" s="637">
        <v>1</v>
      </c>
      <c r="K50" s="637">
        <v>1</v>
      </c>
      <c r="L50" s="637">
        <v>0</v>
      </c>
      <c r="M50" s="637">
        <v>0</v>
      </c>
      <c r="N50" s="637">
        <v>0</v>
      </c>
      <c r="O50" s="637">
        <v>0</v>
      </c>
      <c r="P50" s="637">
        <v>0</v>
      </c>
    </row>
    <row r="51" spans="1:16" ht="28.8">
      <c r="A51" s="637">
        <v>2020</v>
      </c>
      <c r="B51" s="638" t="s">
        <v>320</v>
      </c>
      <c r="C51" s="638" t="s">
        <v>335</v>
      </c>
      <c r="D51" s="637">
        <v>339</v>
      </c>
      <c r="E51" s="637">
        <v>312</v>
      </c>
      <c r="F51" s="637">
        <v>291</v>
      </c>
      <c r="G51" s="637">
        <v>289</v>
      </c>
      <c r="H51" s="637">
        <v>0</v>
      </c>
      <c r="I51" s="637">
        <v>0</v>
      </c>
      <c r="J51" s="637">
        <v>0</v>
      </c>
      <c r="K51" s="637">
        <v>0</v>
      </c>
      <c r="L51" s="637">
        <v>0</v>
      </c>
      <c r="M51" s="637">
        <v>0</v>
      </c>
      <c r="N51" s="637">
        <v>0</v>
      </c>
      <c r="O51" s="637">
        <v>278</v>
      </c>
      <c r="P51" s="637">
        <v>0</v>
      </c>
    </row>
    <row r="52" spans="1:16" ht="28.8">
      <c r="A52" s="637">
        <v>2021</v>
      </c>
      <c r="B52" s="638" t="s">
        <v>402</v>
      </c>
      <c r="C52" s="638" t="s">
        <v>335</v>
      </c>
      <c r="D52" s="637">
        <v>1</v>
      </c>
      <c r="E52" s="637">
        <v>0</v>
      </c>
      <c r="F52" s="637">
        <v>0</v>
      </c>
      <c r="G52" s="637">
        <v>0</v>
      </c>
      <c r="H52" s="637">
        <v>0</v>
      </c>
      <c r="I52" s="637">
        <v>0</v>
      </c>
      <c r="J52" s="637">
        <v>0</v>
      </c>
      <c r="K52" s="637">
        <v>0</v>
      </c>
      <c r="L52" s="637">
        <v>0</v>
      </c>
      <c r="M52" s="637">
        <v>0</v>
      </c>
      <c r="N52" s="637">
        <v>0</v>
      </c>
      <c r="O52" s="637">
        <v>0</v>
      </c>
      <c r="P52" s="637">
        <v>0</v>
      </c>
    </row>
    <row r="53" spans="1:16" ht="28.8">
      <c r="A53" s="637">
        <v>2021</v>
      </c>
      <c r="B53" s="638" t="s">
        <v>403</v>
      </c>
      <c r="C53" s="638" t="s">
        <v>335</v>
      </c>
      <c r="D53" s="637">
        <v>1507</v>
      </c>
      <c r="E53" s="637">
        <v>1261</v>
      </c>
      <c r="F53" s="637">
        <v>1161</v>
      </c>
      <c r="G53" s="637">
        <v>973</v>
      </c>
      <c r="H53" s="637">
        <v>7</v>
      </c>
      <c r="I53" s="637">
        <v>4</v>
      </c>
      <c r="J53" s="637">
        <v>3</v>
      </c>
      <c r="K53" s="637">
        <v>3</v>
      </c>
      <c r="L53" s="637">
        <v>0</v>
      </c>
      <c r="M53" s="637">
        <v>0</v>
      </c>
      <c r="N53" s="637">
        <v>0</v>
      </c>
      <c r="O53" s="637">
        <v>826</v>
      </c>
      <c r="P53" s="637">
        <v>0</v>
      </c>
    </row>
    <row r="54" spans="1:16" ht="14.4">
      <c r="A54" s="637">
        <v>2021</v>
      </c>
      <c r="B54" s="638" t="s">
        <v>367</v>
      </c>
      <c r="C54" s="638" t="s">
        <v>335</v>
      </c>
      <c r="D54" s="637">
        <v>49</v>
      </c>
      <c r="E54" s="637">
        <v>37</v>
      </c>
      <c r="F54" s="637">
        <v>32</v>
      </c>
      <c r="G54" s="637">
        <v>30</v>
      </c>
      <c r="H54" s="637">
        <v>25</v>
      </c>
      <c r="I54" s="637">
        <v>18</v>
      </c>
      <c r="J54" s="637">
        <v>18</v>
      </c>
      <c r="K54" s="637">
        <v>15</v>
      </c>
      <c r="L54" s="637">
        <v>0</v>
      </c>
      <c r="M54" s="637">
        <v>0</v>
      </c>
      <c r="N54" s="637">
        <v>0</v>
      </c>
      <c r="O54" s="637">
        <v>2</v>
      </c>
      <c r="P54" s="637">
        <v>0</v>
      </c>
    </row>
    <row r="55" spans="1:16" ht="14.4">
      <c r="A55" s="637">
        <v>2021</v>
      </c>
      <c r="B55" s="638" t="s">
        <v>367</v>
      </c>
      <c r="C55" s="638" t="s">
        <v>328</v>
      </c>
      <c r="D55" s="637">
        <v>7</v>
      </c>
      <c r="E55" s="637">
        <v>5</v>
      </c>
      <c r="F55" s="637">
        <v>2</v>
      </c>
      <c r="G55" s="637">
        <v>0</v>
      </c>
      <c r="H55" s="637">
        <v>0</v>
      </c>
      <c r="I55" s="637">
        <v>0</v>
      </c>
      <c r="J55" s="637">
        <v>0</v>
      </c>
      <c r="K55" s="637">
        <v>0</v>
      </c>
      <c r="L55" s="637">
        <v>0</v>
      </c>
      <c r="M55" s="637">
        <v>0</v>
      </c>
      <c r="N55" s="637">
        <v>0</v>
      </c>
      <c r="O55" s="637">
        <v>0</v>
      </c>
      <c r="P55" s="637">
        <v>0</v>
      </c>
    </row>
    <row r="56" spans="1:16" ht="28.8">
      <c r="A56" s="637">
        <v>2021</v>
      </c>
      <c r="B56" s="638" t="s">
        <v>320</v>
      </c>
      <c r="C56" s="638" t="s">
        <v>335</v>
      </c>
      <c r="D56" s="637">
        <v>323</v>
      </c>
      <c r="E56" s="637">
        <v>285</v>
      </c>
      <c r="F56" s="637">
        <v>266</v>
      </c>
      <c r="G56" s="637">
        <v>242</v>
      </c>
      <c r="H56" s="637">
        <v>0</v>
      </c>
      <c r="I56" s="637">
        <v>0</v>
      </c>
      <c r="J56" s="637">
        <v>0</v>
      </c>
      <c r="K56" s="637">
        <v>0</v>
      </c>
      <c r="L56" s="637">
        <v>0</v>
      </c>
      <c r="M56" s="637">
        <v>0</v>
      </c>
      <c r="N56" s="637">
        <v>0</v>
      </c>
      <c r="O56" s="637">
        <v>229</v>
      </c>
      <c r="P56" s="637">
        <v>0</v>
      </c>
    </row>
    <row r="57" spans="1:16" ht="28.8">
      <c r="A57" s="637">
        <v>2022</v>
      </c>
      <c r="B57" s="638" t="s">
        <v>402</v>
      </c>
      <c r="C57" s="638" t="s">
        <v>335</v>
      </c>
      <c r="D57" s="637">
        <v>2</v>
      </c>
      <c r="E57" s="637">
        <v>1</v>
      </c>
      <c r="F57" s="637">
        <v>0</v>
      </c>
      <c r="G57" s="637">
        <v>0</v>
      </c>
      <c r="H57" s="637">
        <v>0</v>
      </c>
      <c r="I57" s="637">
        <v>0</v>
      </c>
      <c r="J57" s="637">
        <v>0</v>
      </c>
      <c r="K57" s="637">
        <v>0</v>
      </c>
      <c r="L57" s="637">
        <v>0</v>
      </c>
      <c r="M57" s="637">
        <v>0</v>
      </c>
      <c r="N57" s="637">
        <v>0</v>
      </c>
      <c r="O57" s="637">
        <v>0</v>
      </c>
      <c r="P57" s="637">
        <v>0</v>
      </c>
    </row>
    <row r="58" spans="1:16" ht="14.4">
      <c r="A58" s="637">
        <v>2022</v>
      </c>
      <c r="B58" s="638" t="s">
        <v>367</v>
      </c>
      <c r="C58" s="638" t="s">
        <v>335</v>
      </c>
      <c r="D58" s="637">
        <v>146</v>
      </c>
      <c r="E58" s="637">
        <v>132</v>
      </c>
      <c r="F58" s="637">
        <v>123</v>
      </c>
      <c r="G58" s="637">
        <v>119</v>
      </c>
      <c r="H58" s="637">
        <v>91</v>
      </c>
      <c r="I58" s="637">
        <v>95</v>
      </c>
      <c r="J58" s="637">
        <v>97</v>
      </c>
      <c r="K58" s="637">
        <v>96</v>
      </c>
      <c r="L58" s="637">
        <v>39</v>
      </c>
      <c r="M58" s="637">
        <v>39</v>
      </c>
      <c r="N58" s="637">
        <v>0</v>
      </c>
      <c r="O58" s="637">
        <v>20</v>
      </c>
      <c r="P58" s="637">
        <v>0</v>
      </c>
    </row>
    <row r="59" spans="1:16" ht="14.4">
      <c r="A59" s="637">
        <v>2022</v>
      </c>
      <c r="B59" s="638" t="s">
        <v>367</v>
      </c>
      <c r="C59" s="638" t="s">
        <v>328</v>
      </c>
      <c r="D59" s="637">
        <v>7</v>
      </c>
      <c r="E59" s="637">
        <v>6</v>
      </c>
      <c r="F59" s="637">
        <v>5</v>
      </c>
      <c r="G59" s="637">
        <v>6</v>
      </c>
      <c r="H59" s="637">
        <v>5</v>
      </c>
      <c r="I59" s="637">
        <v>5</v>
      </c>
      <c r="J59" s="637">
        <v>5</v>
      </c>
      <c r="K59" s="637">
        <v>5</v>
      </c>
      <c r="L59" s="637">
        <v>2</v>
      </c>
      <c r="M59" s="637">
        <v>2</v>
      </c>
      <c r="N59" s="637">
        <v>0</v>
      </c>
      <c r="O59" s="637">
        <v>0</v>
      </c>
      <c r="P59" s="637">
        <v>0</v>
      </c>
    </row>
    <row r="60" spans="1:16" ht="28.8">
      <c r="A60" s="637">
        <v>2022</v>
      </c>
      <c r="B60" s="638" t="s">
        <v>320</v>
      </c>
      <c r="C60" s="638" t="s">
        <v>335</v>
      </c>
      <c r="D60" s="637">
        <v>391</v>
      </c>
      <c r="E60" s="637">
        <v>361</v>
      </c>
      <c r="F60" s="637">
        <v>353</v>
      </c>
      <c r="G60" s="637">
        <v>340</v>
      </c>
      <c r="H60" s="637">
        <v>0</v>
      </c>
      <c r="I60" s="637">
        <v>0</v>
      </c>
      <c r="J60" s="637">
        <v>0</v>
      </c>
      <c r="K60" s="637">
        <v>0</v>
      </c>
      <c r="L60" s="637">
        <v>0</v>
      </c>
      <c r="M60" s="637">
        <v>0</v>
      </c>
      <c r="N60" s="637">
        <v>0</v>
      </c>
      <c r="O60" s="637">
        <v>330</v>
      </c>
      <c r="P60" s="637">
        <v>0</v>
      </c>
    </row>
    <row r="61" spans="1:16" ht="28.8">
      <c r="A61" s="637">
        <v>2023</v>
      </c>
      <c r="B61" s="638" t="s">
        <v>402</v>
      </c>
      <c r="C61" s="638" t="s">
        <v>335</v>
      </c>
      <c r="D61" s="637">
        <v>1</v>
      </c>
      <c r="E61" s="637">
        <v>1</v>
      </c>
      <c r="F61" s="637">
        <v>0</v>
      </c>
      <c r="G61" s="637">
        <v>0</v>
      </c>
      <c r="H61" s="637">
        <v>0</v>
      </c>
      <c r="I61" s="637">
        <v>0</v>
      </c>
      <c r="J61" s="637">
        <v>0</v>
      </c>
      <c r="K61" s="637">
        <v>0</v>
      </c>
      <c r="L61" s="637">
        <v>0</v>
      </c>
      <c r="M61" s="637">
        <v>0</v>
      </c>
      <c r="N61" s="637">
        <v>0</v>
      </c>
      <c r="O61" s="637">
        <v>0</v>
      </c>
      <c r="P61" s="637">
        <v>0</v>
      </c>
    </row>
    <row r="62" spans="1:16" ht="14.4">
      <c r="A62" s="637">
        <v>2023</v>
      </c>
      <c r="B62" s="638" t="s">
        <v>367</v>
      </c>
      <c r="C62" s="638" t="s">
        <v>335</v>
      </c>
      <c r="D62" s="637">
        <v>231</v>
      </c>
      <c r="E62" s="637">
        <v>191</v>
      </c>
      <c r="F62" s="637">
        <v>166</v>
      </c>
      <c r="G62" s="637">
        <v>122</v>
      </c>
      <c r="H62" s="637">
        <v>74</v>
      </c>
      <c r="I62" s="637">
        <v>63</v>
      </c>
      <c r="J62" s="637">
        <v>50</v>
      </c>
      <c r="K62" s="637">
        <v>50</v>
      </c>
      <c r="L62" s="637">
        <v>9</v>
      </c>
      <c r="M62" s="637">
        <v>9</v>
      </c>
      <c r="N62" s="637">
        <v>0</v>
      </c>
      <c r="O62" s="637">
        <v>18</v>
      </c>
      <c r="P62" s="637">
        <v>0</v>
      </c>
    </row>
    <row r="63" spans="1:16" ht="14.4">
      <c r="A63" s="637">
        <v>2023</v>
      </c>
      <c r="B63" s="638" t="s">
        <v>367</v>
      </c>
      <c r="C63" s="638" t="s">
        <v>328</v>
      </c>
      <c r="D63" s="637">
        <v>1</v>
      </c>
      <c r="E63" s="637">
        <v>1</v>
      </c>
      <c r="F63" s="637">
        <v>1</v>
      </c>
      <c r="G63" s="637">
        <v>0</v>
      </c>
      <c r="H63" s="637">
        <v>0</v>
      </c>
      <c r="I63" s="637">
        <v>0</v>
      </c>
      <c r="J63" s="637">
        <v>0</v>
      </c>
      <c r="K63" s="637">
        <v>0</v>
      </c>
      <c r="L63" s="637">
        <v>0</v>
      </c>
      <c r="M63" s="637">
        <v>0</v>
      </c>
      <c r="N63" s="637">
        <v>0</v>
      </c>
      <c r="O63" s="637">
        <v>0</v>
      </c>
      <c r="P63" s="637">
        <v>0</v>
      </c>
    </row>
    <row r="64" spans="1:16" ht="28.8">
      <c r="A64" s="637">
        <v>2023</v>
      </c>
      <c r="B64" s="638" t="s">
        <v>320</v>
      </c>
      <c r="C64" s="638" t="s">
        <v>335</v>
      </c>
      <c r="D64" s="637">
        <v>478</v>
      </c>
      <c r="E64" s="637">
        <v>441</v>
      </c>
      <c r="F64" s="637">
        <v>421</v>
      </c>
      <c r="G64" s="637">
        <v>397</v>
      </c>
      <c r="H64" s="637">
        <v>0</v>
      </c>
      <c r="I64" s="637">
        <v>0</v>
      </c>
      <c r="J64" s="637">
        <v>0</v>
      </c>
      <c r="K64" s="637">
        <v>0</v>
      </c>
      <c r="L64" s="637">
        <v>0</v>
      </c>
      <c r="M64" s="637">
        <v>0</v>
      </c>
      <c r="N64" s="637">
        <v>0</v>
      </c>
      <c r="O64" s="637">
        <v>366</v>
      </c>
      <c r="P64" s="637">
        <v>0</v>
      </c>
    </row>
    <row r="65" spans="1:16" ht="14.4">
      <c r="A65" s="637">
        <v>2023</v>
      </c>
      <c r="B65" s="638" t="s">
        <v>357</v>
      </c>
      <c r="C65" s="638" t="s">
        <v>335</v>
      </c>
      <c r="D65" s="637">
        <v>5</v>
      </c>
      <c r="E65" s="637">
        <v>5</v>
      </c>
      <c r="F65" s="637">
        <v>5</v>
      </c>
      <c r="G65" s="637">
        <v>3</v>
      </c>
      <c r="H65" s="637">
        <v>0</v>
      </c>
      <c r="I65" s="637">
        <v>0</v>
      </c>
      <c r="J65" s="637">
        <v>0</v>
      </c>
      <c r="K65" s="637">
        <v>0</v>
      </c>
      <c r="L65" s="637">
        <v>0</v>
      </c>
      <c r="M65" s="637">
        <v>0</v>
      </c>
      <c r="N65" s="637">
        <v>0</v>
      </c>
      <c r="O65" s="637">
        <v>1</v>
      </c>
      <c r="P65" s="63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FF00"/>
  </sheetPr>
  <dimension ref="A1:AR200"/>
  <sheetViews>
    <sheetView tabSelected="1" topLeftCell="A7" zoomScaleNormal="100" zoomScaleSheetLayoutView="80" workbookViewId="0">
      <selection activeCell="M29" sqref="M29"/>
    </sheetView>
  </sheetViews>
  <sheetFormatPr defaultRowHeight="13.2"/>
  <cols>
    <col min="1" max="11" width="9.6640625" customWidth="1"/>
    <col min="12" max="12" width="10.33203125" bestFit="1" customWidth="1"/>
    <col min="13" max="13" width="16.6640625" customWidth="1"/>
    <col min="14" max="14" width="15.5546875" bestFit="1" customWidth="1"/>
    <col min="15" max="23" width="9.6640625" customWidth="1"/>
    <col min="29" max="29" width="14.5546875" customWidth="1"/>
  </cols>
  <sheetData>
    <row r="1" spans="1:44" ht="15" customHeight="1">
      <c r="A1" s="33" t="s">
        <v>54</v>
      </c>
      <c r="B1" s="34"/>
      <c r="C1" s="34"/>
      <c r="D1" s="34"/>
      <c r="E1" s="34"/>
      <c r="F1" s="34"/>
      <c r="G1" s="34"/>
      <c r="H1" s="34"/>
      <c r="I1" s="34"/>
      <c r="J1" s="34"/>
      <c r="K1" s="34"/>
      <c r="L1" s="34"/>
      <c r="M1" s="34"/>
      <c r="N1" s="34"/>
      <c r="O1" s="11"/>
      <c r="P1" s="60">
        <f>'SR Fall Chin'!P1</f>
        <v>39562</v>
      </c>
      <c r="Q1" s="54" t="s">
        <v>55</v>
      </c>
      <c r="W1" s="60">
        <f>P1</f>
        <v>39562</v>
      </c>
    </row>
    <row r="2" spans="1:44" ht="15" customHeight="1">
      <c r="A2" s="117" t="s">
        <v>87</v>
      </c>
      <c r="B2" s="11"/>
      <c r="C2" s="11"/>
      <c r="D2" s="11"/>
      <c r="E2" s="11"/>
      <c r="F2" s="11"/>
      <c r="G2" s="11"/>
      <c r="H2" s="11"/>
      <c r="I2" s="11"/>
      <c r="J2" s="11"/>
      <c r="K2" s="11"/>
      <c r="L2" s="11"/>
      <c r="M2" s="11"/>
      <c r="N2" s="11"/>
      <c r="O2" s="11"/>
      <c r="P2" s="11"/>
      <c r="Q2" s="11"/>
    </row>
    <row r="3" spans="1:44" ht="15" customHeight="1">
      <c r="A3" s="35" t="s">
        <v>19</v>
      </c>
    </row>
    <row r="4" spans="1:44" ht="15" customHeight="1" thickBot="1">
      <c r="A4" s="10" t="s">
        <v>20</v>
      </c>
      <c r="B4" s="9"/>
      <c r="C4" s="9"/>
      <c r="D4" s="9"/>
      <c r="E4" s="9"/>
      <c r="F4" s="9"/>
      <c r="G4" s="9"/>
      <c r="H4" s="9"/>
      <c r="I4" s="9"/>
      <c r="J4" s="9"/>
      <c r="K4" s="9"/>
      <c r="L4" s="9"/>
      <c r="M4" s="9"/>
      <c r="N4" s="9"/>
      <c r="O4" s="9"/>
      <c r="P4" s="9"/>
      <c r="Q4" s="9"/>
      <c r="R4" s="35" t="s">
        <v>36</v>
      </c>
      <c r="S4" s="35"/>
    </row>
    <row r="5" spans="1:44" ht="15" customHeight="1">
      <c r="A5" s="32"/>
      <c r="B5" s="15"/>
      <c r="C5" s="15"/>
      <c r="D5" s="15"/>
      <c r="E5" s="15"/>
      <c r="F5" s="15"/>
      <c r="G5" s="15"/>
      <c r="H5" s="15"/>
      <c r="I5" s="15"/>
      <c r="J5" s="15"/>
      <c r="K5" s="15"/>
      <c r="L5" s="15"/>
      <c r="M5" s="15"/>
      <c r="N5" s="15"/>
      <c r="O5" s="15"/>
      <c r="P5" s="16"/>
      <c r="Q5" s="38"/>
      <c r="R5" s="39"/>
      <c r="S5" s="39"/>
      <c r="T5" s="39"/>
      <c r="U5" s="39"/>
      <c r="V5" s="39"/>
      <c r="W5" s="40"/>
    </row>
    <row r="6" spans="1:44" ht="15" customHeight="1">
      <c r="A6" s="105"/>
      <c r="B6" s="664" t="s">
        <v>2</v>
      </c>
      <c r="C6" s="665"/>
      <c r="D6" s="665"/>
      <c r="E6" s="665"/>
      <c r="F6" s="665"/>
      <c r="G6" s="665"/>
      <c r="H6" s="665"/>
      <c r="I6" s="665"/>
      <c r="J6" s="665"/>
      <c r="K6" s="665"/>
      <c r="L6" s="665"/>
      <c r="M6" s="665"/>
      <c r="N6" s="665"/>
      <c r="O6" s="665"/>
      <c r="P6" s="666"/>
      <c r="Q6" s="695" t="s">
        <v>39</v>
      </c>
      <c r="R6" s="665"/>
      <c r="S6" s="665"/>
      <c r="T6" s="665"/>
      <c r="U6" s="665"/>
      <c r="V6" s="665"/>
      <c r="W6" s="666"/>
    </row>
    <row r="7" spans="1:44" ht="30" customHeight="1">
      <c r="A7" s="104"/>
      <c r="B7" s="667" t="s">
        <v>15</v>
      </c>
      <c r="C7" s="668"/>
      <c r="D7" s="668"/>
      <c r="E7" s="667" t="s">
        <v>11</v>
      </c>
      <c r="F7" s="669"/>
      <c r="G7" s="670"/>
      <c r="H7" s="671" t="s">
        <v>23</v>
      </c>
      <c r="I7" s="681"/>
      <c r="J7" s="672"/>
      <c r="K7" s="673" t="s">
        <v>12</v>
      </c>
      <c r="L7" s="660"/>
      <c r="M7" s="674"/>
      <c r="N7" s="667" t="s">
        <v>16</v>
      </c>
      <c r="O7" s="669"/>
      <c r="P7" s="675"/>
      <c r="Q7" s="107"/>
      <c r="R7" s="676" t="s">
        <v>30</v>
      </c>
      <c r="S7" s="656"/>
      <c r="T7" s="657"/>
      <c r="U7" s="676" t="s">
        <v>46</v>
      </c>
      <c r="V7" s="656"/>
      <c r="W7" s="677"/>
      <c r="AE7" t="s">
        <v>177</v>
      </c>
    </row>
    <row r="8" spans="1:44" s="272" customFormat="1" ht="57" customHeight="1" thickBot="1">
      <c r="A8" s="305" t="s">
        <v>0</v>
      </c>
      <c r="B8" s="383" t="s">
        <v>1</v>
      </c>
      <c r="C8" s="384" t="s">
        <v>27</v>
      </c>
      <c r="D8" s="385" t="s">
        <v>24</v>
      </c>
      <c r="E8" s="383" t="s">
        <v>13</v>
      </c>
      <c r="F8" s="384" t="s">
        <v>29</v>
      </c>
      <c r="G8" s="385" t="s">
        <v>14</v>
      </c>
      <c r="H8" s="383" t="s">
        <v>32</v>
      </c>
      <c r="I8" s="386" t="s">
        <v>62</v>
      </c>
      <c r="J8" s="385" t="s">
        <v>17</v>
      </c>
      <c r="K8" s="383" t="s">
        <v>13</v>
      </c>
      <c r="L8" s="384" t="s">
        <v>29</v>
      </c>
      <c r="M8" s="387" t="s">
        <v>95</v>
      </c>
      <c r="N8" s="383" t="s">
        <v>25</v>
      </c>
      <c r="O8" s="384" t="s">
        <v>110</v>
      </c>
      <c r="P8" s="387" t="s">
        <v>26</v>
      </c>
      <c r="Q8" s="388" t="s">
        <v>0</v>
      </c>
      <c r="R8" s="383" t="s">
        <v>13</v>
      </c>
      <c r="S8" s="384" t="s">
        <v>29</v>
      </c>
      <c r="T8" s="387" t="s">
        <v>56</v>
      </c>
      <c r="U8" s="383" t="s">
        <v>21</v>
      </c>
      <c r="V8" s="384" t="s">
        <v>110</v>
      </c>
      <c r="W8" s="387" t="s">
        <v>26</v>
      </c>
      <c r="X8" s="433" t="s">
        <v>172</v>
      </c>
      <c r="Y8" s="433" t="s">
        <v>173</v>
      </c>
      <c r="Z8" s="283" t="s">
        <v>174</v>
      </c>
      <c r="AA8" s="283" t="s">
        <v>175</v>
      </c>
      <c r="AB8" s="283" t="s">
        <v>176</v>
      </c>
      <c r="AC8" s="437" t="s">
        <v>179</v>
      </c>
      <c r="AD8" s="437" t="s">
        <v>180</v>
      </c>
      <c r="AE8" s="283" t="s">
        <v>170</v>
      </c>
      <c r="AF8" s="283" t="s">
        <v>172</v>
      </c>
      <c r="AG8" s="283" t="s">
        <v>174</v>
      </c>
      <c r="AH8" s="283" t="s">
        <v>175</v>
      </c>
      <c r="AI8" s="283" t="s">
        <v>176</v>
      </c>
      <c r="AJ8" s="437" t="s">
        <v>181</v>
      </c>
      <c r="AK8" s="437" t="s">
        <v>182</v>
      </c>
      <c r="AL8" s="283" t="s">
        <v>170</v>
      </c>
      <c r="AM8" s="283" t="s">
        <v>171</v>
      </c>
      <c r="AN8" s="283" t="s">
        <v>174</v>
      </c>
      <c r="AO8" s="283" t="s">
        <v>175</v>
      </c>
      <c r="AP8" s="283" t="s">
        <v>176</v>
      </c>
      <c r="AQ8" s="437" t="s">
        <v>183</v>
      </c>
      <c r="AR8" s="437" t="s">
        <v>184</v>
      </c>
    </row>
    <row r="9" spans="1:44" ht="15" customHeight="1">
      <c r="A9" s="273" t="s">
        <v>60</v>
      </c>
      <c r="B9" s="283"/>
      <c r="C9" s="389"/>
      <c r="D9" s="389"/>
      <c r="E9" s="390"/>
      <c r="F9" s="391"/>
      <c r="G9" s="390"/>
      <c r="H9" s="392">
        <v>5.1683128401531948E-2</v>
      </c>
      <c r="I9" s="390"/>
      <c r="J9" s="390"/>
      <c r="K9" s="390"/>
      <c r="L9" s="391"/>
      <c r="M9" s="390"/>
      <c r="N9" s="390"/>
      <c r="O9" s="391"/>
      <c r="P9" s="390"/>
      <c r="Q9" s="393" t="s">
        <v>60</v>
      </c>
      <c r="R9" s="281"/>
      <c r="S9" s="394"/>
      <c r="T9" s="281"/>
      <c r="U9" s="281"/>
      <c r="V9" s="394"/>
      <c r="W9" s="281"/>
      <c r="X9" s="283">
        <f>C9</f>
        <v>0</v>
      </c>
      <c r="Y9" s="283">
        <f>B9</f>
        <v>0</v>
      </c>
      <c r="Z9" s="283" t="e">
        <f>X9/Y9</f>
        <v>#DIV/0!</v>
      </c>
      <c r="AA9" s="283" t="e">
        <f t="shared" ref="AA9:AA22" si="0">_xlfn.F.INV(0.05/2, 2*X9, 2*(Y9-X9+1))</f>
        <v>#NUM!</v>
      </c>
      <c r="AB9" s="283" t="e">
        <f>_xlfn.F.INV(1-0.05/2, 2*(X9+1), 2*(Y9-X9))</f>
        <v>#NUM!</v>
      </c>
      <c r="AC9" s="436">
        <f>IF(X9=0, 0, 1/(1 +(Y9-X9+1)/(X9*AA9)))</f>
        <v>0</v>
      </c>
      <c r="AD9" s="436">
        <f>IF(X9=Y9, 1, 1/(1 + (Y9-X9)/(AB9*(X9+1))))</f>
        <v>1</v>
      </c>
      <c r="AE9" s="283">
        <f>D9</f>
        <v>0</v>
      </c>
      <c r="AF9" s="283">
        <f>C9</f>
        <v>0</v>
      </c>
      <c r="AG9" s="283" t="e">
        <f>AE9/AF9</f>
        <v>#DIV/0!</v>
      </c>
      <c r="AH9" s="283" t="e">
        <f t="shared" ref="AH9:AH22" si="1">_xlfn.F.INV(0.05/2, 2*AE9, 2*(AF9-AE9+1))</f>
        <v>#NUM!</v>
      </c>
      <c r="AI9" s="283" t="e">
        <f>_xlfn.F.INV(1-0.05/2, 2*(AE9+1), 2*(AF9-AE9))</f>
        <v>#NUM!</v>
      </c>
      <c r="AJ9" s="436">
        <f>IF(AE9=0, 0, 1/(1 +(AF9-AE9+1)/(AE9*AH9)))</f>
        <v>0</v>
      </c>
      <c r="AK9" s="436">
        <f>IF(AE9=AF9, 1, 1/(1 + (AF9-AE9)/(AI9*(AE9+1))))</f>
        <v>1</v>
      </c>
      <c r="AL9" s="283">
        <f>D9</f>
        <v>0</v>
      </c>
      <c r="AM9" s="283">
        <f>B9</f>
        <v>0</v>
      </c>
      <c r="AN9" s="283" t="e">
        <f>AL9/AM9</f>
        <v>#DIV/0!</v>
      </c>
      <c r="AO9" s="283" t="e">
        <f t="shared" ref="AO9:AO22" si="2">_xlfn.F.INV(0.05/2, 2*AL9, 2*(AM9-AL9+1))</f>
        <v>#NUM!</v>
      </c>
      <c r="AP9" s="283" t="e">
        <f>_xlfn.F.INV(1-0.05/2, 2*(AL9+1), 2*(AM9-AL9))</f>
        <v>#NUM!</v>
      </c>
      <c r="AQ9" s="436">
        <f>IF(AL9=0, 0, 1/(1 +(AM9-AL9+1)/(AL9*AO9)))</f>
        <v>0</v>
      </c>
      <c r="AR9" s="436">
        <f>IF(AL9=AM9, 1, 1/(1 + (AM9-AL9)/(AP9*(AL9+1))))</f>
        <v>1</v>
      </c>
    </row>
    <row r="10" spans="1:44" ht="15" customHeight="1">
      <c r="A10" s="273">
        <v>2003</v>
      </c>
      <c r="B10" s="283"/>
      <c r="C10" s="389"/>
      <c r="D10" s="389"/>
      <c r="E10" s="390"/>
      <c r="F10" s="391"/>
      <c r="G10" s="390"/>
      <c r="H10" s="392">
        <v>2.7682539682539684E-2</v>
      </c>
      <c r="I10" s="390"/>
      <c r="J10" s="390"/>
      <c r="K10" s="390"/>
      <c r="L10" s="391"/>
      <c r="M10" s="390"/>
      <c r="N10" s="390"/>
      <c r="O10" s="391"/>
      <c r="P10" s="390"/>
      <c r="Q10" s="393">
        <v>2003</v>
      </c>
      <c r="R10" s="395"/>
      <c r="S10" s="396"/>
      <c r="T10" s="395"/>
      <c r="U10" s="395"/>
      <c r="V10" s="396"/>
      <c r="W10" s="395"/>
      <c r="X10" s="283">
        <f t="shared" ref="X10:X22" si="3">C10</f>
        <v>0</v>
      </c>
      <c r="Y10" s="283">
        <f t="shared" ref="Y10:Y22" si="4">B10</f>
        <v>0</v>
      </c>
      <c r="Z10" s="283" t="e">
        <f t="shared" ref="Z10:Z22" si="5">X10/Y10</f>
        <v>#DIV/0!</v>
      </c>
      <c r="AA10" s="283" t="e">
        <f t="shared" si="0"/>
        <v>#NUM!</v>
      </c>
      <c r="AB10" s="283" t="e">
        <f t="shared" ref="AB10:AB22" si="6">_xlfn.F.INV(1-0.05/2, 2*(X10+1), 2*(Y10-X10))</f>
        <v>#NUM!</v>
      </c>
      <c r="AC10" s="436">
        <f t="shared" ref="AC10:AC22" si="7">IF(X10=0, 0, 1/(1 +(Y10-X10+1)/(X10*AA10)))</f>
        <v>0</v>
      </c>
      <c r="AD10" s="436">
        <f t="shared" ref="AD10:AD22" si="8">IF(X10=Y10, 1, 1/(1 + (Y10-X10)/(AB10*(X10+1))))</f>
        <v>1</v>
      </c>
      <c r="AE10" s="283">
        <f t="shared" ref="AE10:AE22" si="9">D10</f>
        <v>0</v>
      </c>
      <c r="AF10" s="283">
        <f t="shared" ref="AF10:AF22" si="10">C10</f>
        <v>0</v>
      </c>
      <c r="AG10" s="283" t="e">
        <f t="shared" ref="AG10:AG22" si="11">AE10/AF10</f>
        <v>#DIV/0!</v>
      </c>
      <c r="AH10" s="283" t="e">
        <f t="shared" si="1"/>
        <v>#NUM!</v>
      </c>
      <c r="AI10" s="283" t="e">
        <f t="shared" ref="AI10:AI22" si="12">_xlfn.F.INV(1-0.05/2, 2*(AE10+1), 2*(AF10-AE10))</f>
        <v>#NUM!</v>
      </c>
      <c r="AJ10" s="436">
        <f t="shared" ref="AJ10:AJ22" si="13">IF(AE10=0, 0, 1/(1 +(AF10-AE10+1)/(AE10*AH10)))</f>
        <v>0</v>
      </c>
      <c r="AK10" s="436">
        <f t="shared" ref="AK10:AK22" si="14">IF(AE10=AF10, 1, 1/(1 + (AF10-AE10)/(AI10*(AE10+1))))</f>
        <v>1</v>
      </c>
      <c r="AL10" s="283">
        <f t="shared" ref="AL10:AL22" si="15">D10</f>
        <v>0</v>
      </c>
      <c r="AM10" s="283">
        <f t="shared" ref="AM10:AM22" si="16">B10</f>
        <v>0</v>
      </c>
      <c r="AN10" s="283" t="e">
        <f t="shared" ref="AN10:AN22" si="17">AL10/AM10</f>
        <v>#DIV/0!</v>
      </c>
      <c r="AO10" s="283" t="e">
        <f t="shared" si="2"/>
        <v>#NUM!</v>
      </c>
      <c r="AP10" s="283" t="e">
        <f t="shared" ref="AP10:AP22" si="18">_xlfn.F.INV(1-0.05/2, 2*(AL10+1), 2*(AM10-AL10))</f>
        <v>#NUM!</v>
      </c>
      <c r="AQ10" s="436">
        <f t="shared" ref="AQ10:AQ22" si="19">IF(AL10=0, 0, 1/(1 +(AM10-AL10+1)/(AL10*AO10)))</f>
        <v>0</v>
      </c>
      <c r="AR10" s="436">
        <f t="shared" ref="AR10:AR22" si="20">IF(AL10=AM10, 1, 1/(1 + (AM10-AL10)/(AP10*(AL10+1))))</f>
        <v>1</v>
      </c>
    </row>
    <row r="11" spans="1:44" ht="15" customHeight="1">
      <c r="A11" s="273">
        <v>2004</v>
      </c>
      <c r="B11" s="283"/>
      <c r="C11" s="389"/>
      <c r="D11" s="389"/>
      <c r="E11" s="390"/>
      <c r="F11" s="391"/>
      <c r="G11" s="390"/>
      <c r="H11" s="392">
        <v>3.5006487187804088E-2</v>
      </c>
      <c r="I11" s="390"/>
      <c r="J11" s="390"/>
      <c r="K11" s="390"/>
      <c r="L11" s="391"/>
      <c r="M11" s="390"/>
      <c r="N11" s="390"/>
      <c r="O11" s="391"/>
      <c r="P11" s="390"/>
      <c r="Q11" s="393">
        <v>2004</v>
      </c>
      <c r="R11" s="395"/>
      <c r="S11" s="396"/>
      <c r="T11" s="395"/>
      <c r="U11" s="395"/>
      <c r="V11" s="396"/>
      <c r="W11" s="395"/>
      <c r="X11" s="283">
        <f t="shared" si="3"/>
        <v>0</v>
      </c>
      <c r="Y11" s="283">
        <f t="shared" si="4"/>
        <v>0</v>
      </c>
      <c r="Z11" s="283" t="e">
        <f t="shared" si="5"/>
        <v>#DIV/0!</v>
      </c>
      <c r="AA11" s="283" t="e">
        <f t="shared" si="0"/>
        <v>#NUM!</v>
      </c>
      <c r="AB11" s="283" t="e">
        <f t="shared" si="6"/>
        <v>#NUM!</v>
      </c>
      <c r="AC11" s="436">
        <f t="shared" si="7"/>
        <v>0</v>
      </c>
      <c r="AD11" s="436">
        <f t="shared" si="8"/>
        <v>1</v>
      </c>
      <c r="AE11" s="283">
        <f t="shared" si="9"/>
        <v>0</v>
      </c>
      <c r="AF11" s="283">
        <f t="shared" si="10"/>
        <v>0</v>
      </c>
      <c r="AG11" s="283" t="e">
        <f t="shared" si="11"/>
        <v>#DIV/0!</v>
      </c>
      <c r="AH11" s="283" t="e">
        <f t="shared" si="1"/>
        <v>#NUM!</v>
      </c>
      <c r="AI11" s="283" t="e">
        <f t="shared" si="12"/>
        <v>#NUM!</v>
      </c>
      <c r="AJ11" s="436">
        <f t="shared" si="13"/>
        <v>0</v>
      </c>
      <c r="AK11" s="436">
        <f t="shared" si="14"/>
        <v>1</v>
      </c>
      <c r="AL11" s="283">
        <f t="shared" si="15"/>
        <v>0</v>
      </c>
      <c r="AM11" s="283">
        <f t="shared" si="16"/>
        <v>0</v>
      </c>
      <c r="AN11" s="283" t="e">
        <f t="shared" si="17"/>
        <v>#DIV/0!</v>
      </c>
      <c r="AO11" s="283" t="e">
        <f t="shared" si="2"/>
        <v>#NUM!</v>
      </c>
      <c r="AP11" s="283" t="e">
        <f t="shared" si="18"/>
        <v>#NUM!</v>
      </c>
      <c r="AQ11" s="436">
        <f t="shared" si="19"/>
        <v>0</v>
      </c>
      <c r="AR11" s="436">
        <f t="shared" si="20"/>
        <v>1</v>
      </c>
    </row>
    <row r="12" spans="1:44" ht="15" customHeight="1">
      <c r="A12" s="273">
        <v>2005</v>
      </c>
      <c r="B12" s="283"/>
      <c r="C12" s="389"/>
      <c r="D12" s="389"/>
      <c r="E12" s="390"/>
      <c r="F12" s="391"/>
      <c r="G12" s="390"/>
      <c r="H12" s="392">
        <v>3.8179107773851591E-2</v>
      </c>
      <c r="I12" s="390"/>
      <c r="J12" s="390"/>
      <c r="K12" s="390"/>
      <c r="L12" s="391"/>
      <c r="M12" s="390"/>
      <c r="N12" s="390"/>
      <c r="O12" s="391"/>
      <c r="P12" s="390"/>
      <c r="Q12" s="393">
        <v>2005</v>
      </c>
      <c r="R12" s="395"/>
      <c r="S12" s="396"/>
      <c r="T12" s="395"/>
      <c r="U12" s="395"/>
      <c r="V12" s="396"/>
      <c r="W12" s="395"/>
      <c r="X12" s="283">
        <f t="shared" si="3"/>
        <v>0</v>
      </c>
      <c r="Y12" s="283">
        <f t="shared" si="4"/>
        <v>0</v>
      </c>
      <c r="Z12" s="283" t="e">
        <f t="shared" si="5"/>
        <v>#DIV/0!</v>
      </c>
      <c r="AA12" s="283" t="e">
        <f t="shared" si="0"/>
        <v>#NUM!</v>
      </c>
      <c r="AB12" s="283" t="e">
        <f t="shared" si="6"/>
        <v>#NUM!</v>
      </c>
      <c r="AC12" s="436">
        <f t="shared" si="7"/>
        <v>0</v>
      </c>
      <c r="AD12" s="436">
        <f t="shared" si="8"/>
        <v>1</v>
      </c>
      <c r="AE12" s="283">
        <f t="shared" si="9"/>
        <v>0</v>
      </c>
      <c r="AF12" s="283">
        <f t="shared" si="10"/>
        <v>0</v>
      </c>
      <c r="AG12" s="283" t="e">
        <f t="shared" si="11"/>
        <v>#DIV/0!</v>
      </c>
      <c r="AH12" s="283" t="e">
        <f t="shared" si="1"/>
        <v>#NUM!</v>
      </c>
      <c r="AI12" s="283" t="e">
        <f t="shared" si="12"/>
        <v>#NUM!</v>
      </c>
      <c r="AJ12" s="436">
        <f t="shared" si="13"/>
        <v>0</v>
      </c>
      <c r="AK12" s="436">
        <f t="shared" si="14"/>
        <v>1</v>
      </c>
      <c r="AL12" s="283">
        <f t="shared" si="15"/>
        <v>0</v>
      </c>
      <c r="AM12" s="283">
        <f t="shared" si="16"/>
        <v>0</v>
      </c>
      <c r="AN12" s="283" t="e">
        <f t="shared" si="17"/>
        <v>#DIV/0!</v>
      </c>
      <c r="AO12" s="283" t="e">
        <f t="shared" si="2"/>
        <v>#NUM!</v>
      </c>
      <c r="AP12" s="283" t="e">
        <f t="shared" si="18"/>
        <v>#NUM!</v>
      </c>
      <c r="AQ12" s="436">
        <f t="shared" si="19"/>
        <v>0</v>
      </c>
      <c r="AR12" s="436">
        <f t="shared" si="20"/>
        <v>1</v>
      </c>
    </row>
    <row r="13" spans="1:44" ht="15" customHeight="1">
      <c r="A13" s="273">
        <v>2006</v>
      </c>
      <c r="B13" s="283">
        <v>493</v>
      </c>
      <c r="C13" s="389">
        <v>436</v>
      </c>
      <c r="D13" s="389"/>
      <c r="E13" s="390">
        <f>C13/B13</f>
        <v>0.88438133874239355</v>
      </c>
      <c r="F13" s="391"/>
      <c r="G13" s="390"/>
      <c r="H13" s="397">
        <v>4.3058328387201208E-2</v>
      </c>
      <c r="I13" s="398">
        <v>0</v>
      </c>
      <c r="J13" s="390">
        <v>0</v>
      </c>
      <c r="K13" s="390">
        <f>(C13/B13)/((1-H13)*(1-J13))</f>
        <v>0.92417475900269408</v>
      </c>
      <c r="L13" s="391"/>
      <c r="M13" s="399">
        <f>N13^7</f>
        <v>0.8319417259194104</v>
      </c>
      <c r="N13" s="390">
        <f>K13^(1/3)</f>
        <v>0.97405773845561061</v>
      </c>
      <c r="O13" s="391"/>
      <c r="P13" s="399">
        <f>M13^(1/7)</f>
        <v>0.97405773845561061</v>
      </c>
      <c r="Q13" s="393">
        <v>2006</v>
      </c>
      <c r="R13" s="395">
        <f>1-K13</f>
        <v>7.582524099730592E-2</v>
      </c>
      <c r="S13" s="396"/>
      <c r="T13" s="395">
        <f t="shared" ref="T13:U16" si="21">1-M13</f>
        <v>0.1680582740805896</v>
      </c>
      <c r="U13" s="395">
        <f t="shared" si="21"/>
        <v>2.5942261544389389E-2</v>
      </c>
      <c r="V13" s="396"/>
      <c r="W13" s="395">
        <f>1-P13</f>
        <v>2.5942261544389389E-2</v>
      </c>
      <c r="X13" s="283">
        <f t="shared" si="3"/>
        <v>436</v>
      </c>
      <c r="Y13" s="283">
        <f t="shared" si="4"/>
        <v>493</v>
      </c>
      <c r="Z13" s="283">
        <f t="shared" si="5"/>
        <v>0.88438133874239355</v>
      </c>
      <c r="AA13" s="283">
        <f t="shared" si="0"/>
        <v>0.77073779817130206</v>
      </c>
      <c r="AB13" s="283">
        <f t="shared" si="6"/>
        <v>1.3391781419890807</v>
      </c>
      <c r="AC13" s="436">
        <f t="shared" si="7"/>
        <v>0.85280744920282447</v>
      </c>
      <c r="AD13" s="436">
        <f t="shared" si="8"/>
        <v>0.91124548483105172</v>
      </c>
      <c r="AE13" s="283">
        <f t="shared" si="9"/>
        <v>0</v>
      </c>
      <c r="AF13" s="283">
        <f t="shared" si="10"/>
        <v>436</v>
      </c>
      <c r="AG13" s="283">
        <f t="shared" si="11"/>
        <v>0</v>
      </c>
      <c r="AH13" s="283" t="e">
        <f t="shared" si="1"/>
        <v>#NUM!</v>
      </c>
      <c r="AI13" s="283">
        <f t="shared" si="12"/>
        <v>3.7045288696511256</v>
      </c>
      <c r="AJ13" s="436">
        <f t="shared" si="13"/>
        <v>0</v>
      </c>
      <c r="AK13" s="436">
        <f t="shared" si="14"/>
        <v>8.4250414230991923E-3</v>
      </c>
      <c r="AL13" s="283">
        <f t="shared" si="15"/>
        <v>0</v>
      </c>
      <c r="AM13" s="283">
        <f t="shared" si="16"/>
        <v>493</v>
      </c>
      <c r="AN13" s="283">
        <f t="shared" si="17"/>
        <v>0</v>
      </c>
      <c r="AO13" s="283" t="e">
        <f t="shared" si="2"/>
        <v>#NUM!</v>
      </c>
      <c r="AP13" s="283">
        <f t="shared" si="18"/>
        <v>3.70271498705084</v>
      </c>
      <c r="AQ13" s="436">
        <f t="shared" si="19"/>
        <v>0</v>
      </c>
      <c r="AR13" s="436">
        <f t="shared" si="20"/>
        <v>7.4545897884761327E-3</v>
      </c>
    </row>
    <row r="14" spans="1:44" ht="15" customHeight="1">
      <c r="A14" s="273">
        <v>2007</v>
      </c>
      <c r="B14" s="283">
        <v>456</v>
      </c>
      <c r="C14" s="389">
        <v>390</v>
      </c>
      <c r="D14" s="389"/>
      <c r="E14" s="390">
        <f>C14/B14</f>
        <v>0.85526315789473684</v>
      </c>
      <c r="F14" s="391"/>
      <c r="G14" s="390"/>
      <c r="H14" s="397">
        <v>5.4147200735237801E-2</v>
      </c>
      <c r="I14" s="398">
        <v>0</v>
      </c>
      <c r="J14" s="390">
        <v>0</v>
      </c>
      <c r="K14" s="390">
        <f>(C14/B14)/((1-H14)*(1-J14))</f>
        <v>0.90422437673130196</v>
      </c>
      <c r="L14" s="391"/>
      <c r="M14" s="399">
        <f>N14^7</f>
        <v>0.79063825781908292</v>
      </c>
      <c r="N14" s="390">
        <f>K14^(1/3)</f>
        <v>0.96699761652449534</v>
      </c>
      <c r="O14" s="391"/>
      <c r="P14" s="399">
        <f>M14^(1/7)</f>
        <v>0.96699761652449534</v>
      </c>
      <c r="Q14" s="393">
        <v>2007</v>
      </c>
      <c r="R14" s="395">
        <f>1-K14</f>
        <v>9.577562326869804E-2</v>
      </c>
      <c r="S14" s="396"/>
      <c r="T14" s="395">
        <f t="shared" si="21"/>
        <v>0.20936174218091708</v>
      </c>
      <c r="U14" s="395">
        <f t="shared" si="21"/>
        <v>3.300238347550466E-2</v>
      </c>
      <c r="V14" s="396"/>
      <c r="W14" s="395">
        <f>1-P14</f>
        <v>3.300238347550466E-2</v>
      </c>
      <c r="X14" s="283">
        <f t="shared" si="3"/>
        <v>390</v>
      </c>
      <c r="Y14" s="283">
        <f t="shared" si="4"/>
        <v>456</v>
      </c>
      <c r="Z14" s="283">
        <f t="shared" si="5"/>
        <v>0.85526315789473684</v>
      </c>
      <c r="AA14" s="283">
        <f t="shared" si="0"/>
        <v>0.78036204542968912</v>
      </c>
      <c r="AB14" s="283">
        <f t="shared" si="6"/>
        <v>1.3152647356740352</v>
      </c>
      <c r="AC14" s="436">
        <f t="shared" si="7"/>
        <v>0.81957294151090543</v>
      </c>
      <c r="AD14" s="436">
        <f t="shared" si="8"/>
        <v>0.88625955281892943</v>
      </c>
      <c r="AE14" s="283">
        <f t="shared" si="9"/>
        <v>0</v>
      </c>
      <c r="AF14" s="283">
        <f t="shared" si="10"/>
        <v>390</v>
      </c>
      <c r="AG14" s="283">
        <f t="shared" si="11"/>
        <v>0</v>
      </c>
      <c r="AH14" s="283" t="e">
        <f t="shared" si="1"/>
        <v>#NUM!</v>
      </c>
      <c r="AI14" s="283">
        <f t="shared" si="12"/>
        <v>3.7063805275082502</v>
      </c>
      <c r="AJ14" s="436">
        <f t="shared" si="13"/>
        <v>0</v>
      </c>
      <c r="AK14" s="436">
        <f t="shared" si="14"/>
        <v>9.4140727984703965E-3</v>
      </c>
      <c r="AL14" s="283">
        <f t="shared" si="15"/>
        <v>0</v>
      </c>
      <c r="AM14" s="283">
        <f t="shared" si="16"/>
        <v>456</v>
      </c>
      <c r="AN14" s="283">
        <f t="shared" si="17"/>
        <v>0</v>
      </c>
      <c r="AO14" s="283" t="e">
        <f t="shared" si="2"/>
        <v>#NUM!</v>
      </c>
      <c r="AP14" s="283">
        <f t="shared" si="18"/>
        <v>3.7038406384855662</v>
      </c>
      <c r="AQ14" s="436">
        <f t="shared" si="19"/>
        <v>0</v>
      </c>
      <c r="AR14" s="436">
        <f t="shared" si="20"/>
        <v>8.0570147800838009E-3</v>
      </c>
    </row>
    <row r="15" spans="1:44" ht="15" customHeight="1">
      <c r="A15" s="143" t="s">
        <v>81</v>
      </c>
      <c r="B15" s="283"/>
      <c r="C15" s="389"/>
      <c r="D15" s="389"/>
      <c r="E15" s="390"/>
      <c r="F15" s="391"/>
      <c r="G15" s="390"/>
      <c r="H15" s="390">
        <f>AVERAGE(H9:H14)</f>
        <v>4.1626132028027715E-2</v>
      </c>
      <c r="I15" s="390">
        <f t="shared" ref="I15:W15" si="22">AVERAGE(I9:I14)</f>
        <v>0</v>
      </c>
      <c r="J15" s="390">
        <f t="shared" si="22"/>
        <v>0</v>
      </c>
      <c r="K15" s="390">
        <f t="shared" si="22"/>
        <v>0.91419956786699808</v>
      </c>
      <c r="L15" s="390"/>
      <c r="M15" s="390">
        <f t="shared" si="22"/>
        <v>0.81128999186924666</v>
      </c>
      <c r="N15" s="390">
        <f t="shared" si="22"/>
        <v>0.97052767749005298</v>
      </c>
      <c r="O15" s="390"/>
      <c r="P15" s="390">
        <f t="shared" si="22"/>
        <v>0.97052767749005298</v>
      </c>
      <c r="Q15" s="400" t="s">
        <v>81</v>
      </c>
      <c r="R15" s="390">
        <f t="shared" si="22"/>
        <v>8.580043213300198E-2</v>
      </c>
      <c r="S15" s="390"/>
      <c r="T15" s="390">
        <f t="shared" si="22"/>
        <v>0.18871000813075334</v>
      </c>
      <c r="U15" s="390">
        <f t="shared" si="22"/>
        <v>2.9472322509947024E-2</v>
      </c>
      <c r="V15" s="390"/>
      <c r="W15" s="390">
        <f t="shared" si="22"/>
        <v>2.9472322509947024E-2</v>
      </c>
      <c r="X15" s="283"/>
      <c r="Y15" s="283"/>
      <c r="Z15" s="283"/>
      <c r="AA15" s="283"/>
      <c r="AB15" s="283"/>
      <c r="AC15" s="436"/>
      <c r="AD15" s="436"/>
      <c r="AE15" s="283"/>
      <c r="AF15" s="283"/>
      <c r="AG15" s="283"/>
      <c r="AH15" s="283"/>
      <c r="AI15" s="283"/>
      <c r="AJ15" s="436"/>
      <c r="AK15" s="436"/>
      <c r="AL15" s="283"/>
      <c r="AM15" s="283"/>
      <c r="AN15" s="283"/>
      <c r="AO15" s="283"/>
      <c r="AP15" s="283"/>
      <c r="AQ15" s="436"/>
      <c r="AR15" s="436"/>
    </row>
    <row r="16" spans="1:44" ht="15" customHeight="1">
      <c r="A16" s="273">
        <v>2008</v>
      </c>
      <c r="B16" s="401">
        <v>1183</v>
      </c>
      <c r="C16" s="401">
        <v>1001</v>
      </c>
      <c r="D16" s="402"/>
      <c r="E16" s="390">
        <f t="shared" ref="E16:E22" si="23">C16/B16</f>
        <v>0.84615384615384615</v>
      </c>
      <c r="F16" s="391"/>
      <c r="G16" s="390"/>
      <c r="H16" s="397">
        <v>4.2213036089641255E-2</v>
      </c>
      <c r="I16" s="390">
        <f t="shared" ref="I16" si="24">AVERAGE(I10:I15)</f>
        <v>0</v>
      </c>
      <c r="J16" s="390">
        <v>0</v>
      </c>
      <c r="K16" s="390">
        <f>(C16/B16)/((1-H16)*(1-J16))</f>
        <v>0.88344681859027618</v>
      </c>
      <c r="L16" s="391"/>
      <c r="M16" s="399">
        <f>N16^7</f>
        <v>0.74889504875305013</v>
      </c>
      <c r="N16" s="390">
        <f t="shared" ref="N16:N22" si="25">K16^(1/3)</f>
        <v>0.95953348955137718</v>
      </c>
      <c r="O16" s="391"/>
      <c r="P16" s="399">
        <f t="shared" ref="P16:P22" si="26">M16^(1/7)</f>
        <v>0.95953348955137718</v>
      </c>
      <c r="Q16" s="393">
        <v>2007</v>
      </c>
      <c r="R16" s="395">
        <f t="shared" ref="R16:R22" si="27">1-K16</f>
        <v>0.11655318140972382</v>
      </c>
      <c r="S16" s="396"/>
      <c r="T16" s="395">
        <f t="shared" si="21"/>
        <v>0.25110495124694987</v>
      </c>
      <c r="U16" s="395">
        <f t="shared" si="21"/>
        <v>4.0466510448622817E-2</v>
      </c>
      <c r="V16" s="396"/>
      <c r="W16" s="395">
        <f t="shared" ref="W16:W22" si="28">1-P16</f>
        <v>4.0466510448622817E-2</v>
      </c>
      <c r="X16" s="283">
        <f t="shared" si="3"/>
        <v>1001</v>
      </c>
      <c r="Y16" s="283">
        <f t="shared" si="4"/>
        <v>1183</v>
      </c>
      <c r="Z16" s="283">
        <f t="shared" si="5"/>
        <v>0.84615384615384615</v>
      </c>
      <c r="AA16" s="283">
        <f t="shared" si="0"/>
        <v>0.85777450799229904</v>
      </c>
      <c r="AB16" s="283">
        <f t="shared" si="6"/>
        <v>1.1764575353541369</v>
      </c>
      <c r="AC16" s="436">
        <f t="shared" si="7"/>
        <v>0.82431420082264117</v>
      </c>
      <c r="AD16" s="436">
        <f t="shared" si="8"/>
        <v>0.86625617113450326</v>
      </c>
      <c r="AE16" s="283">
        <f t="shared" si="9"/>
        <v>0</v>
      </c>
      <c r="AF16" s="283">
        <f t="shared" si="10"/>
        <v>1001</v>
      </c>
      <c r="AG16" s="283">
        <f t="shared" si="11"/>
        <v>0</v>
      </c>
      <c r="AH16" s="283" t="e">
        <f t="shared" si="1"/>
        <v>#NUM!</v>
      </c>
      <c r="AI16" s="283">
        <f t="shared" si="12"/>
        <v>3.6956849300744845</v>
      </c>
      <c r="AJ16" s="436">
        <f t="shared" si="13"/>
        <v>0</v>
      </c>
      <c r="AK16" s="436">
        <f t="shared" si="14"/>
        <v>3.6784122650349582E-3</v>
      </c>
      <c r="AL16" s="283">
        <f t="shared" si="15"/>
        <v>0</v>
      </c>
      <c r="AM16" s="283">
        <f t="shared" si="16"/>
        <v>1183</v>
      </c>
      <c r="AN16" s="283">
        <f t="shared" si="17"/>
        <v>0</v>
      </c>
      <c r="AO16" s="283" t="e">
        <f t="shared" si="2"/>
        <v>#NUM!</v>
      </c>
      <c r="AP16" s="283">
        <f t="shared" si="18"/>
        <v>3.6946368449962494</v>
      </c>
      <c r="AQ16" s="436">
        <f t="shared" si="19"/>
        <v>0</v>
      </c>
      <c r="AR16" s="436">
        <f t="shared" si="20"/>
        <v>3.1133846318029965E-3</v>
      </c>
    </row>
    <row r="17" spans="1:44" ht="15" customHeight="1">
      <c r="A17" s="273">
        <v>2009</v>
      </c>
      <c r="B17" s="401">
        <v>1152</v>
      </c>
      <c r="C17" s="401">
        <v>959</v>
      </c>
      <c r="D17" s="402"/>
      <c r="E17" s="390">
        <f t="shared" si="23"/>
        <v>0.83246527777777779</v>
      </c>
      <c r="F17" s="391"/>
      <c r="G17" s="390"/>
      <c r="H17" s="397">
        <v>5.8000000000000003E-2</v>
      </c>
      <c r="I17" s="390">
        <f t="shared" ref="I17" si="29">AVERAGE(I11:I16)</f>
        <v>0</v>
      </c>
      <c r="J17" s="390">
        <v>0</v>
      </c>
      <c r="K17" s="390">
        <f>(C17/B17)/((1-H17)*(1-J17))</f>
        <v>0.88372110167492335</v>
      </c>
      <c r="L17" s="391"/>
      <c r="M17" s="399">
        <f>N17^7</f>
        <v>0.7494376818038383</v>
      </c>
      <c r="N17" s="390">
        <f t="shared" si="25"/>
        <v>0.9596327811622466</v>
      </c>
      <c r="O17" s="391"/>
      <c r="P17" s="399">
        <f t="shared" si="26"/>
        <v>0.9596327811622466</v>
      </c>
      <c r="Q17" s="393">
        <v>2009</v>
      </c>
      <c r="R17" s="395">
        <f t="shared" si="27"/>
        <v>0.11627889832507665</v>
      </c>
      <c r="S17" s="396"/>
      <c r="T17" s="395">
        <f t="shared" ref="T17:T19" si="30">1-M17</f>
        <v>0.2505623181961617</v>
      </c>
      <c r="U17" s="395">
        <f t="shared" ref="U17:V19" si="31">1-N17</f>
        <v>4.0367218837753405E-2</v>
      </c>
      <c r="V17" s="396"/>
      <c r="W17" s="395">
        <f t="shared" si="28"/>
        <v>4.0367218837753405E-2</v>
      </c>
      <c r="X17" s="283">
        <f t="shared" si="3"/>
        <v>959</v>
      </c>
      <c r="Y17" s="283">
        <f t="shared" si="4"/>
        <v>1152</v>
      </c>
      <c r="Z17" s="283">
        <f t="shared" si="5"/>
        <v>0.83246527777777779</v>
      </c>
      <c r="AA17" s="283">
        <f t="shared" si="0"/>
        <v>0.86030709551163387</v>
      </c>
      <c r="AB17" s="283">
        <f t="shared" si="6"/>
        <v>1.1721403240759016</v>
      </c>
      <c r="AC17" s="436">
        <f t="shared" si="7"/>
        <v>0.80962371821062395</v>
      </c>
      <c r="AD17" s="436">
        <f t="shared" si="8"/>
        <v>0.8535943028513282</v>
      </c>
      <c r="AE17" s="283">
        <f t="shared" si="9"/>
        <v>0</v>
      </c>
      <c r="AF17" s="283">
        <f t="shared" si="10"/>
        <v>959</v>
      </c>
      <c r="AG17" s="283">
        <f t="shared" si="11"/>
        <v>0</v>
      </c>
      <c r="AH17" s="283" t="e">
        <f t="shared" si="1"/>
        <v>#NUM!</v>
      </c>
      <c r="AI17" s="283">
        <f t="shared" si="12"/>
        <v>3.6959833625255056</v>
      </c>
      <c r="AJ17" s="436">
        <f t="shared" si="13"/>
        <v>0</v>
      </c>
      <c r="AK17" s="436">
        <f t="shared" si="14"/>
        <v>3.8392009797486581E-3</v>
      </c>
      <c r="AL17" s="283">
        <f t="shared" si="15"/>
        <v>0</v>
      </c>
      <c r="AM17" s="283">
        <f t="shared" si="16"/>
        <v>1152</v>
      </c>
      <c r="AN17" s="283">
        <f t="shared" si="17"/>
        <v>0</v>
      </c>
      <c r="AO17" s="283" t="e">
        <f t="shared" si="2"/>
        <v>#NUM!</v>
      </c>
      <c r="AP17" s="283">
        <f t="shared" si="18"/>
        <v>3.6947919402446825</v>
      </c>
      <c r="AQ17" s="436">
        <f t="shared" si="19"/>
        <v>0</v>
      </c>
      <c r="AR17" s="436">
        <f t="shared" si="20"/>
        <v>3.197030882212128E-3</v>
      </c>
    </row>
    <row r="18" spans="1:44" ht="15" customHeight="1">
      <c r="A18" s="456" t="s">
        <v>92</v>
      </c>
      <c r="B18" s="401">
        <v>40</v>
      </c>
      <c r="C18" s="401">
        <v>34</v>
      </c>
      <c r="D18" s="402">
        <v>31</v>
      </c>
      <c r="E18" s="390">
        <f t="shared" si="23"/>
        <v>0.85</v>
      </c>
      <c r="F18" s="403">
        <f t="shared" ref="F18:F25" si="32">D18/C18</f>
        <v>0.91176470588235292</v>
      </c>
      <c r="G18" s="403">
        <f t="shared" ref="G18:G25" si="33">D18/B18</f>
        <v>0.77500000000000002</v>
      </c>
      <c r="H18" s="404">
        <v>6.4000000000000001E-2</v>
      </c>
      <c r="I18" s="403">
        <f t="shared" ref="I18" si="34">AVERAGE(I12:I17)</f>
        <v>0</v>
      </c>
      <c r="J18" s="403">
        <v>0</v>
      </c>
      <c r="K18" s="403">
        <f t="shared" ref="K18:K24" si="35">(C18/B18)/((1-$H18)*(1-$J18))</f>
        <v>0.90811965811965811</v>
      </c>
      <c r="L18" s="403">
        <f t="shared" ref="L18:L24" si="36">D18/C18</f>
        <v>0.91176470588235292</v>
      </c>
      <c r="M18" s="554">
        <f t="shared" ref="M18:M23" si="37">(D18/B18)/((1-$H18)*(1-$J18))</f>
        <v>0.82799145299145305</v>
      </c>
      <c r="N18" s="403">
        <f t="shared" si="25"/>
        <v>0.96838419414999277</v>
      </c>
      <c r="O18" s="403">
        <f t="shared" ref="O18:O23" si="38">L18^(1/4)</f>
        <v>0.97717128008974508</v>
      </c>
      <c r="P18" s="405">
        <f t="shared" si="26"/>
        <v>0.97339566475794359</v>
      </c>
      <c r="Q18" s="406">
        <v>2010</v>
      </c>
      <c r="R18" s="407">
        <f t="shared" si="27"/>
        <v>9.1880341880341887E-2</v>
      </c>
      <c r="S18" s="407">
        <f t="shared" ref="S18:S23" si="39">1-L18</f>
        <v>8.8235294117647078E-2</v>
      </c>
      <c r="T18" s="407">
        <f t="shared" ref="T18" si="40">1-M18</f>
        <v>0.17200854700854695</v>
      </c>
      <c r="U18" s="407">
        <f t="shared" ref="U18:V18" si="41">1-N18</f>
        <v>3.1615805850007228E-2</v>
      </c>
      <c r="V18" s="407">
        <f t="shared" si="41"/>
        <v>2.2828719910254924E-2</v>
      </c>
      <c r="W18" s="407">
        <f t="shared" si="28"/>
        <v>2.6604335242056409E-2</v>
      </c>
      <c r="X18" s="283">
        <f t="shared" si="3"/>
        <v>34</v>
      </c>
      <c r="Y18" s="283">
        <f t="shared" si="4"/>
        <v>40</v>
      </c>
      <c r="Z18" s="283">
        <f t="shared" si="5"/>
        <v>0.85</v>
      </c>
      <c r="AA18" s="283">
        <f t="shared" si="0"/>
        <v>0.48418137305822573</v>
      </c>
      <c r="AB18" s="283">
        <f t="shared" si="6"/>
        <v>2.830704390890781</v>
      </c>
      <c r="AC18" s="436">
        <f t="shared" si="7"/>
        <v>0.70164733316042349</v>
      </c>
      <c r="AD18" s="436">
        <f t="shared" si="8"/>
        <v>0.94289774184547415</v>
      </c>
      <c r="AE18" s="283">
        <f t="shared" si="9"/>
        <v>31</v>
      </c>
      <c r="AF18" s="283">
        <f t="shared" si="10"/>
        <v>34</v>
      </c>
      <c r="AG18" s="283">
        <f t="shared" si="11"/>
        <v>0.91176470588235292</v>
      </c>
      <c r="AH18" s="283">
        <f t="shared" si="1"/>
        <v>0.4159243825860085</v>
      </c>
      <c r="AI18" s="283">
        <f t="shared" si="12"/>
        <v>4.952132969828166</v>
      </c>
      <c r="AJ18" s="436">
        <f t="shared" si="13"/>
        <v>0.76322472571306232</v>
      </c>
      <c r="AK18" s="436">
        <f t="shared" si="14"/>
        <v>0.98142049655915964</v>
      </c>
      <c r="AL18" s="283">
        <f t="shared" si="15"/>
        <v>31</v>
      </c>
      <c r="AM18" s="283">
        <f t="shared" si="16"/>
        <v>40</v>
      </c>
      <c r="AN18" s="283">
        <f t="shared" si="17"/>
        <v>0.77500000000000002</v>
      </c>
      <c r="AO18" s="283">
        <f t="shared" si="2"/>
        <v>0.51635524210108308</v>
      </c>
      <c r="AP18" s="283">
        <f t="shared" si="18"/>
        <v>2.3133876440816348</v>
      </c>
      <c r="AQ18" s="436">
        <f t="shared" si="19"/>
        <v>0.61548832269657738</v>
      </c>
      <c r="AR18" s="436">
        <f t="shared" si="20"/>
        <v>0.89160336101592808</v>
      </c>
    </row>
    <row r="19" spans="1:44" ht="15" customHeight="1">
      <c r="A19" s="456" t="s">
        <v>109</v>
      </c>
      <c r="B19" s="408">
        <v>516</v>
      </c>
      <c r="C19" s="408">
        <v>355.59633027522938</v>
      </c>
      <c r="D19" s="408">
        <v>342.59633027522938</v>
      </c>
      <c r="E19" s="390">
        <f t="shared" si="23"/>
        <v>0.68914017495199487</v>
      </c>
      <c r="F19" s="403">
        <f t="shared" si="32"/>
        <v>0.96344169246646028</v>
      </c>
      <c r="G19" s="403">
        <f t="shared" si="33"/>
        <v>0.66394637650238253</v>
      </c>
      <c r="H19" s="404">
        <v>7.0000000000000007E-2</v>
      </c>
      <c r="I19" s="403">
        <f t="shared" ref="I19" si="42">AVERAGE(I13:I18)</f>
        <v>0</v>
      </c>
      <c r="J19" s="403">
        <v>0</v>
      </c>
      <c r="K19" s="403">
        <f t="shared" si="35"/>
        <v>0.74101094080859664</v>
      </c>
      <c r="L19" s="403">
        <f t="shared" si="36"/>
        <v>0.96344169246646028</v>
      </c>
      <c r="M19" s="554">
        <f t="shared" si="37"/>
        <v>0.71392083494879843</v>
      </c>
      <c r="N19" s="403">
        <f t="shared" si="25"/>
        <v>0.90491587419786867</v>
      </c>
      <c r="O19" s="403">
        <f t="shared" si="38"/>
        <v>0.99073238420202636</v>
      </c>
      <c r="P19" s="405">
        <f t="shared" si="26"/>
        <v>0.95299992227386865</v>
      </c>
      <c r="Q19" s="406">
        <v>2011</v>
      </c>
      <c r="R19" s="407">
        <f t="shared" si="27"/>
        <v>0.25898905919140336</v>
      </c>
      <c r="S19" s="407">
        <f t="shared" si="39"/>
        <v>3.6558307533539725E-2</v>
      </c>
      <c r="T19" s="407">
        <f t="shared" si="30"/>
        <v>0.28607916505120157</v>
      </c>
      <c r="U19" s="407">
        <f t="shared" si="31"/>
        <v>9.5084125802131325E-2</v>
      </c>
      <c r="V19" s="407">
        <f t="shared" si="31"/>
        <v>9.2676157979736384E-3</v>
      </c>
      <c r="W19" s="407">
        <f t="shared" si="28"/>
        <v>4.7000077726131351E-2</v>
      </c>
      <c r="X19" s="283">
        <f t="shared" si="3"/>
        <v>355.59633027522938</v>
      </c>
      <c r="Y19" s="283">
        <f t="shared" si="4"/>
        <v>516</v>
      </c>
      <c r="Z19" s="283">
        <f t="shared" si="5"/>
        <v>0.68914017495199487</v>
      </c>
      <c r="AA19" s="283">
        <f t="shared" si="0"/>
        <v>0.83265484881618312</v>
      </c>
      <c r="AB19" s="283">
        <f t="shared" si="6"/>
        <v>1.2094114258990389</v>
      </c>
      <c r="AC19" s="436">
        <f t="shared" si="7"/>
        <v>0.64719944741628666</v>
      </c>
      <c r="AD19" s="436">
        <f t="shared" si="8"/>
        <v>0.72889918295397949</v>
      </c>
      <c r="AE19" s="283">
        <f t="shared" si="9"/>
        <v>342.59633027522938</v>
      </c>
      <c r="AF19" s="283">
        <f t="shared" si="10"/>
        <v>355.59633027522938</v>
      </c>
      <c r="AG19" s="283">
        <f t="shared" si="11"/>
        <v>0.96344169246646028</v>
      </c>
      <c r="AH19" s="283">
        <f t="shared" si="1"/>
        <v>0.62139294787177468</v>
      </c>
      <c r="AI19" s="283">
        <f t="shared" si="12"/>
        <v>1.8918637043220325</v>
      </c>
      <c r="AJ19" s="436">
        <f t="shared" si="13"/>
        <v>0.93829525940154734</v>
      </c>
      <c r="AK19" s="436">
        <f t="shared" si="14"/>
        <v>0.98039326365816026</v>
      </c>
      <c r="AL19" s="283">
        <f t="shared" si="15"/>
        <v>342.59633027522938</v>
      </c>
      <c r="AM19" s="283">
        <f t="shared" si="16"/>
        <v>516</v>
      </c>
      <c r="AN19" s="283">
        <f t="shared" si="17"/>
        <v>0.66394637650238253</v>
      </c>
      <c r="AO19" s="283">
        <f t="shared" si="2"/>
        <v>0.83531287746862659</v>
      </c>
      <c r="AP19" s="283">
        <f t="shared" si="18"/>
        <v>1.2041431298109209</v>
      </c>
      <c r="AQ19" s="436">
        <f t="shared" si="19"/>
        <v>0.62133803993511416</v>
      </c>
      <c r="AR19" s="436">
        <f t="shared" si="20"/>
        <v>0.70466526918198824</v>
      </c>
    </row>
    <row r="20" spans="1:44" ht="15" customHeight="1">
      <c r="A20" s="456" t="s">
        <v>131</v>
      </c>
      <c r="B20" s="409">
        <v>123</v>
      </c>
      <c r="C20" s="409">
        <v>70</v>
      </c>
      <c r="D20" s="409">
        <v>64</v>
      </c>
      <c r="E20" s="410">
        <f t="shared" si="23"/>
        <v>0.56910569105691056</v>
      </c>
      <c r="F20" s="410">
        <f t="shared" si="32"/>
        <v>0.91428571428571426</v>
      </c>
      <c r="G20" s="410">
        <f t="shared" si="33"/>
        <v>0.52032520325203258</v>
      </c>
      <c r="H20" s="411">
        <v>8.6999999999999994E-2</v>
      </c>
      <c r="I20" s="410">
        <v>0</v>
      </c>
      <c r="J20" s="410">
        <v>0</v>
      </c>
      <c r="K20" s="410">
        <f t="shared" si="35"/>
        <v>0.62333591572498415</v>
      </c>
      <c r="L20" s="410">
        <f t="shared" si="36"/>
        <v>0.91428571428571426</v>
      </c>
      <c r="M20" s="555">
        <f t="shared" si="37"/>
        <v>0.56990712294855705</v>
      </c>
      <c r="N20" s="410">
        <f t="shared" si="25"/>
        <v>0.85422848713056199</v>
      </c>
      <c r="O20" s="410">
        <f t="shared" si="38"/>
        <v>0.97784604486980209</v>
      </c>
      <c r="P20" s="412">
        <f t="shared" si="26"/>
        <v>0.92281547616497916</v>
      </c>
      <c r="Q20" s="413">
        <v>2012</v>
      </c>
      <c r="R20" s="414">
        <f t="shared" si="27"/>
        <v>0.37666408427501585</v>
      </c>
      <c r="S20" s="414">
        <f t="shared" si="39"/>
        <v>8.5714285714285743E-2</v>
      </c>
      <c r="T20" s="414">
        <f t="shared" ref="T20" si="43">1-M20</f>
        <v>0.43009287705144295</v>
      </c>
      <c r="U20" s="414">
        <f t="shared" ref="U20" si="44">1-N20</f>
        <v>0.14577151286943801</v>
      </c>
      <c r="V20" s="414">
        <f t="shared" ref="V20" si="45">1-O20</f>
        <v>2.2153955130197911E-2</v>
      </c>
      <c r="W20" s="414">
        <f t="shared" si="28"/>
        <v>7.7184523835020835E-2</v>
      </c>
      <c r="X20" s="283">
        <f t="shared" si="3"/>
        <v>70</v>
      </c>
      <c r="Y20" s="283">
        <f t="shared" si="4"/>
        <v>123</v>
      </c>
      <c r="Z20" s="283">
        <f t="shared" si="5"/>
        <v>0.56910569105691056</v>
      </c>
      <c r="AA20" s="283">
        <f t="shared" si="0"/>
        <v>0.70291550999273511</v>
      </c>
      <c r="AB20" s="283">
        <f t="shared" si="6"/>
        <v>1.4364649725949632</v>
      </c>
      <c r="AC20" s="436">
        <f t="shared" si="7"/>
        <v>0.47676490098234464</v>
      </c>
      <c r="AD20" s="436">
        <f t="shared" si="8"/>
        <v>0.65804027681980737</v>
      </c>
      <c r="AE20" s="283">
        <f t="shared" si="9"/>
        <v>64</v>
      </c>
      <c r="AF20" s="283">
        <f t="shared" si="10"/>
        <v>70</v>
      </c>
      <c r="AG20" s="283">
        <f t="shared" si="11"/>
        <v>0.91428571428571426</v>
      </c>
      <c r="AH20" s="283">
        <f t="shared" si="1"/>
        <v>0.50756626954345629</v>
      </c>
      <c r="AI20" s="283">
        <f t="shared" si="12"/>
        <v>2.7826374409956944</v>
      </c>
      <c r="AJ20" s="436">
        <f t="shared" si="13"/>
        <v>0.82271408090280806</v>
      </c>
      <c r="AK20" s="436">
        <f t="shared" si="14"/>
        <v>0.96789236384430455</v>
      </c>
      <c r="AL20" s="283">
        <f t="shared" si="15"/>
        <v>64</v>
      </c>
      <c r="AM20" s="283">
        <f t="shared" si="16"/>
        <v>123</v>
      </c>
      <c r="AN20" s="283">
        <f t="shared" si="17"/>
        <v>0.52032520325203258</v>
      </c>
      <c r="AO20" s="283">
        <f t="shared" si="2"/>
        <v>0.7027118385859481</v>
      </c>
      <c r="AP20" s="283">
        <f t="shared" si="18"/>
        <v>1.4270367712575251</v>
      </c>
      <c r="AQ20" s="436">
        <f t="shared" si="19"/>
        <v>0.42842748848329665</v>
      </c>
      <c r="AR20" s="436">
        <f t="shared" si="20"/>
        <v>0.61122156918498227</v>
      </c>
    </row>
    <row r="21" spans="1:44" ht="15" customHeight="1">
      <c r="A21" s="456" t="s">
        <v>199</v>
      </c>
      <c r="B21" s="300">
        <v>205</v>
      </c>
      <c r="C21" s="300">
        <v>137</v>
      </c>
      <c r="D21" s="300">
        <v>91</v>
      </c>
      <c r="E21" s="410">
        <f t="shared" ref="E21" si="46">C21/B21</f>
        <v>0.66829268292682931</v>
      </c>
      <c r="F21" s="410">
        <f t="shared" si="32"/>
        <v>0.66423357664233573</v>
      </c>
      <c r="G21" s="410">
        <f t="shared" si="33"/>
        <v>0.44390243902439025</v>
      </c>
      <c r="H21" s="302">
        <v>4.2999999999999997E-2</v>
      </c>
      <c r="I21" s="410">
        <v>0</v>
      </c>
      <c r="J21" s="410">
        <v>0</v>
      </c>
      <c r="K21" s="410">
        <f t="shared" si="35"/>
        <v>0.69832046282845284</v>
      </c>
      <c r="L21" s="410">
        <f t="shared" si="36"/>
        <v>0.66423357664233573</v>
      </c>
      <c r="M21" s="555">
        <f t="shared" si="37"/>
        <v>0.46384789866707449</v>
      </c>
      <c r="N21" s="410">
        <f t="shared" ref="N21" si="47">K21^(1/3)</f>
        <v>0.88719330552659958</v>
      </c>
      <c r="O21" s="410">
        <f t="shared" si="38"/>
        <v>0.90277641845962009</v>
      </c>
      <c r="P21" s="412">
        <f t="shared" ref="P21" si="48">M21^(1/7)</f>
        <v>0.89606470338675293</v>
      </c>
      <c r="Q21" s="303">
        <v>2013</v>
      </c>
      <c r="R21" s="414">
        <f t="shared" ref="R21" si="49">1-K21</f>
        <v>0.30167953717154716</v>
      </c>
      <c r="S21" s="414">
        <f t="shared" si="39"/>
        <v>0.33576642335766427</v>
      </c>
      <c r="T21" s="414">
        <f t="shared" ref="T21" si="50">1-M21</f>
        <v>0.53615210133292557</v>
      </c>
      <c r="U21" s="414">
        <f t="shared" ref="U21" si="51">1-N21</f>
        <v>0.11280669447340042</v>
      </c>
      <c r="V21" s="414">
        <f t="shared" ref="V21" si="52">1-O21</f>
        <v>9.7223581540379911E-2</v>
      </c>
      <c r="W21" s="414">
        <f t="shared" ref="W21" si="53">1-P21</f>
        <v>0.10393529661324707</v>
      </c>
      <c r="X21" s="283">
        <f t="shared" ref="X21" si="54">C21</f>
        <v>137</v>
      </c>
      <c r="Y21" s="283">
        <f t="shared" ref="Y21" si="55">B21</f>
        <v>205</v>
      </c>
      <c r="Z21" s="283">
        <f t="shared" ref="Z21" si="56">X21/Y21</f>
        <v>0.66829268292682931</v>
      </c>
      <c r="AA21" s="283">
        <f t="shared" ref="AA21" si="57">_xlfn.F.INV(0.05/2, 2*X21, 2*(Y21-X21+1))</f>
        <v>0.75332134491866887</v>
      </c>
      <c r="AB21" s="283">
        <f t="shared" ref="AB21" si="58">_xlfn.F.INV(1-0.05/2, 2*(X21+1), 2*(Y21-X21))</f>
        <v>1.3480813113725465</v>
      </c>
      <c r="AC21" s="436">
        <f t="shared" ref="AC21" si="59">IF(X21=0, 0, 1/(1 +(Y21-X21+1)/(X21*AA21)))</f>
        <v>0.59931482662037194</v>
      </c>
      <c r="AD21" s="436">
        <f t="shared" ref="AD21" si="60">IF(X21=Y21, 1, 1/(1 + (Y21-X21)/(AB21*(X21+1))))</f>
        <v>0.7323205823959823</v>
      </c>
      <c r="AE21" s="283">
        <f t="shared" ref="AE21" si="61">D21</f>
        <v>91</v>
      </c>
      <c r="AF21" s="283">
        <f t="shared" ref="AF21" si="62">C21</f>
        <v>137</v>
      </c>
      <c r="AG21" s="283">
        <f t="shared" ref="AG21" si="63">AE21/AF21</f>
        <v>0.66423357664233573</v>
      </c>
      <c r="AH21" s="283">
        <f t="shared" ref="AH21" si="64">_xlfn.F.INV(0.05/2, 2*AE21, 2*(AF21-AE21+1))</f>
        <v>0.70913415018609749</v>
      </c>
      <c r="AI21" s="283">
        <f t="shared" ref="AI21" si="65">_xlfn.F.INV(1-0.05/2, 2*(AE21+1), 2*(AF21-AE21))</f>
        <v>1.4425008330202769</v>
      </c>
      <c r="AJ21" s="436">
        <f t="shared" ref="AJ21" si="66">IF(AE21=0, 0, 1/(1 +(AF21-AE21+1)/(AE21*AH21)))</f>
        <v>0.57859328359147799</v>
      </c>
      <c r="AK21" s="436">
        <f t="shared" ref="AK21" si="67">IF(AE21=AF21, 1, 1/(1 + (AF21-AE21)/(AI21*(AE21+1))))</f>
        <v>0.7425998529830331</v>
      </c>
      <c r="AL21" s="283">
        <f t="shared" ref="AL21" si="68">D21</f>
        <v>91</v>
      </c>
      <c r="AM21" s="283">
        <f t="shared" ref="AM21" si="69">B21</f>
        <v>205</v>
      </c>
      <c r="AN21" s="283">
        <f t="shared" ref="AN21" si="70">AL21/AM21</f>
        <v>0.44390243902439025</v>
      </c>
      <c r="AO21" s="283">
        <f t="shared" ref="AO21" si="71">_xlfn.F.INV(0.05/2, 2*AL21, 2*(AM21-AL21+1))</f>
        <v>0.75728840802258002</v>
      </c>
      <c r="AP21" s="283">
        <f t="shared" ref="AP21" si="72">_xlfn.F.INV(1-0.05/2, 2*(AL21+1), 2*(AM21-AL21))</f>
        <v>1.3144391115286391</v>
      </c>
      <c r="AQ21" s="436">
        <f t="shared" ref="AQ21" si="73">IF(AL21=0, 0, 1/(1 +(AM21-AL21+1)/(AL21*AO21)))</f>
        <v>0.37470517733142378</v>
      </c>
      <c r="AR21" s="436">
        <f t="shared" ref="AR21" si="74">IF(AL21=AM21, 1, 1/(1 + (AM21-AL21)/(AP21*(AL21+1))))</f>
        <v>0.5147457657565695</v>
      </c>
    </row>
    <row r="22" spans="1:44" ht="15" customHeight="1">
      <c r="A22" s="456" t="s">
        <v>200</v>
      </c>
      <c r="B22" s="300">
        <v>216</v>
      </c>
      <c r="C22" s="300">
        <v>154</v>
      </c>
      <c r="D22" s="300">
        <v>142</v>
      </c>
      <c r="E22" s="410">
        <f t="shared" si="23"/>
        <v>0.71296296296296291</v>
      </c>
      <c r="F22" s="410">
        <f t="shared" si="32"/>
        <v>0.92207792207792205</v>
      </c>
      <c r="G22" s="410">
        <f t="shared" si="33"/>
        <v>0.65740740740740744</v>
      </c>
      <c r="H22" s="302">
        <v>5.2999999999999999E-2</v>
      </c>
      <c r="I22" s="301">
        <v>0</v>
      </c>
      <c r="J22" s="453">
        <v>0</v>
      </c>
      <c r="K22" s="410">
        <f t="shared" si="35"/>
        <v>0.75286479721537802</v>
      </c>
      <c r="L22" s="410">
        <f t="shared" si="36"/>
        <v>0.92207792207792205</v>
      </c>
      <c r="M22" s="555">
        <f t="shared" si="37"/>
        <v>0.694200007821972</v>
      </c>
      <c r="N22" s="410">
        <f t="shared" si="25"/>
        <v>0.90971564484822021</v>
      </c>
      <c r="O22" s="410">
        <f t="shared" si="38"/>
        <v>0.97992289772533914</v>
      </c>
      <c r="P22" s="412">
        <f t="shared" si="26"/>
        <v>0.94919391383818141</v>
      </c>
      <c r="Q22" s="413">
        <v>2014</v>
      </c>
      <c r="R22" s="414">
        <f t="shared" si="27"/>
        <v>0.24713520278462198</v>
      </c>
      <c r="S22" s="414">
        <f t="shared" si="39"/>
        <v>7.7922077922077948E-2</v>
      </c>
      <c r="T22" s="414">
        <f t="shared" ref="T22" si="75">1-M22</f>
        <v>0.305799992178028</v>
      </c>
      <c r="U22" s="414">
        <f t="shared" ref="U22" si="76">1-N22</f>
        <v>9.0284355151779794E-2</v>
      </c>
      <c r="V22" s="414">
        <f t="shared" ref="V22" si="77">1-O22</f>
        <v>2.0077102274660863E-2</v>
      </c>
      <c r="W22" s="414">
        <f t="shared" si="28"/>
        <v>5.0806086161818587E-2</v>
      </c>
      <c r="X22" s="283">
        <f t="shared" si="3"/>
        <v>154</v>
      </c>
      <c r="Y22" s="283">
        <f t="shared" si="4"/>
        <v>216</v>
      </c>
      <c r="Z22" s="283">
        <f t="shared" si="5"/>
        <v>0.71296296296296291</v>
      </c>
      <c r="AA22" s="283">
        <f t="shared" si="0"/>
        <v>0.75201736563041877</v>
      </c>
      <c r="AB22" s="283">
        <f t="shared" si="6"/>
        <v>1.3567217581919164</v>
      </c>
      <c r="AC22" s="436">
        <f t="shared" si="7"/>
        <v>0.64767204058631556</v>
      </c>
      <c r="AD22" s="436">
        <f t="shared" si="8"/>
        <v>0.77230315607196964</v>
      </c>
      <c r="AE22" s="283">
        <f t="shared" si="9"/>
        <v>142</v>
      </c>
      <c r="AF22" s="283">
        <f t="shared" si="10"/>
        <v>154</v>
      </c>
      <c r="AG22" s="283">
        <f t="shared" si="11"/>
        <v>0.92207792207792205</v>
      </c>
      <c r="AH22" s="283">
        <f t="shared" si="1"/>
        <v>0.60117724049195287</v>
      </c>
      <c r="AI22" s="283">
        <f t="shared" si="12"/>
        <v>1.9672708793915823</v>
      </c>
      <c r="AJ22" s="436">
        <f t="shared" si="13"/>
        <v>0.86784208344602165</v>
      </c>
      <c r="AK22" s="436">
        <f t="shared" si="14"/>
        <v>0.95908901264623669</v>
      </c>
      <c r="AL22" s="283">
        <f t="shared" si="15"/>
        <v>142</v>
      </c>
      <c r="AM22" s="283">
        <f t="shared" si="16"/>
        <v>216</v>
      </c>
      <c r="AN22" s="283">
        <f t="shared" si="17"/>
        <v>0.65740740740740744</v>
      </c>
      <c r="AO22" s="283">
        <f t="shared" si="2"/>
        <v>0.75996236100609149</v>
      </c>
      <c r="AP22" s="283">
        <f t="shared" si="18"/>
        <v>1.3336654659901033</v>
      </c>
      <c r="AQ22" s="436">
        <f t="shared" si="19"/>
        <v>0.58997271217979674</v>
      </c>
      <c r="AR22" s="436">
        <f t="shared" si="20"/>
        <v>0.72045318791220703</v>
      </c>
    </row>
    <row r="23" spans="1:44" ht="15" customHeight="1">
      <c r="A23" s="456">
        <v>2015</v>
      </c>
      <c r="B23" s="300">
        <v>679</v>
      </c>
      <c r="C23" s="300">
        <v>98</v>
      </c>
      <c r="D23" s="300">
        <v>27</v>
      </c>
      <c r="E23" s="410">
        <f t="shared" ref="E23:F30" si="78">C23/B23</f>
        <v>0.14432989690721648</v>
      </c>
      <c r="F23" s="410">
        <f t="shared" si="32"/>
        <v>0.27551020408163263</v>
      </c>
      <c r="G23" s="410">
        <f t="shared" si="33"/>
        <v>3.9764359351988215E-2</v>
      </c>
      <c r="H23" s="302">
        <v>5.8999999999999997E-2</v>
      </c>
      <c r="I23" s="301">
        <v>0</v>
      </c>
      <c r="J23" s="453">
        <v>0</v>
      </c>
      <c r="K23" s="410">
        <f t="shared" si="35"/>
        <v>0.1533792740778071</v>
      </c>
      <c r="L23" s="410">
        <f t="shared" si="36"/>
        <v>0.27551020408163263</v>
      </c>
      <c r="M23" s="410">
        <f t="shared" si="37"/>
        <v>4.2257555103069298E-2</v>
      </c>
      <c r="N23" s="410">
        <f t="shared" ref="N23" si="79">K23^(1/3)</f>
        <v>0.53528970721798708</v>
      </c>
      <c r="O23" s="410">
        <f t="shared" si="38"/>
        <v>0.72449338103796634</v>
      </c>
      <c r="P23" s="412">
        <f t="shared" ref="P23" si="80">M23^(1/7)</f>
        <v>0.63635670404174038</v>
      </c>
      <c r="Q23" s="303">
        <v>2015</v>
      </c>
      <c r="R23" s="414">
        <f t="shared" ref="R23" si="81">1-K23</f>
        <v>0.84662072592219295</v>
      </c>
      <c r="S23" s="414">
        <f t="shared" si="39"/>
        <v>0.72448979591836737</v>
      </c>
      <c r="T23" s="414">
        <f t="shared" ref="T23" si="82">1-M23</f>
        <v>0.95774244489693072</v>
      </c>
      <c r="U23" s="414">
        <f t="shared" ref="U23" si="83">1-N23</f>
        <v>0.46471029278201292</v>
      </c>
      <c r="V23" s="414">
        <f t="shared" ref="V23" si="84">1-O23</f>
        <v>0.27550661896203366</v>
      </c>
      <c r="W23" s="414">
        <f t="shared" ref="W23" si="85">1-P23</f>
        <v>0.36364329595825962</v>
      </c>
      <c r="X23" s="283">
        <f t="shared" ref="X23" si="86">C23</f>
        <v>98</v>
      </c>
      <c r="Y23" s="283">
        <f t="shared" ref="Y23:Y24" si="87">B23</f>
        <v>679</v>
      </c>
      <c r="Z23" s="283">
        <f t="shared" ref="Z23:Z24" si="88">X23/Y23</f>
        <v>0.14432989690721648</v>
      </c>
      <c r="AA23" s="283">
        <f t="shared" ref="AA23:AA24" si="89">_xlfn.F.INV(0.05/2, 2*X23, 2*(Y23-X23+1))</f>
        <v>0.80028276367049112</v>
      </c>
      <c r="AB23" s="283">
        <f t="shared" ref="AB23:AB24" si="90">_xlfn.F.INV(1-0.05/2, 2*(X23+1), 2*(Y23-X23))</f>
        <v>1.2280350088589165</v>
      </c>
      <c r="AC23" s="436">
        <f t="shared" ref="AC23:AC24" si="91">IF(X23=0, 0, 1/(1 +(Y23-X23+1)/(X23*AA23)))</f>
        <v>0.11875290747565748</v>
      </c>
      <c r="AD23" s="436">
        <f t="shared" ref="AD23:AD24" si="92">IF(X23=Y23, 1, 1/(1 + (Y23-X23)/(AB23*(X23+1))))</f>
        <v>0.17304257233814552</v>
      </c>
      <c r="AE23" s="283">
        <f t="shared" ref="AE23:AE24" si="93">D23</f>
        <v>27</v>
      </c>
      <c r="AF23" s="283">
        <f t="shared" ref="AF23:AF24" si="94">C23</f>
        <v>98</v>
      </c>
      <c r="AG23" s="283">
        <f t="shared" ref="AG23:AG24" si="95">AE23/AF23</f>
        <v>0.27551020408163263</v>
      </c>
      <c r="AH23" s="283">
        <f t="shared" ref="AH23:AH24" si="96">_xlfn.F.INV(0.05/2, 2*AE23, 2*(AF23-AE23+1))</f>
        <v>0.62573386064316061</v>
      </c>
      <c r="AI23" s="283">
        <f t="shared" ref="AI23:AI24" si="97">_xlfn.F.INV(1-0.05/2, 2*(AE23+1), 2*(AF23-AE23))</f>
        <v>1.5213735595536131</v>
      </c>
      <c r="AJ23" s="436">
        <f t="shared" ref="AJ23:AJ24" si="98">IF(AE23=0, 0, 1/(1 +(AF23-AE23+1)/(AE23*AH23)))</f>
        <v>0.19005399113893312</v>
      </c>
      <c r="AK23" s="436">
        <f t="shared" ref="AK23:AK24" si="99">IF(AE23=AF23, 1, 1/(1 + (AF23-AE23)/(AI23*(AE23+1))))</f>
        <v>0.37499152534449331</v>
      </c>
      <c r="AL23" s="283">
        <f t="shared" ref="AL23:AL24" si="100">D23</f>
        <v>27</v>
      </c>
      <c r="AM23" s="283">
        <f t="shared" ref="AM23:AM24" si="101">B23</f>
        <v>679</v>
      </c>
      <c r="AN23" s="283">
        <f t="shared" ref="AN23:AN24" si="102">AL23/AM23</f>
        <v>3.9764359351988215E-2</v>
      </c>
      <c r="AO23" s="283">
        <f t="shared" ref="AO23:AO24" si="103">_xlfn.F.INV(0.05/2, 2*AL23, 2*(AM23-AL23+1))</f>
        <v>0.65492576530501401</v>
      </c>
      <c r="AP23" s="283">
        <f t="shared" ref="AP23:AP24" si="104">_xlfn.F.INV(1-0.05/2, 2*(AL23+1), 2*(AM23-AL23))</f>
        <v>1.4161561552316313</v>
      </c>
      <c r="AQ23" s="436">
        <f t="shared" ref="AQ23:AQ24" si="105">IF(AL23=0, 0, 1/(1 +(AM23-AL23+1)/(AL23*AO23)))</f>
        <v>2.6365653785136962E-2</v>
      </c>
      <c r="AR23" s="436">
        <f t="shared" ref="AR23:AR24" si="106">IF(AL23=AM23, 1, 1/(1 + (AM23-AL23)/(AP23*(AL23+1))))</f>
        <v>5.7329915911315178E-2</v>
      </c>
    </row>
    <row r="24" spans="1:44">
      <c r="A24" s="456">
        <v>2016</v>
      </c>
      <c r="B24" s="300">
        <v>183</v>
      </c>
      <c r="C24" s="300">
        <v>132</v>
      </c>
      <c r="D24" s="300">
        <v>123</v>
      </c>
      <c r="E24" s="467">
        <f t="shared" si="78"/>
        <v>0.72131147540983609</v>
      </c>
      <c r="F24" s="467">
        <f t="shared" si="32"/>
        <v>0.93181818181818177</v>
      </c>
      <c r="G24" s="467">
        <f t="shared" si="33"/>
        <v>0.67213114754098358</v>
      </c>
      <c r="H24" s="473">
        <v>6.2E-2</v>
      </c>
      <c r="I24" s="301">
        <v>0</v>
      </c>
      <c r="J24" s="453">
        <v>0</v>
      </c>
      <c r="K24" s="410">
        <f t="shared" si="35"/>
        <v>0.76898877975462276</v>
      </c>
      <c r="L24" s="467">
        <f t="shared" si="36"/>
        <v>0.93181818181818177</v>
      </c>
      <c r="M24" s="555">
        <f t="shared" ref="M24" si="107">(D24/B24)/((1-$H24)*(1-$J24))</f>
        <v>0.71655772658953476</v>
      </c>
      <c r="N24" s="410">
        <f t="shared" ref="N24" si="108">K24^(1/3)</f>
        <v>0.91616423600931929</v>
      </c>
      <c r="O24" s="410">
        <f t="shared" ref="O24" si="109">L24^(1/4)</f>
        <v>0.98250053392526093</v>
      </c>
      <c r="P24" s="412">
        <f t="shared" ref="P24" si="110">M24^(1/7)</f>
        <v>0.95350197648475843</v>
      </c>
      <c r="Q24" s="413">
        <v>2016</v>
      </c>
      <c r="R24" s="414">
        <f t="shared" ref="R24" si="111">1-K24</f>
        <v>0.23101122024537724</v>
      </c>
      <c r="S24" s="414">
        <f t="shared" ref="S24" si="112">1-L24</f>
        <v>6.8181818181818232E-2</v>
      </c>
      <c r="T24" s="414">
        <f t="shared" ref="T24" si="113">1-M24</f>
        <v>0.28344227341046524</v>
      </c>
      <c r="U24" s="414">
        <f t="shared" ref="U24" si="114">1-N24</f>
        <v>8.3835763990680712E-2</v>
      </c>
      <c r="V24" s="414">
        <f t="shared" ref="V24" si="115">1-O24</f>
        <v>1.7499466074739067E-2</v>
      </c>
      <c r="W24" s="414">
        <f t="shared" ref="W24" si="116">1-P24</f>
        <v>4.6498023515241571E-2</v>
      </c>
      <c r="X24" s="283">
        <f t="shared" ref="X24" si="117">C24</f>
        <v>132</v>
      </c>
      <c r="Y24" s="451">
        <f t="shared" si="87"/>
        <v>183</v>
      </c>
      <c r="Z24" s="451">
        <f t="shared" si="88"/>
        <v>0.72131147540983609</v>
      </c>
      <c r="AA24" s="451">
        <f t="shared" si="89"/>
        <v>0.7328047559763371</v>
      </c>
      <c r="AB24" s="451">
        <f t="shared" si="90"/>
        <v>1.3994633963335574</v>
      </c>
      <c r="AC24" s="468">
        <f t="shared" si="91"/>
        <v>0.65037369488995644</v>
      </c>
      <c r="AD24" s="468">
        <f t="shared" si="92"/>
        <v>0.7849268574962176</v>
      </c>
      <c r="AE24" s="451">
        <f t="shared" si="93"/>
        <v>123</v>
      </c>
      <c r="AF24" s="451">
        <f t="shared" si="94"/>
        <v>132</v>
      </c>
      <c r="AG24" s="451">
        <f t="shared" si="95"/>
        <v>0.93181818181818177</v>
      </c>
      <c r="AH24" s="451">
        <f t="shared" si="96"/>
        <v>0.56659398849713383</v>
      </c>
      <c r="AI24" s="451">
        <f t="shared" si="97"/>
        <v>2.2207236013820513</v>
      </c>
      <c r="AJ24" s="468">
        <f t="shared" si="98"/>
        <v>0.87451541080551565</v>
      </c>
      <c r="AK24" s="468">
        <f t="shared" si="99"/>
        <v>0.96835106145611072</v>
      </c>
      <c r="AL24" s="451">
        <f t="shared" si="100"/>
        <v>123</v>
      </c>
      <c r="AM24" s="451">
        <f t="shared" si="101"/>
        <v>183</v>
      </c>
      <c r="AN24" s="451">
        <f t="shared" si="102"/>
        <v>0.67213114754098358</v>
      </c>
      <c r="AO24" s="451">
        <f t="shared" si="103"/>
        <v>0.74081748742100273</v>
      </c>
      <c r="AP24" s="451">
        <f t="shared" si="104"/>
        <v>1.3741525800900192</v>
      </c>
      <c r="AQ24" s="468">
        <f t="shared" si="105"/>
        <v>0.59900224119662981</v>
      </c>
      <c r="AR24" s="468">
        <f t="shared" si="106"/>
        <v>0.73957759130311185</v>
      </c>
    </row>
    <row r="25" spans="1:44">
      <c r="A25" s="456">
        <v>2017</v>
      </c>
      <c r="B25" s="300">
        <v>74</v>
      </c>
      <c r="C25" s="300">
        <v>44</v>
      </c>
      <c r="D25" s="300">
        <v>40</v>
      </c>
      <c r="E25" s="467">
        <f t="shared" si="78"/>
        <v>0.59459459459459463</v>
      </c>
      <c r="F25" s="467">
        <f t="shared" si="32"/>
        <v>0.90909090909090906</v>
      </c>
      <c r="G25" s="467">
        <f t="shared" si="33"/>
        <v>0.54054054054054057</v>
      </c>
      <c r="H25" s="473">
        <v>4.7E-2</v>
      </c>
      <c r="I25" s="301">
        <v>0</v>
      </c>
      <c r="J25" s="453">
        <v>0</v>
      </c>
      <c r="K25" s="410">
        <f t="shared" ref="K25:K27" si="118">(C25/B25)/((1-$H25)*(1-$J25))</f>
        <v>0.62391877711919685</v>
      </c>
      <c r="L25" s="467">
        <f t="shared" ref="L25:L30" si="119">D25/C25</f>
        <v>0.90909090909090906</v>
      </c>
      <c r="M25" s="555">
        <f t="shared" ref="M25:M31" si="120">(D25/B25)/((1-$H25)*(1-$J25))</f>
        <v>0.56719888829017906</v>
      </c>
      <c r="N25" s="410">
        <f t="shared" ref="N25:N30" si="121">K25^(1/3)</f>
        <v>0.85449465805910518</v>
      </c>
      <c r="O25" s="410">
        <f t="shared" ref="O25:O30" si="122">L25^(1/4)</f>
        <v>0.97645408967631053</v>
      </c>
      <c r="P25" s="412">
        <f t="shared" ref="P25:P30" si="123">M25^(1/7)</f>
        <v>0.92218772832731011</v>
      </c>
      <c r="Q25" s="413">
        <v>2017</v>
      </c>
      <c r="R25" s="414">
        <f t="shared" ref="R25:R30" si="124">1-K25</f>
        <v>0.37608122288080315</v>
      </c>
      <c r="S25" s="414">
        <f t="shared" ref="S25:S30" si="125">1-L25</f>
        <v>9.0909090909090939E-2</v>
      </c>
      <c r="T25" s="414">
        <f t="shared" ref="T25:T30" si="126">1-M25</f>
        <v>0.43280111170982094</v>
      </c>
      <c r="U25" s="414">
        <f t="shared" ref="U25:U30" si="127">1-N25</f>
        <v>0.14550534194089482</v>
      </c>
      <c r="V25" s="414">
        <f t="shared" ref="V25:V30" si="128">1-O25</f>
        <v>2.3545910323689467E-2</v>
      </c>
      <c r="W25" s="414">
        <f t="shared" ref="W25:W30" si="129">1-P25</f>
        <v>7.7812271672689892E-2</v>
      </c>
      <c r="X25" s="283">
        <f t="shared" ref="X25:X30" si="130">C25</f>
        <v>44</v>
      </c>
      <c r="Y25" s="451">
        <f t="shared" ref="Y25:Y30" si="131">B25</f>
        <v>74</v>
      </c>
      <c r="Z25" s="451">
        <f t="shared" ref="Z25:Z30" si="132">X25/Y25</f>
        <v>0.59459459459459463</v>
      </c>
      <c r="AA25" s="451">
        <f t="shared" ref="AA25:AA30" si="133">_xlfn.F.INV(0.05/2, 2*X25, 2*(Y25-X25+1))</f>
        <v>0.63515426206729031</v>
      </c>
      <c r="AB25" s="451">
        <f t="shared" ref="AB25:AB30" si="134">_xlfn.F.INV(1-0.05/2, 2*(X25+1), 2*(Y25-X25))</f>
        <v>1.6107794548860896</v>
      </c>
      <c r="AC25" s="468">
        <f t="shared" ref="AC25:AC30" si="135">IF(X25=0, 0, 1/(1 +(Y25-X25+1)/(X25*AA25)))</f>
        <v>0.47410196045513436</v>
      </c>
      <c r="AD25" s="468">
        <f t="shared" ref="AD25:AD30" si="136">IF(X25=Y25, 1, 1/(1 + (Y25-X25)/(AB25*(X25+1))))</f>
        <v>0.70727445081680562</v>
      </c>
      <c r="AE25" s="451">
        <f t="shared" ref="AE25:AE30" si="137">D25</f>
        <v>40</v>
      </c>
      <c r="AF25" s="451">
        <f t="shared" ref="AF25:AF30" si="138">C25</f>
        <v>44</v>
      </c>
      <c r="AG25" s="451">
        <f t="shared" ref="AG25:AG30" si="139">AE25/AF25</f>
        <v>0.90909090909090906</v>
      </c>
      <c r="AH25" s="451">
        <f t="shared" ref="AH25:AH30" si="140">_xlfn.F.INV(0.05/2, 2*AE25, 2*(AF25-AE25+1))</f>
        <v>0.4518700329285128</v>
      </c>
      <c r="AI25" s="451">
        <f t="shared" ref="AI25:AI30" si="141">_xlfn.F.INV(1-0.05/2, 2*(AE25+1), 2*(AF25-AE25))</f>
        <v>3.7542769617088578</v>
      </c>
      <c r="AJ25" s="468">
        <f t="shared" ref="AJ25:AJ30" si="142">IF(AE25=0, 0, 1/(1 +(AF25-AE25+1)/(AE25*AH25)))</f>
        <v>0.78331341053472558</v>
      </c>
      <c r="AK25" s="468">
        <f t="shared" ref="AK25:AK30" si="143">IF(AE25=AF25, 1, 1/(1 + (AF25-AE25)/(AI25*(AE25+1))))</f>
        <v>0.97467157829654916</v>
      </c>
      <c r="AL25" s="451">
        <f t="shared" ref="AL25:AL30" si="144">D25</f>
        <v>40</v>
      </c>
      <c r="AM25" s="451">
        <f t="shared" ref="AM25:AM30" si="145">B25</f>
        <v>74</v>
      </c>
      <c r="AN25" s="451">
        <f t="shared" ref="AN25:AN30" si="146">AL25/AM25</f>
        <v>0.54054054054054057</v>
      </c>
      <c r="AO25" s="451">
        <f t="shared" ref="AO25:AO30" si="147">_xlfn.F.INV(0.05/2, 2*AL25, 2*(AM25-AL25+1))</f>
        <v>0.63532807042378359</v>
      </c>
      <c r="AP25" s="451">
        <f t="shared" ref="AP25:AP30" si="148">_xlfn.F.INV(1-0.05/2, 2*(AL25+1), 2*(AM25-AL25))</f>
        <v>1.588990426676947</v>
      </c>
      <c r="AQ25" s="468">
        <f t="shared" ref="AQ25:AQ30" si="149">IF(AL25=0, 0, 1/(1 +(AM25-AL25+1)/(AL25*AO25)))</f>
        <v>0.42065567267482262</v>
      </c>
      <c r="AR25" s="468">
        <f t="shared" ref="AR25:AR30" si="150">IF(AL25=AM25, 1, 1/(1 + (AM25-AL25)/(AP25*(AL25+1))))</f>
        <v>0.65708040829376657</v>
      </c>
    </row>
    <row r="26" spans="1:44">
      <c r="A26" s="456">
        <v>2018</v>
      </c>
      <c r="B26" s="516">
        <v>102</v>
      </c>
      <c r="C26" s="516">
        <v>87</v>
      </c>
      <c r="D26" s="300"/>
      <c r="E26" s="467">
        <f t="shared" si="78"/>
        <v>0.8529411764705882</v>
      </c>
      <c r="F26" s="467"/>
      <c r="G26" s="467"/>
      <c r="H26" s="473">
        <v>3.6999999999999998E-2</v>
      </c>
      <c r="I26" s="301">
        <v>0</v>
      </c>
      <c r="J26" s="453">
        <v>0</v>
      </c>
      <c r="K26" s="410">
        <f t="shared" si="118"/>
        <v>0.8857125404679006</v>
      </c>
      <c r="L26" s="467">
        <f t="shared" si="119"/>
        <v>0</v>
      </c>
      <c r="M26" s="410"/>
      <c r="N26" s="410">
        <f t="shared" si="121"/>
        <v>0.96035307486896693</v>
      </c>
      <c r="O26" s="410">
        <f t="shared" si="122"/>
        <v>0</v>
      </c>
      <c r="P26" s="412">
        <f t="shared" si="123"/>
        <v>0</v>
      </c>
      <c r="Q26" s="413">
        <v>2018</v>
      </c>
      <c r="R26" s="414">
        <f t="shared" si="124"/>
        <v>0.1142874595320994</v>
      </c>
      <c r="S26" s="414">
        <f t="shared" si="125"/>
        <v>1</v>
      </c>
      <c r="T26" s="414">
        <f t="shared" si="126"/>
        <v>1</v>
      </c>
      <c r="U26" s="414">
        <f t="shared" si="127"/>
        <v>3.9646925131033073E-2</v>
      </c>
      <c r="V26" s="414">
        <f t="shared" si="128"/>
        <v>1</v>
      </c>
      <c r="W26" s="414">
        <f t="shared" si="129"/>
        <v>1</v>
      </c>
      <c r="X26" s="283">
        <f t="shared" si="130"/>
        <v>87</v>
      </c>
      <c r="Y26" s="451">
        <f t="shared" si="131"/>
        <v>102</v>
      </c>
      <c r="Z26" s="451">
        <f t="shared" si="132"/>
        <v>0.8529411764705882</v>
      </c>
      <c r="AA26" s="451">
        <f t="shared" si="133"/>
        <v>0.61248123989253911</v>
      </c>
      <c r="AB26" s="451">
        <f t="shared" si="134"/>
        <v>1.8418032335439973</v>
      </c>
      <c r="AC26" s="468">
        <f t="shared" si="135"/>
        <v>0.76907267684269709</v>
      </c>
      <c r="AD26" s="468">
        <f t="shared" si="136"/>
        <v>0.91529189389473897</v>
      </c>
      <c r="AE26" s="451">
        <f t="shared" si="137"/>
        <v>0</v>
      </c>
      <c r="AF26" s="451">
        <f t="shared" si="138"/>
        <v>87</v>
      </c>
      <c r="AG26" s="451">
        <f t="shared" si="139"/>
        <v>0</v>
      </c>
      <c r="AH26" s="451" t="e">
        <f t="shared" si="140"/>
        <v>#NUM!</v>
      </c>
      <c r="AI26" s="451">
        <f t="shared" si="141"/>
        <v>3.7682025341365257</v>
      </c>
      <c r="AJ26" s="468">
        <f t="shared" si="142"/>
        <v>0</v>
      </c>
      <c r="AK26" s="468">
        <f t="shared" si="143"/>
        <v>4.1514565992637815E-2</v>
      </c>
      <c r="AL26" s="451">
        <f t="shared" si="144"/>
        <v>0</v>
      </c>
      <c r="AM26" s="451">
        <f t="shared" si="145"/>
        <v>102</v>
      </c>
      <c r="AN26" s="451">
        <f t="shared" si="146"/>
        <v>0</v>
      </c>
      <c r="AO26" s="451" t="e">
        <f t="shared" si="147"/>
        <v>#NUM!</v>
      </c>
      <c r="AP26" s="451">
        <f t="shared" si="148"/>
        <v>3.756395974789065</v>
      </c>
      <c r="AQ26" s="468">
        <f t="shared" si="149"/>
        <v>0</v>
      </c>
      <c r="AR26" s="468">
        <f t="shared" si="150"/>
        <v>3.5519326657884036E-2</v>
      </c>
    </row>
    <row r="27" spans="1:44">
      <c r="A27" s="456">
        <v>2019</v>
      </c>
      <c r="B27" s="516">
        <v>42</v>
      </c>
      <c r="C27" s="516">
        <v>38</v>
      </c>
      <c r="D27" s="300"/>
      <c r="E27" s="467">
        <f t="shared" si="78"/>
        <v>0.90476190476190477</v>
      </c>
      <c r="F27" s="467"/>
      <c r="G27" s="467"/>
      <c r="H27" s="473">
        <v>1.7000000000000001E-2</v>
      </c>
      <c r="I27" s="301">
        <v>0</v>
      </c>
      <c r="J27" s="453">
        <v>0</v>
      </c>
      <c r="K27" s="410">
        <f t="shared" si="118"/>
        <v>0.92040885530203942</v>
      </c>
      <c r="L27" s="467">
        <f t="shared" si="119"/>
        <v>0</v>
      </c>
      <c r="M27" s="410"/>
      <c r="N27" s="410">
        <f t="shared" si="121"/>
        <v>0.97273288027930982</v>
      </c>
      <c r="O27" s="410">
        <f t="shared" si="122"/>
        <v>0</v>
      </c>
      <c r="P27" s="412">
        <f t="shared" si="123"/>
        <v>0</v>
      </c>
      <c r="Q27" s="413">
        <v>2019</v>
      </c>
      <c r="R27" s="414">
        <f t="shared" si="124"/>
        <v>7.9591144697960581E-2</v>
      </c>
      <c r="S27" s="414">
        <f t="shared" si="125"/>
        <v>1</v>
      </c>
      <c r="T27" s="414">
        <f t="shared" si="126"/>
        <v>1</v>
      </c>
      <c r="U27" s="414">
        <f t="shared" si="127"/>
        <v>2.7267119720690181E-2</v>
      </c>
      <c r="V27" s="414">
        <f t="shared" si="128"/>
        <v>1</v>
      </c>
      <c r="W27" s="414">
        <f t="shared" si="129"/>
        <v>1</v>
      </c>
      <c r="X27" s="283">
        <f t="shared" si="130"/>
        <v>38</v>
      </c>
      <c r="Y27" s="451">
        <f t="shared" si="131"/>
        <v>42</v>
      </c>
      <c r="Z27" s="451">
        <f t="shared" si="132"/>
        <v>0.90476190476190477</v>
      </c>
      <c r="AA27" s="451">
        <f t="shared" si="133"/>
        <v>0.4500500594922282</v>
      </c>
      <c r="AB27" s="451">
        <f t="shared" si="134"/>
        <v>3.7585172186271234</v>
      </c>
      <c r="AC27" s="468">
        <f t="shared" si="135"/>
        <v>0.77377512844722052</v>
      </c>
      <c r="AD27" s="468">
        <f t="shared" si="136"/>
        <v>0.97343643035923944</v>
      </c>
      <c r="AE27" s="451">
        <f t="shared" si="137"/>
        <v>0</v>
      </c>
      <c r="AF27" s="451">
        <f t="shared" si="138"/>
        <v>38</v>
      </c>
      <c r="AG27" s="451">
        <f t="shared" si="139"/>
        <v>0</v>
      </c>
      <c r="AH27" s="451" t="e">
        <f t="shared" si="140"/>
        <v>#NUM!</v>
      </c>
      <c r="AI27" s="451">
        <f t="shared" si="141"/>
        <v>3.8738670741952239</v>
      </c>
      <c r="AJ27" s="468">
        <f t="shared" si="142"/>
        <v>0</v>
      </c>
      <c r="AK27" s="468">
        <f t="shared" si="143"/>
        <v>9.2512761415878289E-2</v>
      </c>
      <c r="AL27" s="451">
        <f t="shared" si="144"/>
        <v>0</v>
      </c>
      <c r="AM27" s="451">
        <f t="shared" si="145"/>
        <v>42</v>
      </c>
      <c r="AN27" s="451">
        <f t="shared" si="146"/>
        <v>0</v>
      </c>
      <c r="AO27" s="451" t="e">
        <f t="shared" si="147"/>
        <v>#NUM!</v>
      </c>
      <c r="AP27" s="451">
        <f t="shared" si="148"/>
        <v>3.8557262327381983</v>
      </c>
      <c r="AQ27" s="468">
        <f t="shared" si="149"/>
        <v>0</v>
      </c>
      <c r="AR27" s="468">
        <f t="shared" si="150"/>
        <v>8.4083854940355168E-2</v>
      </c>
    </row>
    <row r="28" spans="1:44">
      <c r="A28" s="456">
        <v>2020</v>
      </c>
      <c r="B28" s="516">
        <v>356</v>
      </c>
      <c r="C28" s="516">
        <v>305</v>
      </c>
      <c r="D28" s="300"/>
      <c r="E28" s="467">
        <f t="shared" si="78"/>
        <v>0.8567415730337079</v>
      </c>
      <c r="F28" s="467"/>
      <c r="G28" s="467"/>
      <c r="H28" s="473">
        <v>5.1999999999999998E-2</v>
      </c>
      <c r="I28" s="301">
        <v>0</v>
      </c>
      <c r="J28" s="453">
        <v>0</v>
      </c>
      <c r="K28" s="410">
        <f t="shared" ref="K28:K30" si="151">(C28/B28)/((1-$H28)*(1-$J28))</f>
        <v>0.90373583653344725</v>
      </c>
      <c r="L28" s="467">
        <f t="shared" si="119"/>
        <v>0</v>
      </c>
      <c r="M28" s="410"/>
      <c r="N28" s="410"/>
      <c r="O28" s="410"/>
      <c r="P28" s="412"/>
      <c r="Q28" s="413"/>
      <c r="R28" s="414"/>
      <c r="S28" s="414"/>
      <c r="T28" s="414"/>
      <c r="U28" s="414"/>
      <c r="V28" s="414"/>
      <c r="W28" s="414"/>
      <c r="X28" s="283">
        <f t="shared" si="130"/>
        <v>305</v>
      </c>
      <c r="Y28" s="451">
        <f t="shared" si="131"/>
        <v>356</v>
      </c>
      <c r="Z28" s="451">
        <f t="shared" si="132"/>
        <v>0.8567415730337079</v>
      </c>
      <c r="AA28" s="451">
        <f t="shared" si="133"/>
        <v>0.7559864373122761</v>
      </c>
      <c r="AB28" s="451">
        <f t="shared" si="134"/>
        <v>1.3685655744324805</v>
      </c>
      <c r="AC28" s="468">
        <f t="shared" si="135"/>
        <v>0.8159786211817146</v>
      </c>
      <c r="AD28" s="468">
        <f t="shared" si="136"/>
        <v>0.89143879199192566</v>
      </c>
      <c r="AE28" s="451"/>
      <c r="AF28" s="451">
        <f t="shared" si="138"/>
        <v>305</v>
      </c>
      <c r="AG28" s="451"/>
      <c r="AH28" s="451"/>
      <c r="AI28" s="451"/>
      <c r="AJ28" s="468"/>
      <c r="AK28" s="468"/>
      <c r="AL28" s="451"/>
      <c r="AM28" s="451">
        <f t="shared" si="145"/>
        <v>356</v>
      </c>
      <c r="AN28" s="451"/>
      <c r="AO28" s="451"/>
      <c r="AP28" s="451"/>
      <c r="AQ28" s="468"/>
      <c r="AR28" s="468"/>
    </row>
    <row r="29" spans="1:44">
      <c r="A29" s="456">
        <v>2021</v>
      </c>
      <c r="B29" s="300">
        <v>58</v>
      </c>
      <c r="C29" s="300">
        <v>32</v>
      </c>
      <c r="D29" s="300">
        <v>16</v>
      </c>
      <c r="E29" s="467">
        <f t="shared" si="78"/>
        <v>0.55172413793103448</v>
      </c>
      <c r="F29" s="467">
        <f t="shared" si="78"/>
        <v>0.5</v>
      </c>
      <c r="G29" s="467">
        <f t="shared" ref="G29:G30" si="152">D29/B29</f>
        <v>0.27586206896551724</v>
      </c>
      <c r="H29" s="473">
        <v>6.7000000000000004E-2</v>
      </c>
      <c r="I29" s="301">
        <v>0</v>
      </c>
      <c r="J29" s="453">
        <v>0</v>
      </c>
      <c r="K29" s="410">
        <f t="shared" si="151"/>
        <v>0.59134419928299509</v>
      </c>
      <c r="L29" s="467">
        <f t="shared" si="119"/>
        <v>0.5</v>
      </c>
      <c r="M29" s="410">
        <f t="shared" si="120"/>
        <v>0.29567209964149754</v>
      </c>
      <c r="N29" s="410"/>
      <c r="O29" s="410"/>
      <c r="P29" s="412"/>
      <c r="Q29" s="413"/>
      <c r="R29" s="414"/>
      <c r="S29" s="414"/>
      <c r="T29" s="414"/>
      <c r="U29" s="414"/>
      <c r="V29" s="414"/>
      <c r="W29" s="414"/>
      <c r="X29" s="283">
        <f t="shared" si="130"/>
        <v>32</v>
      </c>
      <c r="Y29" s="451">
        <f t="shared" si="131"/>
        <v>58</v>
      </c>
      <c r="Z29" s="451">
        <f t="shared" si="132"/>
        <v>0.55172413793103448</v>
      </c>
      <c r="AA29" s="451">
        <f t="shared" si="133"/>
        <v>0.59960197477396115</v>
      </c>
      <c r="AB29" s="451">
        <f t="shared" si="134"/>
        <v>1.6941169177256572</v>
      </c>
      <c r="AC29" s="468">
        <f t="shared" si="135"/>
        <v>0.41542325451687762</v>
      </c>
      <c r="AD29" s="468">
        <f t="shared" si="136"/>
        <v>0.68256238876653719</v>
      </c>
      <c r="AE29" s="451"/>
      <c r="AF29" s="451">
        <f t="shared" si="138"/>
        <v>32</v>
      </c>
      <c r="AG29" s="451"/>
      <c r="AH29" s="451"/>
      <c r="AI29" s="451"/>
      <c r="AJ29" s="468"/>
      <c r="AK29" s="468"/>
      <c r="AL29" s="451"/>
      <c r="AM29" s="451">
        <f t="shared" si="145"/>
        <v>58</v>
      </c>
      <c r="AN29" s="451"/>
      <c r="AO29" s="451"/>
      <c r="AP29" s="451"/>
      <c r="AQ29" s="468"/>
      <c r="AR29" s="468"/>
    </row>
    <row r="30" spans="1:44">
      <c r="A30" s="456">
        <v>2022</v>
      </c>
      <c r="B30" s="300">
        <f>D109+D127</f>
        <v>153</v>
      </c>
      <c r="C30" s="300">
        <f>G109+G127</f>
        <v>125</v>
      </c>
      <c r="D30" s="300">
        <f>K109+K127</f>
        <v>101</v>
      </c>
      <c r="E30" s="467">
        <f t="shared" si="78"/>
        <v>0.81699346405228757</v>
      </c>
      <c r="F30" s="467">
        <f t="shared" si="78"/>
        <v>0.80800000000000005</v>
      </c>
      <c r="G30" s="467">
        <f t="shared" si="152"/>
        <v>0.66013071895424835</v>
      </c>
      <c r="H30" s="473">
        <v>4.4999999999999998E-2</v>
      </c>
      <c r="I30" s="301">
        <v>0</v>
      </c>
      <c r="J30" s="453">
        <v>0</v>
      </c>
      <c r="K30" s="410">
        <f t="shared" si="151"/>
        <v>0.85549053827464672</v>
      </c>
      <c r="L30" s="467">
        <f t="shared" si="119"/>
        <v>0.80800000000000005</v>
      </c>
      <c r="M30" s="410">
        <f t="shared" si="120"/>
        <v>0.69123635492591451</v>
      </c>
      <c r="N30" s="410">
        <f t="shared" si="121"/>
        <v>0.94930347403122939</v>
      </c>
      <c r="O30" s="410">
        <f t="shared" si="122"/>
        <v>0.94809714806541279</v>
      </c>
      <c r="P30" s="412">
        <f t="shared" si="123"/>
        <v>0.9486139570876726</v>
      </c>
      <c r="Q30" s="413">
        <v>2020</v>
      </c>
      <c r="R30" s="414">
        <f t="shared" si="124"/>
        <v>0.14450946172535328</v>
      </c>
      <c r="S30" s="414">
        <f t="shared" si="125"/>
        <v>0.19199999999999995</v>
      </c>
      <c r="T30" s="414">
        <f t="shared" si="126"/>
        <v>0.30876364507408549</v>
      </c>
      <c r="U30" s="414">
        <f t="shared" si="127"/>
        <v>5.0696525968770612E-2</v>
      </c>
      <c r="V30" s="414">
        <f t="shared" si="128"/>
        <v>5.1902851934587213E-2</v>
      </c>
      <c r="W30" s="414">
        <f t="shared" si="129"/>
        <v>5.1386042912327401E-2</v>
      </c>
      <c r="X30" s="283">
        <f t="shared" si="130"/>
        <v>125</v>
      </c>
      <c r="Y30" s="451">
        <f t="shared" si="131"/>
        <v>153</v>
      </c>
      <c r="Z30" s="451">
        <f t="shared" si="132"/>
        <v>0.81699346405228757</v>
      </c>
      <c r="AA30" s="451">
        <f t="shared" si="133"/>
        <v>0.68312415063434517</v>
      </c>
      <c r="AB30" s="451">
        <f t="shared" si="134"/>
        <v>1.5529156583694375</v>
      </c>
      <c r="AC30" s="468">
        <f t="shared" si="135"/>
        <v>0.74648248563959063</v>
      </c>
      <c r="AD30" s="468">
        <f t="shared" si="136"/>
        <v>0.8748141061875403</v>
      </c>
      <c r="AE30" s="451">
        <f t="shared" si="137"/>
        <v>101</v>
      </c>
      <c r="AF30" s="451">
        <f t="shared" si="138"/>
        <v>125</v>
      </c>
      <c r="AG30" s="451">
        <f t="shared" si="139"/>
        <v>0.80800000000000005</v>
      </c>
      <c r="AH30" s="451">
        <f t="shared" si="140"/>
        <v>0.66223881516437255</v>
      </c>
      <c r="AI30" s="451">
        <f t="shared" si="141"/>
        <v>1.6164994366651071</v>
      </c>
      <c r="AJ30" s="468">
        <f t="shared" si="142"/>
        <v>0.72792408788422902</v>
      </c>
      <c r="AK30" s="468">
        <f t="shared" si="143"/>
        <v>0.87293717644758895</v>
      </c>
      <c r="AL30" s="451">
        <f t="shared" si="144"/>
        <v>101</v>
      </c>
      <c r="AM30" s="451">
        <f t="shared" si="145"/>
        <v>153</v>
      </c>
      <c r="AN30" s="451">
        <f t="shared" si="146"/>
        <v>0.66013071895424835</v>
      </c>
      <c r="AO30" s="451">
        <f t="shared" si="147"/>
        <v>0.72244827970251502</v>
      </c>
      <c r="AP30" s="451">
        <f t="shared" si="148"/>
        <v>1.4115728836784864</v>
      </c>
      <c r="AQ30" s="468">
        <f t="shared" si="149"/>
        <v>0.57925580692216205</v>
      </c>
      <c r="AR30" s="468">
        <f t="shared" si="150"/>
        <v>0.73466739050018881</v>
      </c>
    </row>
    <row r="31" spans="1:44">
      <c r="A31" s="456">
        <v>2023</v>
      </c>
      <c r="B31" s="300">
        <v>232</v>
      </c>
      <c r="C31" s="300">
        <v>122</v>
      </c>
      <c r="D31" s="300">
        <v>50</v>
      </c>
      <c r="E31" s="467">
        <f t="shared" ref="E31" si="153">C31/B31</f>
        <v>0.52586206896551724</v>
      </c>
      <c r="F31" s="467">
        <f t="shared" ref="F31" si="154">D31/C31</f>
        <v>0.4098360655737705</v>
      </c>
      <c r="G31" s="467">
        <f t="shared" ref="G31" si="155">D31/B31</f>
        <v>0.21551724137931033</v>
      </c>
      <c r="H31" s="473">
        <v>6.7000000000000004E-2</v>
      </c>
      <c r="I31" s="301">
        <v>0</v>
      </c>
      <c r="J31" s="453">
        <v>0</v>
      </c>
      <c r="K31" s="410">
        <f t="shared" ref="K31" si="156">(C31/B31)/((1-$H31)*(1-$J31))</f>
        <v>0.56362493994160467</v>
      </c>
      <c r="L31" s="467">
        <f t="shared" ref="L31" si="157">D31/C31</f>
        <v>0.4098360655737705</v>
      </c>
      <c r="M31" s="410">
        <f t="shared" si="120"/>
        <v>0.23099382784491995</v>
      </c>
      <c r="N31" s="410"/>
      <c r="O31" s="410"/>
      <c r="P31" s="412"/>
      <c r="Q31" s="413"/>
      <c r="R31" s="414"/>
      <c r="S31" s="414"/>
      <c r="T31" s="414"/>
      <c r="U31" s="414"/>
      <c r="V31" s="414"/>
      <c r="W31" s="414"/>
      <c r="X31" s="283"/>
      <c r="Y31" s="451"/>
      <c r="Z31" s="451"/>
      <c r="AA31" s="451"/>
      <c r="AB31" s="451"/>
      <c r="AC31" s="468"/>
      <c r="AD31" s="468"/>
      <c r="AE31" s="451"/>
      <c r="AF31" s="451"/>
      <c r="AG31" s="451"/>
      <c r="AH31" s="451"/>
      <c r="AI31" s="451"/>
      <c r="AJ31" s="468"/>
      <c r="AK31" s="468"/>
      <c r="AL31" s="451"/>
      <c r="AM31" s="451"/>
      <c r="AN31" s="451"/>
      <c r="AO31" s="451"/>
      <c r="AP31" s="451"/>
      <c r="AQ31" s="468"/>
      <c r="AR31" s="468"/>
    </row>
    <row r="32" spans="1:44" ht="23.4" customHeight="1">
      <c r="A32" s="263" t="s">
        <v>112</v>
      </c>
      <c r="B32" s="461"/>
      <c r="C32" s="461"/>
      <c r="D32" s="461"/>
      <c r="E32" s="462">
        <f>AVERAGE(E27:E31)</f>
        <v>0.73121662974889035</v>
      </c>
      <c r="F32" s="462">
        <f t="shared" ref="F32:P32" si="158">AVERAGE(F27:F31)</f>
        <v>0.57261202185792348</v>
      </c>
      <c r="G32" s="462">
        <f t="shared" si="158"/>
        <v>0.38383667643302527</v>
      </c>
      <c r="H32" s="462">
        <f t="shared" si="158"/>
        <v>4.9599999999999998E-2</v>
      </c>
      <c r="I32" s="462">
        <f t="shared" si="158"/>
        <v>0</v>
      </c>
      <c r="J32" s="462">
        <f t="shared" si="158"/>
        <v>0</v>
      </c>
      <c r="K32" s="462">
        <f t="shared" si="158"/>
        <v>0.76692087386694663</v>
      </c>
      <c r="L32" s="462">
        <f t="shared" si="158"/>
        <v>0.34356721311475413</v>
      </c>
      <c r="M32" s="462">
        <f t="shared" si="158"/>
        <v>0.40596742747077735</v>
      </c>
      <c r="N32" s="462">
        <f t="shared" si="158"/>
        <v>0.9610181771552696</v>
      </c>
      <c r="O32" s="462">
        <f t="shared" si="158"/>
        <v>0.47404857403270639</v>
      </c>
      <c r="P32" s="462">
        <f t="shared" si="158"/>
        <v>0.4743069785438363</v>
      </c>
      <c r="Q32" s="415" t="s">
        <v>112</v>
      </c>
      <c r="R32" s="462">
        <f>AVERAGE(R20:R24)</f>
        <v>0.40062215407975099</v>
      </c>
      <c r="S32" s="462">
        <f t="shared" ref="S32:W32" si="159">AVERAGE(S20:S24)</f>
        <v>0.25841488021884274</v>
      </c>
      <c r="T32" s="462">
        <f t="shared" si="159"/>
        <v>0.5026459377739585</v>
      </c>
      <c r="U32" s="462">
        <f t="shared" si="159"/>
        <v>0.17948172385346237</v>
      </c>
      <c r="V32" s="462">
        <f t="shared" si="159"/>
        <v>8.6492144796402284E-2</v>
      </c>
      <c r="W32" s="462">
        <f t="shared" si="159"/>
        <v>0.12841344521671755</v>
      </c>
      <c r="X32" s="469">
        <f>AVERAGE(X20:X24)</f>
        <v>118.2</v>
      </c>
      <c r="Y32" s="469">
        <f t="shared" ref="Y32" si="160">AVERAGE(Y20:Y24)</f>
        <v>281.2</v>
      </c>
      <c r="Z32" s="283">
        <f t="shared" ref="Z32" si="161">X32/Y32</f>
        <v>0.42034139402560455</v>
      </c>
      <c r="AA32" s="283">
        <f t="shared" ref="AA32" si="162">_xlfn.F.INV(0.05/2, 2*X32, 2*(Y32-X32+1))</f>
        <v>0.78708318347622164</v>
      </c>
      <c r="AB32" s="283">
        <f t="shared" ref="AB32" si="163">_xlfn.F.INV(1-0.05/2, 2*(X32+1), 2*(Y32-X32))</f>
        <v>1.2644097066235862</v>
      </c>
      <c r="AC32" s="436">
        <f t="shared" ref="AC32" si="164">IF(X32=0, 0, 1/(1 +(Y32-X32+1)/(X32*AA32)))</f>
        <v>0.36195020954741652</v>
      </c>
      <c r="AD32" s="436">
        <f t="shared" ref="AD32" si="165">IF(X32=Y32, 1, 1/(1 + (Y32-X32)/(AB32*(X32+1))))</f>
        <v>0.48042449400236886</v>
      </c>
      <c r="AE32" s="283">
        <f t="shared" ref="AE32" si="166">D32</f>
        <v>0</v>
      </c>
      <c r="AF32" s="283">
        <f t="shared" ref="AF32" si="167">C32</f>
        <v>0</v>
      </c>
      <c r="AG32" s="283" t="e">
        <f t="shared" ref="AG32" si="168">AE32/AF32</f>
        <v>#DIV/0!</v>
      </c>
      <c r="AH32" s="283" t="e">
        <f t="shared" ref="AH32" si="169">_xlfn.F.INV(0.05/2, 2*AE32, 2*(AF32-AE32+1))</f>
        <v>#NUM!</v>
      </c>
      <c r="AI32" s="283" t="e">
        <f t="shared" ref="AI32" si="170">_xlfn.F.INV(1-0.05/2, 2*(AE32+1), 2*(AF32-AE32))</f>
        <v>#NUM!</v>
      </c>
      <c r="AJ32" s="436">
        <f t="shared" ref="AJ32" si="171">IF(AE32=0, 0, 1/(1 +(AF32-AE32+1)/(AE32*AH32)))</f>
        <v>0</v>
      </c>
      <c r="AK32" s="436">
        <f t="shared" ref="AK32" si="172">IF(AE32=AF32, 1, 1/(1 + (AF32-AE32)/(AI32*(AE32+1))))</f>
        <v>1</v>
      </c>
      <c r="AL32" s="283">
        <f t="shared" ref="AL32" si="173">D32</f>
        <v>0</v>
      </c>
      <c r="AM32" s="283">
        <f t="shared" ref="AM32" si="174">B32</f>
        <v>0</v>
      </c>
      <c r="AN32" s="283" t="e">
        <f t="shared" ref="AN32" si="175">AL32/AM32</f>
        <v>#DIV/0!</v>
      </c>
      <c r="AO32" s="283" t="e">
        <f t="shared" ref="AO32" si="176">_xlfn.F.INV(0.05/2, 2*AL32, 2*(AM32-AL32+1))</f>
        <v>#NUM!</v>
      </c>
      <c r="AP32" s="283" t="e">
        <f t="shared" ref="AP32" si="177">_xlfn.F.INV(1-0.05/2, 2*(AL32+1), 2*(AM32-AL32))</f>
        <v>#NUM!</v>
      </c>
      <c r="AQ32" s="436">
        <f t="shared" ref="AQ32" si="178">IF(AL32=0, 0, 1/(1 +(AM32-AL32+1)/(AL32*AO32)))</f>
        <v>0</v>
      </c>
      <c r="AR32" s="436">
        <f t="shared" ref="AR32" si="179">IF(AL32=AM32, 1, 1/(1 + (AM32-AL32)/(AP32*(AL32+1))))</f>
        <v>1</v>
      </c>
    </row>
    <row r="33" spans="1:23" ht="15" customHeight="1">
      <c r="A33" s="304"/>
      <c r="B33" s="9"/>
      <c r="C33" s="9"/>
      <c r="D33" s="9"/>
      <c r="E33" s="9"/>
      <c r="F33" s="9"/>
      <c r="G33" s="9"/>
      <c r="H33" s="9"/>
      <c r="I33" s="9"/>
      <c r="J33" s="9"/>
      <c r="K33" s="503">
        <f>AVERAGE(K23:K27)</f>
        <v>0.67048164534431343</v>
      </c>
      <c r="L33" s="503">
        <f>AVERAGE(L21:L25)</f>
        <v>0.7405461587421962</v>
      </c>
      <c r="M33" s="503">
        <f>AVERAGE(M21:M25)</f>
        <v>0.49681241529436593</v>
      </c>
      <c r="N33" s="9"/>
      <c r="O33" s="9"/>
      <c r="P33" s="9"/>
      <c r="Q33" s="9"/>
      <c r="R33" s="11"/>
      <c r="S33" s="11"/>
      <c r="T33" s="11"/>
      <c r="U33" s="11"/>
      <c r="V33" s="11"/>
      <c r="W33" s="11"/>
    </row>
    <row r="34" spans="1:23" ht="15" customHeight="1">
      <c r="A34" s="457" t="s">
        <v>93</v>
      </c>
      <c r="B34" s="458"/>
      <c r="C34" s="459"/>
      <c r="D34" s="459"/>
      <c r="E34" s="459"/>
      <c r="F34" s="284"/>
      <c r="G34" s="284"/>
      <c r="H34" s="284"/>
      <c r="I34" s="284"/>
      <c r="J34" s="284"/>
      <c r="K34" s="504">
        <f>AVERAGE(K18:K27)</f>
        <v>0.70760600014186359</v>
      </c>
      <c r="L34" s="504">
        <f>AVERAGE(L18:L25)</f>
        <v>0.81152786329318871</v>
      </c>
      <c r="M34" s="504">
        <f>AVERAGE(M18:M25)</f>
        <v>0.57448518592007991</v>
      </c>
      <c r="O34" s="284"/>
      <c r="P34" s="284"/>
      <c r="Q34" s="692"/>
      <c r="R34" s="693"/>
      <c r="S34" s="693"/>
      <c r="T34" s="693"/>
      <c r="U34" s="693"/>
      <c r="V34" s="693"/>
      <c r="W34" s="693"/>
    </row>
    <row r="35" spans="1:23" ht="15" customHeight="1">
      <c r="A35" s="457"/>
      <c r="B35" s="458"/>
      <c r="C35" s="459"/>
      <c r="D35" s="459"/>
      <c r="E35" s="459"/>
      <c r="F35" s="284"/>
      <c r="G35" s="284"/>
      <c r="H35" s="284"/>
      <c r="I35" s="284"/>
      <c r="J35" s="284"/>
      <c r="K35" s="504"/>
      <c r="L35" s="504"/>
      <c r="M35" s="504"/>
      <c r="O35" s="284"/>
      <c r="P35" s="284"/>
      <c r="Q35" s="535"/>
      <c r="R35" s="536"/>
      <c r="S35" s="536"/>
      <c r="T35" s="536"/>
      <c r="U35" s="536"/>
      <c r="V35" s="536"/>
      <c r="W35" s="536"/>
    </row>
    <row r="36" spans="1:23" ht="30" customHeight="1">
      <c r="A36" s="687" t="s">
        <v>246</v>
      </c>
      <c r="B36" s="687"/>
      <c r="C36" s="687"/>
      <c r="D36" s="687"/>
      <c r="E36" s="660"/>
      <c r="F36" s="660"/>
      <c r="G36" s="660"/>
      <c r="K36" s="528">
        <f>AVERAGE(K18:K22,K24:K27)</f>
        <v>0.7691867474823143</v>
      </c>
      <c r="L36" s="528">
        <f>AVERAGE(L18:L22,L24:L25)</f>
        <v>0.88810181460912518</v>
      </c>
      <c r="M36" s="504">
        <f>AVERAGE(M18:M22,M24:M25)</f>
        <v>0.65051770460822411</v>
      </c>
      <c r="N36" s="660"/>
      <c r="O36" s="660"/>
      <c r="P36" s="661"/>
      <c r="Q36" s="504"/>
      <c r="R36" s="656"/>
      <c r="S36" s="656"/>
      <c r="T36" s="657"/>
      <c r="U36" s="656"/>
      <c r="V36" s="656"/>
      <c r="W36" s="656"/>
    </row>
    <row r="37" spans="1:23" ht="30" customHeight="1">
      <c r="A37" s="537"/>
      <c r="B37" s="537"/>
      <c r="C37" s="537"/>
      <c r="D37" s="537"/>
      <c r="E37" s="532"/>
      <c r="F37" s="532"/>
      <c r="G37" s="532"/>
      <c r="H37" s="532"/>
      <c r="I37" s="532"/>
      <c r="J37" s="533"/>
      <c r="K37" s="27">
        <f>1-K36</f>
        <v>0.2308132525176857</v>
      </c>
      <c r="L37" s="27">
        <f>1-L36</f>
        <v>0.11189818539087482</v>
      </c>
      <c r="M37" s="27">
        <f>1-M36</f>
        <v>0.34948229539177589</v>
      </c>
      <c r="N37" s="532"/>
      <c r="O37" s="532"/>
      <c r="P37" s="534"/>
      <c r="Q37" s="20"/>
      <c r="R37" s="530"/>
      <c r="S37" s="530"/>
      <c r="T37" s="531"/>
      <c r="U37" s="530"/>
      <c r="V37" s="530"/>
      <c r="W37" s="530"/>
    </row>
    <row r="38" spans="1:23" ht="17.25" customHeight="1">
      <c r="A38" s="290">
        <v>2014</v>
      </c>
      <c r="B38" s="694" t="s">
        <v>198</v>
      </c>
      <c r="C38" s="694"/>
      <c r="D38" s="694"/>
      <c r="E38" s="694"/>
      <c r="F38" s="694"/>
      <c r="G38" s="694"/>
      <c r="H38" s="694"/>
      <c r="I38" s="694"/>
      <c r="J38" s="694"/>
      <c r="K38" s="694"/>
      <c r="L38" s="694"/>
      <c r="M38" s="694"/>
      <c r="N38" s="694"/>
      <c r="O38" s="694"/>
      <c r="P38" s="694"/>
      <c r="Q38" s="694"/>
      <c r="R38" s="694"/>
      <c r="S38" s="59"/>
      <c r="T38" s="52"/>
      <c r="U38" s="52"/>
      <c r="V38" s="59"/>
      <c r="W38" s="52"/>
    </row>
    <row r="39" spans="1:23" ht="15" customHeight="1">
      <c r="A39" s="452">
        <v>2014</v>
      </c>
      <c r="B39" s="139" t="s">
        <v>201</v>
      </c>
      <c r="C39" s="20"/>
      <c r="D39" s="20"/>
      <c r="E39" s="27"/>
      <c r="F39" s="47"/>
      <c r="G39" s="27"/>
      <c r="H39" s="27"/>
      <c r="I39" s="27"/>
      <c r="J39" s="27"/>
      <c r="K39" s="27"/>
      <c r="L39" s="47"/>
      <c r="M39" s="27"/>
      <c r="N39" s="27"/>
      <c r="O39" s="47"/>
      <c r="P39" s="27"/>
      <c r="Q39" s="57"/>
      <c r="R39" s="51"/>
      <c r="S39" s="55"/>
      <c r="T39" s="51"/>
      <c r="U39" s="51"/>
      <c r="V39" s="55"/>
      <c r="W39" s="51"/>
    </row>
    <row r="40" spans="1:23" ht="15" customHeight="1">
      <c r="A40" s="288"/>
      <c r="B40" s="20" t="s">
        <v>98</v>
      </c>
      <c r="C40" s="20"/>
      <c r="D40" s="20"/>
      <c r="E40" s="27"/>
      <c r="F40" s="47"/>
      <c r="G40" s="27"/>
      <c r="H40" s="27"/>
      <c r="I40" s="27"/>
      <c r="N40" s="27"/>
      <c r="O40" s="47"/>
      <c r="P40" s="27"/>
      <c r="Q40" s="57"/>
      <c r="R40" s="27"/>
      <c r="S40" s="53" t="s">
        <v>114</v>
      </c>
      <c r="T40" s="27"/>
      <c r="U40" s="27"/>
      <c r="V40" s="47"/>
      <c r="W40" s="27"/>
    </row>
    <row r="41" spans="1:23" ht="15" customHeight="1">
      <c r="A41" s="57"/>
      <c r="B41" s="20"/>
      <c r="C41" s="20"/>
      <c r="D41" s="20"/>
      <c r="E41" s="27"/>
      <c r="F41" s="47"/>
      <c r="G41" s="27"/>
      <c r="H41" s="27"/>
      <c r="I41" s="27"/>
      <c r="J41" s="27"/>
      <c r="K41" s="27"/>
      <c r="L41" s="47"/>
      <c r="M41" s="27"/>
      <c r="N41" s="27"/>
      <c r="O41" s="47"/>
      <c r="P41" s="27"/>
      <c r="Q41" s="57"/>
      <c r="R41" s="27"/>
      <c r="S41" s="53" t="s">
        <v>117</v>
      </c>
      <c r="T41" s="27"/>
      <c r="U41" s="27"/>
      <c r="V41" s="47"/>
      <c r="W41" s="27"/>
    </row>
    <row r="42" spans="1:23" ht="15" customHeight="1">
      <c r="A42" s="57"/>
      <c r="B42" s="20"/>
      <c r="C42" s="20"/>
      <c r="D42" s="20"/>
      <c r="E42" s="27"/>
      <c r="F42" s="47"/>
      <c r="G42" s="27"/>
      <c r="H42" s="27"/>
      <c r="I42" s="27"/>
      <c r="J42" s="27"/>
      <c r="K42" s="27"/>
      <c r="L42" s="47"/>
      <c r="M42" s="27"/>
      <c r="N42" s="27"/>
      <c r="O42" s="47"/>
      <c r="P42" s="27"/>
      <c r="Q42" s="57"/>
      <c r="R42" s="27"/>
      <c r="S42" s="53" t="s">
        <v>118</v>
      </c>
      <c r="T42" s="27"/>
      <c r="U42" s="27"/>
      <c r="V42" s="47"/>
      <c r="W42" s="27"/>
    </row>
    <row r="43" spans="1:23" ht="15" customHeight="1">
      <c r="A43" s="691" t="s">
        <v>94</v>
      </c>
      <c r="B43" s="691"/>
      <c r="C43" s="691"/>
      <c r="D43" s="691"/>
      <c r="E43" s="691"/>
      <c r="F43" s="691"/>
      <c r="G43" s="691"/>
      <c r="H43" s="691"/>
      <c r="I43" s="691"/>
      <c r="J43" s="691"/>
      <c r="K43" s="691"/>
      <c r="L43" s="691"/>
      <c r="M43" s="691"/>
      <c r="N43" s="691"/>
      <c r="O43" s="691"/>
      <c r="P43" s="691"/>
      <c r="Q43" s="57"/>
      <c r="R43" s="27"/>
      <c r="S43" s="308" t="s">
        <v>0</v>
      </c>
      <c r="T43" s="308" t="s">
        <v>115</v>
      </c>
      <c r="U43" s="308" t="s">
        <v>116</v>
      </c>
      <c r="V43" s="308" t="s">
        <v>34</v>
      </c>
      <c r="W43" s="27"/>
    </row>
    <row r="44" spans="1:23" ht="15" customHeight="1">
      <c r="A44" s="58" t="s">
        <v>91</v>
      </c>
      <c r="B44" s="20"/>
      <c r="C44" s="20"/>
      <c r="D44" s="20"/>
      <c r="E44" s="27"/>
      <c r="F44" s="47"/>
      <c r="G44" s="27"/>
      <c r="H44" s="27"/>
      <c r="I44" s="27"/>
      <c r="J44" s="27"/>
      <c r="K44" s="27"/>
      <c r="L44" s="47"/>
      <c r="M44" s="27"/>
      <c r="N44" s="27"/>
      <c r="O44" s="47"/>
      <c r="P44" s="27"/>
      <c r="Q44" s="57"/>
      <c r="R44" s="27"/>
      <c r="S44" s="306">
        <v>2010</v>
      </c>
      <c r="T44" s="281">
        <v>0.82930000000000004</v>
      </c>
      <c r="U44" s="281">
        <v>0.91200000000000003</v>
      </c>
      <c r="V44" s="281">
        <v>0.75609999999999999</v>
      </c>
      <c r="W44" s="27"/>
    </row>
    <row r="45" spans="1:23" ht="15" customHeight="1">
      <c r="B45" s="69" t="s">
        <v>71</v>
      </c>
      <c r="C45" s="20"/>
      <c r="D45" s="20"/>
      <c r="E45" s="43"/>
      <c r="F45" s="48"/>
      <c r="G45" s="43"/>
      <c r="H45" s="45"/>
      <c r="I45" s="45"/>
      <c r="J45" s="45"/>
      <c r="K45" s="43"/>
      <c r="L45" s="48"/>
      <c r="M45" s="43"/>
      <c r="N45" s="43"/>
      <c r="O45" s="48"/>
      <c r="P45" s="43"/>
      <c r="Q45" s="57"/>
      <c r="R45" s="43"/>
      <c r="S45" s="306">
        <v>2011</v>
      </c>
      <c r="T45" s="281">
        <v>0.67659999999999998</v>
      </c>
      <c r="U45" s="281">
        <v>0.96299999999999997</v>
      </c>
      <c r="V45" s="281">
        <v>0.6512</v>
      </c>
      <c r="W45" s="43"/>
    </row>
    <row r="46" spans="1:23" ht="15" customHeight="1">
      <c r="A46" s="20"/>
      <c r="B46" s="20"/>
      <c r="C46" s="20"/>
      <c r="D46" s="20"/>
      <c r="E46" s="20"/>
      <c r="F46" s="20"/>
      <c r="G46" s="20"/>
      <c r="H46" s="20"/>
      <c r="I46" s="20"/>
      <c r="J46" s="20"/>
      <c r="K46" s="20"/>
      <c r="L46" s="20"/>
      <c r="M46" s="20"/>
      <c r="N46" s="20"/>
      <c r="O46" s="20"/>
      <c r="P46" s="20"/>
      <c r="Q46" s="20"/>
      <c r="R46" s="20"/>
      <c r="S46" s="307">
        <v>2012</v>
      </c>
      <c r="T46" s="281">
        <v>0.58250000000000002</v>
      </c>
      <c r="U46" s="281">
        <v>0.90400000000000003</v>
      </c>
      <c r="V46" s="281">
        <v>0.52629999999999999</v>
      </c>
      <c r="W46" s="20"/>
    </row>
    <row r="47" spans="1:23" ht="15" customHeight="1">
      <c r="A47" t="s">
        <v>6</v>
      </c>
      <c r="B47" t="s">
        <v>58</v>
      </c>
      <c r="S47" s="283">
        <v>2013</v>
      </c>
      <c r="T47" s="440">
        <v>0.67700000000000005</v>
      </c>
      <c r="U47" s="440">
        <v>0.65</v>
      </c>
      <c r="V47" s="440">
        <v>0.44</v>
      </c>
    </row>
    <row r="48" spans="1:23" ht="15" customHeight="1">
      <c r="B48" t="s">
        <v>7</v>
      </c>
      <c r="R48" s="272" t="s">
        <v>202</v>
      </c>
      <c r="S48" s="283">
        <v>2014</v>
      </c>
      <c r="T48" s="454">
        <v>0.751</v>
      </c>
      <c r="U48" s="283"/>
      <c r="V48" s="283"/>
    </row>
    <row r="49" spans="1:29" ht="15" customHeight="1">
      <c r="B49" s="56" t="s">
        <v>47</v>
      </c>
    </row>
    <row r="50" spans="1:29" ht="15" customHeight="1">
      <c r="B50" s="432" t="s">
        <v>168</v>
      </c>
    </row>
    <row r="51" spans="1:29" ht="15" customHeight="1">
      <c r="A51" s="6" t="s">
        <v>28</v>
      </c>
      <c r="S51" s="272" t="s">
        <v>129</v>
      </c>
    </row>
    <row r="52" spans="1:29" ht="15" customHeight="1">
      <c r="A52" s="6" t="s">
        <v>37</v>
      </c>
      <c r="S52" t="s">
        <v>33</v>
      </c>
    </row>
    <row r="53" spans="1:29" ht="15" customHeight="1">
      <c r="B53" t="s">
        <v>38</v>
      </c>
    </row>
    <row r="54" spans="1:29" ht="15" customHeight="1" thickBot="1">
      <c r="A54" t="s">
        <v>169</v>
      </c>
      <c r="S54" s="308" t="s">
        <v>0</v>
      </c>
      <c r="T54" s="308" t="s">
        <v>79</v>
      </c>
      <c r="U54" s="308" t="s">
        <v>119</v>
      </c>
      <c r="V54" s="308" t="s">
        <v>120</v>
      </c>
      <c r="W54" s="308" t="s">
        <v>121</v>
      </c>
      <c r="X54" s="308" t="s">
        <v>122</v>
      </c>
      <c r="Y54" s="308" t="s">
        <v>123</v>
      </c>
      <c r="Z54" s="308" t="s">
        <v>124</v>
      </c>
      <c r="AA54" s="308" t="s">
        <v>125</v>
      </c>
      <c r="AB54" s="308" t="s">
        <v>126</v>
      </c>
      <c r="AC54" s="308" t="s">
        <v>127</v>
      </c>
    </row>
    <row r="55" spans="1:29">
      <c r="A55" s="585" t="s">
        <v>288</v>
      </c>
      <c r="B55" s="558"/>
      <c r="S55" s="283">
        <v>2010</v>
      </c>
      <c r="T55" s="283" t="s">
        <v>128</v>
      </c>
      <c r="U55" s="283">
        <v>0.81459999999999999</v>
      </c>
      <c r="V55" s="283">
        <v>1.26E-2</v>
      </c>
      <c r="W55" s="283">
        <v>0.82930000000000004</v>
      </c>
      <c r="X55" s="283">
        <v>5.8799999999999998E-2</v>
      </c>
      <c r="Y55" s="283">
        <v>-1.4700000000000046E-2</v>
      </c>
      <c r="Z55" s="283">
        <v>-1.7884776242845901E-2</v>
      </c>
      <c r="AA55" s="283">
        <v>4.7767499878809634E-2</v>
      </c>
      <c r="AB55" s="283">
        <v>-0.37441306930907331</v>
      </c>
      <c r="AC55" s="309">
        <v>0.70809702100465599</v>
      </c>
    </row>
    <row r="56" spans="1:29">
      <c r="A56" s="559" t="s">
        <v>289</v>
      </c>
      <c r="B56" s="561"/>
      <c r="S56" s="283">
        <v>2011</v>
      </c>
      <c r="T56" s="283" t="s">
        <v>128</v>
      </c>
      <c r="U56" s="283">
        <v>0.68400000000000005</v>
      </c>
      <c r="V56" s="283">
        <v>1.83E-2</v>
      </c>
      <c r="W56" s="283">
        <v>0.67659999999999998</v>
      </c>
      <c r="X56" s="283">
        <v>2.06E-2</v>
      </c>
      <c r="Y56" s="283">
        <v>7.4000000000000732E-3</v>
      </c>
      <c r="Z56" s="283">
        <v>1.0877661275942474E-2</v>
      </c>
      <c r="AA56" s="283">
        <v>2.6704895785698346E-2</v>
      </c>
      <c r="AB56" s="283">
        <v>0.40732835519125837</v>
      </c>
      <c r="AC56" s="309">
        <v>0.68376683962076212</v>
      </c>
    </row>
    <row r="57" spans="1:29">
      <c r="A57" s="559" t="s">
        <v>80</v>
      </c>
      <c r="B57" s="569">
        <f>AVERAGE(M18:M22,M24:M25)</f>
        <v>0.65051770460822411</v>
      </c>
      <c r="S57" s="283">
        <v>2012</v>
      </c>
      <c r="T57" s="283" t="s">
        <v>128</v>
      </c>
      <c r="U57" s="283">
        <v>0.73</v>
      </c>
      <c r="V57" s="283">
        <v>1.8599999999999998E-2</v>
      </c>
      <c r="W57" s="311">
        <v>0.58250000000000002</v>
      </c>
      <c r="X57" s="283">
        <v>4.4699999999999997E-2</v>
      </c>
      <c r="Y57" s="283">
        <v>0.14749999999999996</v>
      </c>
      <c r="Z57" s="283">
        <v>0.2257153487025812</v>
      </c>
      <c r="AA57" s="283">
        <v>5.3214706111028472E-2</v>
      </c>
      <c r="AB57" s="283">
        <v>4.2415972049463759</v>
      </c>
      <c r="AC57" s="310">
        <v>2.219347308218822E-5</v>
      </c>
    </row>
    <row r="58" spans="1:29">
      <c r="A58" s="559" t="s">
        <v>260</v>
      </c>
      <c r="B58" s="569">
        <f>MIN(M18:M22,M24:M25)</f>
        <v>0.46384789866707449</v>
      </c>
    </row>
    <row r="59" spans="1:29" ht="13.8" thickBot="1">
      <c r="A59" s="563" t="s">
        <v>259</v>
      </c>
      <c r="B59" s="582">
        <f>MAX(M18:M22,M24:M25)</f>
        <v>0.82799145299145305</v>
      </c>
      <c r="F59" t="s">
        <v>279</v>
      </c>
      <c r="I59" t="s">
        <v>257</v>
      </c>
      <c r="S59" s="272" t="s">
        <v>130</v>
      </c>
    </row>
    <row r="60" spans="1:29">
      <c r="A60" s="587" t="s">
        <v>298</v>
      </c>
      <c r="B60" s="286"/>
      <c r="C60" s="286"/>
      <c r="D60" s="286"/>
      <c r="F60" t="s">
        <v>278</v>
      </c>
      <c r="G60" s="382">
        <f>AVERAGE(M21:M25)</f>
        <v>0.49681241529436593</v>
      </c>
      <c r="I60" s="382">
        <f>1-G60</f>
        <v>0.50318758470563407</v>
      </c>
      <c r="J60" s="382">
        <f>AVERAGE(T21:T25)</f>
        <v>0.50318758470563407</v>
      </c>
    </row>
    <row r="61" spans="1:29">
      <c r="A61" s="587" t="s">
        <v>299</v>
      </c>
      <c r="B61" s="286"/>
      <c r="C61" s="286"/>
      <c r="D61" s="286"/>
      <c r="F61" t="s">
        <v>260</v>
      </c>
      <c r="G61" s="382">
        <f>MIN(M21:M25)</f>
        <v>4.2257555103069298E-2</v>
      </c>
      <c r="I61" s="382">
        <f t="shared" ref="I61:I62" si="180">1-G61</f>
        <v>0.95774244489693072</v>
      </c>
      <c r="J61" s="382">
        <f>MIN(T21:T25)</f>
        <v>0.28344227341046524</v>
      </c>
    </row>
    <row r="62" spans="1:29">
      <c r="A62" s="587" t="s">
        <v>300</v>
      </c>
      <c r="B62" s="286"/>
      <c r="C62" s="286"/>
      <c r="D62" s="286"/>
      <c r="F62" t="s">
        <v>259</v>
      </c>
      <c r="G62" s="382">
        <f>MAX(M21:M25)</f>
        <v>0.71655772658953476</v>
      </c>
      <c r="I62" s="382">
        <f t="shared" si="180"/>
        <v>0.28344227341046524</v>
      </c>
      <c r="J62" s="382">
        <f>MAX(T21:T25)</f>
        <v>0.95774244489693072</v>
      </c>
    </row>
    <row r="63" spans="1:29">
      <c r="A63" s="587" t="s">
        <v>301</v>
      </c>
      <c r="B63" s="286"/>
      <c r="C63" s="286"/>
      <c r="D63" s="286"/>
    </row>
    <row r="65" spans="3:21">
      <c r="S65" s="308" t="s">
        <v>115</v>
      </c>
      <c r="T65" s="308" t="s">
        <v>116</v>
      </c>
      <c r="U65" s="308" t="s">
        <v>34</v>
      </c>
    </row>
    <row r="66" spans="3:21" ht="20.399999999999999">
      <c r="R66">
        <v>2013</v>
      </c>
      <c r="S66" s="438" t="s">
        <v>190</v>
      </c>
      <c r="T66" s="438" t="s">
        <v>191</v>
      </c>
      <c r="U66" s="439" t="s">
        <v>192</v>
      </c>
    </row>
    <row r="71" spans="3:21">
      <c r="C71" s="272" t="s">
        <v>255</v>
      </c>
    </row>
    <row r="72" spans="3:21">
      <c r="C72" s="272" t="s">
        <v>250</v>
      </c>
      <c r="E72" s="272" t="s">
        <v>251</v>
      </c>
      <c r="F72" s="272" t="s">
        <v>252</v>
      </c>
      <c r="G72" s="272" t="s">
        <v>253</v>
      </c>
      <c r="H72" s="272" t="s">
        <v>254</v>
      </c>
      <c r="I72" s="272" t="s">
        <v>215</v>
      </c>
    </row>
    <row r="73" spans="3:21">
      <c r="E73">
        <v>42</v>
      </c>
      <c r="F73">
        <v>1118</v>
      </c>
      <c r="G73">
        <f>E73+F73</f>
        <v>1160</v>
      </c>
      <c r="H73">
        <v>67046</v>
      </c>
      <c r="I73" s="455">
        <f>G73/H73</f>
        <v>1.7301554156847539E-2</v>
      </c>
      <c r="S73" t="s">
        <v>286</v>
      </c>
    </row>
    <row r="74" spans="3:21">
      <c r="T74" t="s">
        <v>285</v>
      </c>
    </row>
    <row r="75" spans="3:21">
      <c r="T75" t="s">
        <v>261</v>
      </c>
      <c r="U75" t="s">
        <v>257</v>
      </c>
    </row>
    <row r="76" spans="3:21">
      <c r="S76" t="s">
        <v>278</v>
      </c>
      <c r="T76" s="382">
        <f>AVERAGE(M20:M22,M24:M25)</f>
        <v>0.60234232886346351</v>
      </c>
      <c r="U76" s="382">
        <f>1-T76</f>
        <v>0.39765767113653649</v>
      </c>
    </row>
    <row r="77" spans="3:21">
      <c r="S77" t="s">
        <v>260</v>
      </c>
      <c r="T77" s="382">
        <f>MIN(M20:M22,M24:M25)</f>
        <v>0.46384789866707449</v>
      </c>
      <c r="U77" s="382">
        <f t="shared" ref="U77:U78" si="181">1-T77</f>
        <v>0.53615210133292557</v>
      </c>
    </row>
    <row r="78" spans="3:21">
      <c r="S78" t="s">
        <v>259</v>
      </c>
      <c r="T78" s="382">
        <f>MAX(M20:M22,M24:M25)</f>
        <v>0.71655772658953476</v>
      </c>
      <c r="U78" s="382">
        <f t="shared" si="181"/>
        <v>0.28344227341046524</v>
      </c>
    </row>
    <row r="93" spans="1:26">
      <c r="R93" s="272" t="s">
        <v>370</v>
      </c>
    </row>
    <row r="95" spans="1:26">
      <c r="P95" s="604"/>
      <c r="Q95" s="604"/>
      <c r="R95" s="604"/>
      <c r="S95" s="455"/>
      <c r="T95" s="455"/>
      <c r="U95" s="604"/>
      <c r="V95" s="604"/>
      <c r="W95" s="604"/>
      <c r="X95" s="455"/>
      <c r="Y95" s="455"/>
      <c r="Z95" s="272" t="s">
        <v>373</v>
      </c>
    </row>
    <row r="96" spans="1:26" ht="14.4">
      <c r="A96" s="616" t="s">
        <v>361</v>
      </c>
      <c r="B96" s="616" t="s">
        <v>356</v>
      </c>
      <c r="C96" s="616" t="s">
        <v>333</v>
      </c>
      <c r="D96" s="616" t="s">
        <v>231</v>
      </c>
      <c r="E96" s="616" t="s">
        <v>232</v>
      </c>
      <c r="F96" s="616" t="s">
        <v>309</v>
      </c>
      <c r="G96" s="616" t="s">
        <v>233</v>
      </c>
      <c r="H96" s="616" t="s">
        <v>362</v>
      </c>
      <c r="I96" s="616" t="s">
        <v>234</v>
      </c>
      <c r="J96" s="616" t="s">
        <v>235</v>
      </c>
      <c r="K96" s="616" t="s">
        <v>236</v>
      </c>
      <c r="L96" s="616" t="s">
        <v>363</v>
      </c>
      <c r="M96" s="616" t="s">
        <v>364</v>
      </c>
      <c r="N96" s="616" t="s">
        <v>365</v>
      </c>
      <c r="O96" s="616" t="s">
        <v>366</v>
      </c>
      <c r="P96" s="603" t="s">
        <v>346</v>
      </c>
      <c r="Q96" s="603" t="s">
        <v>347</v>
      </c>
      <c r="R96" s="603" t="s">
        <v>348</v>
      </c>
      <c r="S96" s="603" t="s">
        <v>115</v>
      </c>
      <c r="T96" s="603" t="s">
        <v>237</v>
      </c>
      <c r="U96" s="603" t="s">
        <v>349</v>
      </c>
      <c r="V96" s="603" t="s">
        <v>350</v>
      </c>
      <c r="W96" s="603" t="s">
        <v>238</v>
      </c>
      <c r="X96" s="619" t="s">
        <v>34</v>
      </c>
      <c r="Y96" s="619" t="s">
        <v>371</v>
      </c>
      <c r="Z96" s="619" t="s">
        <v>372</v>
      </c>
    </row>
    <row r="97" spans="1:26" ht="14.4">
      <c r="A97" s="628">
        <v>2010</v>
      </c>
      <c r="B97" s="629" t="s">
        <v>367</v>
      </c>
      <c r="C97" s="629" t="s">
        <v>335</v>
      </c>
      <c r="D97" s="628">
        <v>32</v>
      </c>
      <c r="E97" s="628">
        <v>0</v>
      </c>
      <c r="F97" s="628">
        <v>0</v>
      </c>
      <c r="G97" s="628">
        <v>27</v>
      </c>
      <c r="H97" s="628">
        <v>22</v>
      </c>
      <c r="I97" s="628">
        <v>0</v>
      </c>
      <c r="J97" s="628">
        <v>0</v>
      </c>
      <c r="K97" s="628">
        <v>26</v>
      </c>
      <c r="L97" s="628">
        <v>0</v>
      </c>
      <c r="M97" s="628">
        <v>0</v>
      </c>
      <c r="N97" s="628">
        <v>7</v>
      </c>
      <c r="O97" s="628">
        <v>7</v>
      </c>
      <c r="P97" s="604"/>
      <c r="Q97" s="604"/>
      <c r="R97" s="604"/>
      <c r="S97" s="455">
        <f>G97/D97</f>
        <v>0.84375</v>
      </c>
      <c r="T97" s="455">
        <f>H97/G97</f>
        <v>0.81481481481481477</v>
      </c>
      <c r="U97" s="455">
        <f t="shared" ref="U97" si="182">I97/H97</f>
        <v>0</v>
      </c>
      <c r="V97" s="604"/>
      <c r="W97" s="604"/>
      <c r="X97" s="455">
        <f>K97/D97</f>
        <v>0.8125</v>
      </c>
      <c r="Y97" s="623"/>
      <c r="Z97" s="455">
        <f>O97/K97</f>
        <v>0.26923076923076922</v>
      </c>
    </row>
    <row r="98" spans="1:26" ht="14.4">
      <c r="A98" s="628">
        <v>2011</v>
      </c>
      <c r="B98" s="629" t="s">
        <v>367</v>
      </c>
      <c r="C98" s="629" t="s">
        <v>335</v>
      </c>
      <c r="D98" s="628">
        <v>303</v>
      </c>
      <c r="E98" s="628">
        <v>0</v>
      </c>
      <c r="F98" s="628">
        <v>0</v>
      </c>
      <c r="G98" s="628">
        <v>194</v>
      </c>
      <c r="H98" s="628">
        <v>168</v>
      </c>
      <c r="I98" s="628">
        <v>0</v>
      </c>
      <c r="J98" s="628">
        <v>2</v>
      </c>
      <c r="K98" s="628">
        <v>189</v>
      </c>
      <c r="L98" s="628">
        <v>0</v>
      </c>
      <c r="M98" s="628">
        <v>0</v>
      </c>
      <c r="N98" s="628">
        <v>81</v>
      </c>
      <c r="O98" s="628">
        <v>81</v>
      </c>
      <c r="P98" s="604"/>
      <c r="Q98" s="604"/>
      <c r="R98" s="604"/>
      <c r="S98" s="455">
        <f t="shared" ref="S98:S109" si="183">G98/D98</f>
        <v>0.64026402640264024</v>
      </c>
      <c r="T98" s="455">
        <f t="shared" ref="T98:T109" si="184">H98/G98</f>
        <v>0.865979381443299</v>
      </c>
      <c r="U98" s="455">
        <f t="shared" ref="U98:U109" si="185">I98/H98</f>
        <v>0</v>
      </c>
      <c r="V98" s="604"/>
      <c r="W98" s="604"/>
      <c r="X98" s="455">
        <f t="shared" ref="X98:X109" si="186">K98/D98</f>
        <v>0.62376237623762376</v>
      </c>
      <c r="Y98" s="623"/>
      <c r="Z98" s="455">
        <f t="shared" ref="Z98:Z109" si="187">O98/K98</f>
        <v>0.42857142857142855</v>
      </c>
    </row>
    <row r="99" spans="1:26" ht="14.4">
      <c r="A99" s="628">
        <v>2012</v>
      </c>
      <c r="B99" s="629" t="s">
        <v>367</v>
      </c>
      <c r="C99" s="629" t="s">
        <v>335</v>
      </c>
      <c r="D99" s="628">
        <v>111</v>
      </c>
      <c r="E99" s="628">
        <v>0</v>
      </c>
      <c r="F99" s="628">
        <v>0</v>
      </c>
      <c r="G99" s="628">
        <v>63</v>
      </c>
      <c r="H99" s="628">
        <v>61</v>
      </c>
      <c r="I99" s="628">
        <v>0</v>
      </c>
      <c r="J99" s="628">
        <v>1</v>
      </c>
      <c r="K99" s="628">
        <v>59</v>
      </c>
      <c r="L99" s="628">
        <v>0</v>
      </c>
      <c r="M99" s="628">
        <v>0</v>
      </c>
      <c r="N99" s="628">
        <v>18</v>
      </c>
      <c r="O99" s="628">
        <v>18</v>
      </c>
      <c r="P99" s="604"/>
      <c r="Q99" s="604"/>
      <c r="R99" s="604"/>
      <c r="S99" s="455">
        <f t="shared" si="183"/>
        <v>0.56756756756756754</v>
      </c>
      <c r="T99" s="455">
        <f t="shared" si="184"/>
        <v>0.96825396825396826</v>
      </c>
      <c r="U99" s="455">
        <f t="shared" si="185"/>
        <v>0</v>
      </c>
      <c r="V99" s="604"/>
      <c r="W99" s="604"/>
      <c r="X99" s="455">
        <f t="shared" si="186"/>
        <v>0.53153153153153154</v>
      </c>
      <c r="Y99" s="623"/>
      <c r="Z99" s="455">
        <f t="shared" si="187"/>
        <v>0.30508474576271188</v>
      </c>
    </row>
    <row r="100" spans="1:26" ht="14.4">
      <c r="A100" s="628">
        <v>2013</v>
      </c>
      <c r="B100" s="629" t="s">
        <v>367</v>
      </c>
      <c r="C100" s="629" t="s">
        <v>335</v>
      </c>
      <c r="D100" s="628">
        <v>145</v>
      </c>
      <c r="E100" s="628">
        <v>119</v>
      </c>
      <c r="F100" s="628">
        <v>0</v>
      </c>
      <c r="G100" s="628">
        <v>110</v>
      </c>
      <c r="H100" s="628">
        <v>92</v>
      </c>
      <c r="I100" s="628">
        <v>0</v>
      </c>
      <c r="J100" s="628">
        <v>2</v>
      </c>
      <c r="K100" s="628">
        <v>81</v>
      </c>
      <c r="L100" s="628">
        <v>27</v>
      </c>
      <c r="M100" s="628">
        <v>27</v>
      </c>
      <c r="N100" s="628">
        <v>3</v>
      </c>
      <c r="O100" s="628">
        <v>4</v>
      </c>
      <c r="P100" s="620">
        <f t="shared" ref="P100:P109" si="188">E100/D100</f>
        <v>0.82068965517241377</v>
      </c>
      <c r="Q100" s="620">
        <f t="shared" ref="Q100:Q109" si="189">F100/E100</f>
        <v>0</v>
      </c>
      <c r="R100" s="620" t="e">
        <f t="shared" ref="R100:R109" si="190">G100/F100</f>
        <v>#DIV/0!</v>
      </c>
      <c r="S100" s="455">
        <f t="shared" si="183"/>
        <v>0.75862068965517238</v>
      </c>
      <c r="T100" s="455">
        <f t="shared" si="184"/>
        <v>0.83636363636363631</v>
      </c>
      <c r="U100" s="455">
        <f t="shared" si="185"/>
        <v>0</v>
      </c>
      <c r="V100" s="604"/>
      <c r="W100" s="604"/>
      <c r="X100" s="455">
        <f t="shared" si="186"/>
        <v>0.55862068965517242</v>
      </c>
      <c r="Y100" s="455">
        <f t="shared" ref="Y100:Y109" si="191">L100/K100</f>
        <v>0.33333333333333331</v>
      </c>
      <c r="Z100" s="455">
        <f t="shared" si="187"/>
        <v>4.9382716049382713E-2</v>
      </c>
    </row>
    <row r="101" spans="1:26" ht="14.4">
      <c r="A101" s="628">
        <v>2014</v>
      </c>
      <c r="B101" s="629" t="s">
        <v>367</v>
      </c>
      <c r="C101" s="629" t="s">
        <v>335</v>
      </c>
      <c r="D101" s="628">
        <v>213</v>
      </c>
      <c r="E101" s="628">
        <v>181</v>
      </c>
      <c r="F101" s="628">
        <v>0</v>
      </c>
      <c r="G101" s="628">
        <v>153</v>
      </c>
      <c r="H101" s="628">
        <v>131</v>
      </c>
      <c r="I101" s="628">
        <v>156</v>
      </c>
      <c r="J101" s="628">
        <v>148</v>
      </c>
      <c r="K101" s="628">
        <v>142</v>
      </c>
      <c r="L101" s="628">
        <v>71</v>
      </c>
      <c r="M101" s="628">
        <v>71</v>
      </c>
      <c r="N101" s="628">
        <v>6</v>
      </c>
      <c r="O101" s="628">
        <v>6</v>
      </c>
      <c r="P101" s="620">
        <f t="shared" si="188"/>
        <v>0.84976525821596249</v>
      </c>
      <c r="Q101" s="620">
        <f t="shared" si="189"/>
        <v>0</v>
      </c>
      <c r="R101" s="620" t="e">
        <f t="shared" si="190"/>
        <v>#DIV/0!</v>
      </c>
      <c r="S101" s="455">
        <f t="shared" si="183"/>
        <v>0.71830985915492962</v>
      </c>
      <c r="T101" s="455">
        <f t="shared" si="184"/>
        <v>0.85620915032679734</v>
      </c>
      <c r="U101" s="455">
        <f t="shared" si="185"/>
        <v>1.1908396946564885</v>
      </c>
      <c r="V101" s="455">
        <f t="shared" ref="V101:V109" si="192">J101/I101</f>
        <v>0.94871794871794868</v>
      </c>
      <c r="W101" s="455">
        <f t="shared" ref="W101:W109" si="193">K101/J101</f>
        <v>0.95945945945945943</v>
      </c>
      <c r="X101" s="455">
        <f t="shared" si="186"/>
        <v>0.66666666666666663</v>
      </c>
      <c r="Y101" s="455">
        <f t="shared" si="191"/>
        <v>0.5</v>
      </c>
      <c r="Z101" s="455">
        <f t="shared" si="187"/>
        <v>4.2253521126760563E-2</v>
      </c>
    </row>
    <row r="102" spans="1:26" ht="14.4">
      <c r="A102" s="628">
        <v>2015</v>
      </c>
      <c r="B102" s="629" t="s">
        <v>367</v>
      </c>
      <c r="C102" s="629" t="s">
        <v>335</v>
      </c>
      <c r="D102" s="628">
        <v>317</v>
      </c>
      <c r="E102" s="628">
        <v>203</v>
      </c>
      <c r="F102" s="628">
        <v>0</v>
      </c>
      <c r="G102" s="628">
        <v>78</v>
      </c>
      <c r="H102" s="628">
        <v>55</v>
      </c>
      <c r="I102" s="628">
        <v>48</v>
      </c>
      <c r="J102" s="628">
        <v>32</v>
      </c>
      <c r="K102" s="628">
        <v>27</v>
      </c>
      <c r="L102" s="628">
        <v>5</v>
      </c>
      <c r="M102" s="628">
        <v>5</v>
      </c>
      <c r="N102" s="628">
        <v>0</v>
      </c>
      <c r="O102" s="628">
        <v>0</v>
      </c>
      <c r="P102" s="620">
        <f t="shared" si="188"/>
        <v>0.64037854889589907</v>
      </c>
      <c r="Q102" s="620">
        <f t="shared" si="189"/>
        <v>0</v>
      </c>
      <c r="R102" s="620" t="e">
        <f t="shared" si="190"/>
        <v>#DIV/0!</v>
      </c>
      <c r="S102" s="455">
        <f t="shared" si="183"/>
        <v>0.24605678233438485</v>
      </c>
      <c r="T102" s="455">
        <f t="shared" si="184"/>
        <v>0.70512820512820518</v>
      </c>
      <c r="U102" s="455">
        <f t="shared" si="185"/>
        <v>0.87272727272727268</v>
      </c>
      <c r="V102" s="455">
        <f t="shared" si="192"/>
        <v>0.66666666666666663</v>
      </c>
      <c r="W102" s="455">
        <f t="shared" si="193"/>
        <v>0.84375</v>
      </c>
      <c r="X102" s="455">
        <f t="shared" si="186"/>
        <v>8.5173501577287064E-2</v>
      </c>
      <c r="Y102" s="455">
        <f t="shared" si="191"/>
        <v>0.18518518518518517</v>
      </c>
      <c r="Z102" s="455">
        <f t="shared" si="187"/>
        <v>0</v>
      </c>
    </row>
    <row r="103" spans="1:26" ht="14.4">
      <c r="A103" s="628">
        <v>2016</v>
      </c>
      <c r="B103" s="629" t="s">
        <v>367</v>
      </c>
      <c r="C103" s="629" t="s">
        <v>335</v>
      </c>
      <c r="D103" s="628">
        <v>131</v>
      </c>
      <c r="E103" s="628">
        <v>111</v>
      </c>
      <c r="F103" s="628">
        <v>0</v>
      </c>
      <c r="G103" s="628">
        <v>105</v>
      </c>
      <c r="H103" s="628">
        <v>99</v>
      </c>
      <c r="I103" s="628">
        <v>101</v>
      </c>
      <c r="J103" s="628">
        <v>102</v>
      </c>
      <c r="K103" s="628">
        <v>101</v>
      </c>
      <c r="L103" s="628">
        <v>61</v>
      </c>
      <c r="M103" s="628">
        <v>61</v>
      </c>
      <c r="N103" s="628">
        <v>3</v>
      </c>
      <c r="O103" s="628">
        <v>3</v>
      </c>
      <c r="P103" s="620">
        <f t="shared" si="188"/>
        <v>0.84732824427480913</v>
      </c>
      <c r="Q103" s="620">
        <f t="shared" si="189"/>
        <v>0</v>
      </c>
      <c r="R103" s="620" t="e">
        <f t="shared" si="190"/>
        <v>#DIV/0!</v>
      </c>
      <c r="S103" s="455">
        <f t="shared" si="183"/>
        <v>0.80152671755725191</v>
      </c>
      <c r="T103" s="455">
        <f t="shared" si="184"/>
        <v>0.94285714285714284</v>
      </c>
      <c r="U103" s="455">
        <f t="shared" si="185"/>
        <v>1.0202020202020201</v>
      </c>
      <c r="V103" s="455">
        <f t="shared" si="192"/>
        <v>1.0099009900990099</v>
      </c>
      <c r="W103" s="455">
        <f t="shared" si="193"/>
        <v>0.99019607843137258</v>
      </c>
      <c r="X103" s="455">
        <f t="shared" si="186"/>
        <v>0.77099236641221369</v>
      </c>
      <c r="Y103" s="455">
        <f t="shared" si="191"/>
        <v>0.60396039603960394</v>
      </c>
      <c r="Z103" s="455">
        <f t="shared" si="187"/>
        <v>2.9702970297029702E-2</v>
      </c>
    </row>
    <row r="104" spans="1:26" ht="14.4">
      <c r="A104" s="628">
        <v>2017</v>
      </c>
      <c r="B104" s="629" t="s">
        <v>367</v>
      </c>
      <c r="C104" s="629" t="s">
        <v>335</v>
      </c>
      <c r="D104" s="628">
        <v>66</v>
      </c>
      <c r="E104" s="628">
        <v>49</v>
      </c>
      <c r="F104" s="628">
        <v>0</v>
      </c>
      <c r="G104" s="628">
        <v>41</v>
      </c>
      <c r="H104" s="628">
        <v>39</v>
      </c>
      <c r="I104" s="628">
        <v>41</v>
      </c>
      <c r="J104" s="628">
        <v>39</v>
      </c>
      <c r="K104" s="628">
        <v>37</v>
      </c>
      <c r="L104" s="628">
        <v>17</v>
      </c>
      <c r="M104" s="628">
        <v>17</v>
      </c>
      <c r="N104" s="628">
        <v>7</v>
      </c>
      <c r="O104" s="628">
        <v>7</v>
      </c>
      <c r="P104" s="620">
        <f t="shared" si="188"/>
        <v>0.74242424242424243</v>
      </c>
      <c r="Q104" s="620">
        <f t="shared" si="189"/>
        <v>0</v>
      </c>
      <c r="R104" s="620" t="e">
        <f t="shared" si="190"/>
        <v>#DIV/0!</v>
      </c>
      <c r="S104" s="455">
        <f t="shared" si="183"/>
        <v>0.62121212121212122</v>
      </c>
      <c r="T104" s="455">
        <f t="shared" si="184"/>
        <v>0.95121951219512191</v>
      </c>
      <c r="U104" s="455">
        <f t="shared" si="185"/>
        <v>1.0512820512820513</v>
      </c>
      <c r="V104" s="455">
        <f t="shared" si="192"/>
        <v>0.95121951219512191</v>
      </c>
      <c r="W104" s="455">
        <f t="shared" si="193"/>
        <v>0.94871794871794868</v>
      </c>
      <c r="X104" s="455">
        <f t="shared" si="186"/>
        <v>0.56060606060606055</v>
      </c>
      <c r="Y104" s="455">
        <f t="shared" si="191"/>
        <v>0.45945945945945948</v>
      </c>
      <c r="Z104" s="455">
        <f t="shared" si="187"/>
        <v>0.1891891891891892</v>
      </c>
    </row>
    <row r="105" spans="1:26" ht="14.4">
      <c r="A105" s="628">
        <v>2018</v>
      </c>
      <c r="B105" s="629" t="s">
        <v>367</v>
      </c>
      <c r="C105" s="629"/>
      <c r="D105" s="628">
        <v>7</v>
      </c>
      <c r="E105" s="628">
        <v>6</v>
      </c>
      <c r="F105" s="628">
        <v>5</v>
      </c>
      <c r="G105" s="628">
        <v>4</v>
      </c>
      <c r="H105" s="628">
        <v>5</v>
      </c>
      <c r="I105" s="628">
        <v>5</v>
      </c>
      <c r="J105" s="628">
        <v>5</v>
      </c>
      <c r="K105" s="628">
        <v>5</v>
      </c>
      <c r="L105" s="628">
        <v>1</v>
      </c>
      <c r="M105" s="628">
        <v>1</v>
      </c>
      <c r="N105" s="628">
        <v>0</v>
      </c>
      <c r="O105" s="628">
        <v>3</v>
      </c>
      <c r="P105" s="620">
        <f t="shared" si="188"/>
        <v>0.8571428571428571</v>
      </c>
      <c r="Q105" s="620">
        <f t="shared" si="189"/>
        <v>0.83333333333333337</v>
      </c>
      <c r="R105" s="620">
        <f t="shared" si="190"/>
        <v>0.8</v>
      </c>
      <c r="S105" s="455">
        <f t="shared" si="183"/>
        <v>0.5714285714285714</v>
      </c>
      <c r="T105" s="455">
        <f t="shared" si="184"/>
        <v>1.25</v>
      </c>
      <c r="U105" s="455">
        <f t="shared" si="185"/>
        <v>1</v>
      </c>
      <c r="V105" s="455">
        <f t="shared" si="192"/>
        <v>1</v>
      </c>
      <c r="W105" s="455">
        <f t="shared" si="193"/>
        <v>1</v>
      </c>
      <c r="X105" s="455">
        <f t="shared" si="186"/>
        <v>0.7142857142857143</v>
      </c>
      <c r="Y105" s="455">
        <f t="shared" si="191"/>
        <v>0.2</v>
      </c>
      <c r="Z105" s="455">
        <f t="shared" si="187"/>
        <v>0.6</v>
      </c>
    </row>
    <row r="106" spans="1:26" ht="14.4">
      <c r="A106" s="628">
        <v>2019</v>
      </c>
      <c r="B106" s="629" t="s">
        <v>367</v>
      </c>
      <c r="C106" s="629"/>
      <c r="D106" s="628">
        <v>2</v>
      </c>
      <c r="E106" s="628">
        <v>2</v>
      </c>
      <c r="F106" s="628">
        <v>2</v>
      </c>
      <c r="G106" s="628">
        <v>1</v>
      </c>
      <c r="H106" s="628">
        <v>2</v>
      </c>
      <c r="I106" s="628">
        <v>2</v>
      </c>
      <c r="J106" s="628">
        <v>2</v>
      </c>
      <c r="K106" s="628">
        <v>2</v>
      </c>
      <c r="L106" s="628">
        <v>1</v>
      </c>
      <c r="M106" s="628">
        <v>1</v>
      </c>
      <c r="N106" s="628">
        <v>0</v>
      </c>
      <c r="O106" s="628">
        <v>1</v>
      </c>
      <c r="P106" s="620">
        <f t="shared" si="188"/>
        <v>1</v>
      </c>
      <c r="Q106" s="620">
        <f t="shared" si="189"/>
        <v>1</v>
      </c>
      <c r="R106" s="620">
        <f t="shared" si="190"/>
        <v>0.5</v>
      </c>
      <c r="S106" s="455">
        <f t="shared" si="183"/>
        <v>0.5</v>
      </c>
      <c r="T106" s="455">
        <f t="shared" si="184"/>
        <v>2</v>
      </c>
      <c r="U106" s="455">
        <f t="shared" si="185"/>
        <v>1</v>
      </c>
      <c r="V106" s="455">
        <f t="shared" si="192"/>
        <v>1</v>
      </c>
      <c r="W106" s="455">
        <f t="shared" si="193"/>
        <v>1</v>
      </c>
      <c r="X106" s="455">
        <f t="shared" si="186"/>
        <v>1</v>
      </c>
      <c r="Y106" s="455">
        <f t="shared" si="191"/>
        <v>0.5</v>
      </c>
      <c r="Z106" s="455">
        <f t="shared" si="187"/>
        <v>0.5</v>
      </c>
    </row>
    <row r="107" spans="1:26" ht="14.4">
      <c r="A107" s="628">
        <v>2020</v>
      </c>
      <c r="B107" s="629" t="s">
        <v>367</v>
      </c>
      <c r="C107" s="629"/>
      <c r="D107" s="628">
        <v>4</v>
      </c>
      <c r="E107" s="628">
        <v>3</v>
      </c>
      <c r="F107" s="628">
        <v>3</v>
      </c>
      <c r="G107" s="628">
        <v>3</v>
      </c>
      <c r="H107" s="628">
        <v>3</v>
      </c>
      <c r="I107" s="628">
        <v>3</v>
      </c>
      <c r="J107" s="628">
        <v>3</v>
      </c>
      <c r="K107" s="628">
        <v>3</v>
      </c>
      <c r="L107" s="628">
        <v>0</v>
      </c>
      <c r="M107" s="628">
        <v>0</v>
      </c>
      <c r="N107" s="628">
        <v>0</v>
      </c>
      <c r="O107" s="628">
        <v>0</v>
      </c>
      <c r="P107" s="620">
        <f t="shared" si="188"/>
        <v>0.75</v>
      </c>
      <c r="Q107" s="620">
        <f t="shared" si="189"/>
        <v>1</v>
      </c>
      <c r="R107" s="620">
        <f t="shared" si="190"/>
        <v>1</v>
      </c>
      <c r="S107" s="455">
        <f t="shared" si="183"/>
        <v>0.75</v>
      </c>
      <c r="T107" s="455">
        <f t="shared" si="184"/>
        <v>1</v>
      </c>
      <c r="U107" s="455">
        <f t="shared" si="185"/>
        <v>1</v>
      </c>
      <c r="V107" s="455">
        <f t="shared" si="192"/>
        <v>1</v>
      </c>
      <c r="W107" s="455">
        <f t="shared" si="193"/>
        <v>1</v>
      </c>
      <c r="X107" s="455">
        <f t="shared" si="186"/>
        <v>0.75</v>
      </c>
      <c r="Y107" s="455">
        <f t="shared" si="191"/>
        <v>0</v>
      </c>
      <c r="Z107" s="455">
        <f t="shared" si="187"/>
        <v>0</v>
      </c>
    </row>
    <row r="108" spans="1:26" ht="14.4">
      <c r="A108" s="628">
        <v>2021</v>
      </c>
      <c r="B108" s="629" t="s">
        <v>367</v>
      </c>
      <c r="C108" s="629"/>
      <c r="D108" s="628">
        <v>49</v>
      </c>
      <c r="E108" s="628">
        <v>37</v>
      </c>
      <c r="F108" s="628">
        <v>32</v>
      </c>
      <c r="G108" s="628">
        <v>30</v>
      </c>
      <c r="H108" s="628">
        <v>25</v>
      </c>
      <c r="I108" s="628">
        <v>18</v>
      </c>
      <c r="J108" s="628">
        <v>18</v>
      </c>
      <c r="K108" s="628">
        <v>15</v>
      </c>
      <c r="L108" s="628">
        <v>0</v>
      </c>
      <c r="M108" s="628">
        <v>0</v>
      </c>
      <c r="N108" s="628">
        <v>0</v>
      </c>
      <c r="O108" s="628">
        <v>0</v>
      </c>
      <c r="P108" s="620">
        <f t="shared" si="188"/>
        <v>0.75510204081632648</v>
      </c>
      <c r="Q108" s="620">
        <f t="shared" si="189"/>
        <v>0.86486486486486491</v>
      </c>
      <c r="R108" s="620">
        <f t="shared" si="190"/>
        <v>0.9375</v>
      </c>
      <c r="S108" s="455">
        <f t="shared" si="183"/>
        <v>0.61224489795918369</v>
      </c>
      <c r="T108" s="455">
        <f t="shared" si="184"/>
        <v>0.83333333333333337</v>
      </c>
      <c r="U108" s="455">
        <f t="shared" si="185"/>
        <v>0.72</v>
      </c>
      <c r="V108" s="455">
        <f t="shared" si="192"/>
        <v>1</v>
      </c>
      <c r="W108" s="455">
        <f t="shared" si="193"/>
        <v>0.83333333333333337</v>
      </c>
      <c r="X108" s="455">
        <f t="shared" si="186"/>
        <v>0.30612244897959184</v>
      </c>
      <c r="Y108" s="455">
        <f t="shared" si="191"/>
        <v>0</v>
      </c>
      <c r="Z108" s="455">
        <f t="shared" si="187"/>
        <v>0</v>
      </c>
    </row>
    <row r="109" spans="1:26" ht="14.4">
      <c r="A109" s="628">
        <v>2022</v>
      </c>
      <c r="B109" s="629" t="s">
        <v>367</v>
      </c>
      <c r="C109" s="618"/>
      <c r="D109" s="628">
        <v>146</v>
      </c>
      <c r="E109" s="628">
        <v>132</v>
      </c>
      <c r="F109" s="628">
        <v>123</v>
      </c>
      <c r="G109" s="628">
        <v>119</v>
      </c>
      <c r="H109" s="628">
        <v>91</v>
      </c>
      <c r="I109" s="628">
        <v>95</v>
      </c>
      <c r="J109" s="628">
        <v>97</v>
      </c>
      <c r="K109" s="628">
        <v>96</v>
      </c>
      <c r="L109" s="628">
        <v>39</v>
      </c>
      <c r="M109" s="628">
        <v>39</v>
      </c>
      <c r="N109" s="628">
        <v>0</v>
      </c>
      <c r="O109" s="628">
        <v>0</v>
      </c>
      <c r="P109" s="620">
        <f t="shared" si="188"/>
        <v>0.90410958904109584</v>
      </c>
      <c r="Q109" s="620">
        <f t="shared" si="189"/>
        <v>0.93181818181818177</v>
      </c>
      <c r="R109" s="620">
        <f t="shared" si="190"/>
        <v>0.96747967479674801</v>
      </c>
      <c r="S109" s="455">
        <f t="shared" si="183"/>
        <v>0.81506849315068497</v>
      </c>
      <c r="T109" s="455">
        <f t="shared" si="184"/>
        <v>0.76470588235294112</v>
      </c>
      <c r="U109" s="455">
        <f t="shared" si="185"/>
        <v>1.043956043956044</v>
      </c>
      <c r="V109" s="455">
        <f t="shared" si="192"/>
        <v>1.0210526315789474</v>
      </c>
      <c r="W109" s="455">
        <f t="shared" si="193"/>
        <v>0.98969072164948457</v>
      </c>
      <c r="X109" s="455">
        <f t="shared" si="186"/>
        <v>0.65753424657534243</v>
      </c>
      <c r="Y109" s="455">
        <f t="shared" si="191"/>
        <v>0.40625</v>
      </c>
      <c r="Z109" s="455">
        <f t="shared" si="187"/>
        <v>0</v>
      </c>
    </row>
    <row r="110" spans="1:26" ht="14.4">
      <c r="A110" s="617"/>
      <c r="B110" s="618"/>
      <c r="D110" s="617"/>
      <c r="E110" s="617"/>
      <c r="F110" s="617"/>
      <c r="G110" s="617"/>
      <c r="H110" s="617"/>
      <c r="I110" s="617"/>
      <c r="J110" s="617"/>
      <c r="K110" s="617"/>
      <c r="L110" s="617"/>
      <c r="M110" s="617"/>
      <c r="N110" s="617"/>
      <c r="O110" s="617"/>
    </row>
    <row r="111" spans="1:26" ht="14.4">
      <c r="A111" s="617"/>
      <c r="B111" s="618"/>
      <c r="C111" s="618"/>
      <c r="D111" s="617"/>
      <c r="E111" s="617"/>
      <c r="F111" s="617"/>
      <c r="G111" s="617"/>
      <c r="H111" s="617"/>
      <c r="I111" s="617"/>
      <c r="J111" s="617"/>
      <c r="K111" s="617"/>
      <c r="L111" s="617"/>
      <c r="M111" s="617"/>
      <c r="N111" s="617"/>
      <c r="O111" s="617"/>
    </row>
    <row r="112" spans="1:26" ht="14.4">
      <c r="A112" s="617"/>
      <c r="B112" s="618"/>
      <c r="C112" s="618"/>
      <c r="D112" s="617"/>
      <c r="E112" s="617"/>
      <c r="F112" s="617"/>
      <c r="G112" s="617"/>
      <c r="H112" s="617"/>
      <c r="I112" s="617"/>
      <c r="J112" s="617"/>
      <c r="K112" s="617"/>
      <c r="L112" s="617"/>
      <c r="M112" s="617"/>
      <c r="N112" s="617"/>
      <c r="O112" s="617"/>
    </row>
    <row r="113" spans="1:26" ht="14.4">
      <c r="A113" s="617"/>
      <c r="B113" s="618"/>
      <c r="C113" s="618"/>
      <c r="D113" s="617"/>
      <c r="E113" s="617"/>
      <c r="F113" s="617"/>
      <c r="G113" s="617"/>
      <c r="H113" s="617"/>
      <c r="I113" s="617"/>
      <c r="J113" s="617"/>
      <c r="K113" s="617"/>
      <c r="L113" s="617"/>
      <c r="M113" s="617"/>
      <c r="N113" s="617"/>
      <c r="O113" s="617"/>
    </row>
    <row r="114" spans="1:26" ht="14.4">
      <c r="A114" s="617"/>
      <c r="B114" s="618"/>
      <c r="C114" s="618"/>
      <c r="D114" s="617"/>
      <c r="E114" s="617"/>
      <c r="F114" s="617"/>
      <c r="G114" s="617"/>
      <c r="H114" s="617"/>
      <c r="I114" s="617"/>
      <c r="J114" s="617"/>
      <c r="K114" s="617"/>
      <c r="L114" s="617"/>
      <c r="M114" s="617"/>
      <c r="N114" s="617"/>
      <c r="O114" s="617"/>
      <c r="P114" s="604"/>
      <c r="Q114" s="604"/>
      <c r="R114" s="604"/>
      <c r="S114" s="455"/>
      <c r="T114" s="455"/>
      <c r="U114" s="604"/>
      <c r="V114" s="604"/>
      <c r="W114" s="604"/>
      <c r="X114" s="455"/>
      <c r="Y114" s="455"/>
      <c r="Z114" s="272" t="s">
        <v>373</v>
      </c>
    </row>
    <row r="115" spans="1:26" ht="14.4">
      <c r="A115" s="688" t="s">
        <v>374</v>
      </c>
      <c r="B115" s="689"/>
      <c r="C115" s="690"/>
      <c r="D115" s="617"/>
      <c r="E115" s="617"/>
      <c r="F115" s="617"/>
      <c r="G115" s="617"/>
      <c r="H115" s="617"/>
      <c r="I115" s="617"/>
      <c r="J115" s="617"/>
      <c r="K115" s="617"/>
      <c r="L115" s="617"/>
      <c r="M115" s="617"/>
      <c r="N115" s="617"/>
      <c r="O115" s="617"/>
      <c r="P115" s="603" t="s">
        <v>346</v>
      </c>
      <c r="Q115" s="603" t="s">
        <v>347</v>
      </c>
      <c r="R115" s="603" t="s">
        <v>348</v>
      </c>
      <c r="S115" s="603" t="s">
        <v>115</v>
      </c>
      <c r="T115" s="603" t="s">
        <v>237</v>
      </c>
      <c r="U115" s="603" t="s">
        <v>349</v>
      </c>
      <c r="V115" s="603" t="s">
        <v>350</v>
      </c>
      <c r="W115" s="603" t="s">
        <v>238</v>
      </c>
      <c r="X115" s="619" t="s">
        <v>34</v>
      </c>
      <c r="Y115" s="619" t="s">
        <v>371</v>
      </c>
      <c r="Z115" s="619" t="s">
        <v>372</v>
      </c>
    </row>
    <row r="116" spans="1:26" ht="14.4">
      <c r="A116" s="628">
        <v>2010</v>
      </c>
      <c r="B116" s="629" t="s">
        <v>367</v>
      </c>
      <c r="C116" s="629" t="s">
        <v>328</v>
      </c>
      <c r="D116" s="628">
        <v>8</v>
      </c>
      <c r="E116" s="628">
        <v>0</v>
      </c>
      <c r="F116" s="628">
        <v>0</v>
      </c>
      <c r="G116" s="628">
        <v>7</v>
      </c>
      <c r="H116" s="628">
        <v>6</v>
      </c>
      <c r="I116" s="628">
        <v>0</v>
      </c>
      <c r="J116" s="628">
        <v>0</v>
      </c>
      <c r="K116" s="628">
        <v>5</v>
      </c>
      <c r="L116" s="628">
        <v>0</v>
      </c>
      <c r="M116" s="628">
        <v>0</v>
      </c>
      <c r="N116" s="628">
        <v>0</v>
      </c>
      <c r="O116" s="628">
        <v>0</v>
      </c>
      <c r="P116" s="604"/>
      <c r="Q116" s="604"/>
      <c r="R116" s="604"/>
      <c r="S116" s="455">
        <f>G116/D116</f>
        <v>0.875</v>
      </c>
      <c r="T116" s="455">
        <f>H116/G116</f>
        <v>0.8571428571428571</v>
      </c>
      <c r="U116" s="455">
        <f t="shared" ref="U116:U127" si="194">I116/H116</f>
        <v>0</v>
      </c>
      <c r="V116" s="604"/>
      <c r="W116" s="604"/>
      <c r="X116" s="455">
        <f>K116/D116</f>
        <v>0.625</v>
      </c>
      <c r="Y116" s="623"/>
      <c r="Z116" s="455">
        <f>O116/K116</f>
        <v>0</v>
      </c>
    </row>
    <row r="117" spans="1:26" ht="14.4">
      <c r="A117" s="628">
        <v>2011</v>
      </c>
      <c r="B117" s="629" t="s">
        <v>367</v>
      </c>
      <c r="C117" s="629" t="s">
        <v>328</v>
      </c>
      <c r="D117" s="628">
        <v>209</v>
      </c>
      <c r="E117" s="628">
        <v>0</v>
      </c>
      <c r="F117" s="628">
        <v>0</v>
      </c>
      <c r="G117" s="628">
        <v>144</v>
      </c>
      <c r="H117" s="628">
        <v>132</v>
      </c>
      <c r="I117" s="628">
        <v>1</v>
      </c>
      <c r="J117" s="628">
        <v>3</v>
      </c>
      <c r="K117" s="628">
        <v>137</v>
      </c>
      <c r="L117" s="628">
        <v>0</v>
      </c>
      <c r="M117" s="628">
        <v>0</v>
      </c>
      <c r="N117" s="628">
        <v>67</v>
      </c>
      <c r="O117" s="628">
        <v>67</v>
      </c>
      <c r="P117" s="604"/>
      <c r="Q117" s="604"/>
      <c r="R117" s="604"/>
      <c r="S117" s="455">
        <f t="shared" ref="S117:S127" si="195">G117/D117</f>
        <v>0.68899521531100483</v>
      </c>
      <c r="T117" s="455">
        <f t="shared" ref="T117:T127" si="196">H117/G117</f>
        <v>0.91666666666666663</v>
      </c>
      <c r="U117" s="455">
        <f t="shared" si="194"/>
        <v>7.575757575757576E-3</v>
      </c>
      <c r="V117" s="604"/>
      <c r="W117" s="604"/>
      <c r="X117" s="455">
        <f t="shared" ref="X117:X127" si="197">K117/D117</f>
        <v>0.65550239234449759</v>
      </c>
      <c r="Y117" s="623"/>
      <c r="Z117" s="455">
        <f t="shared" ref="Z117:Z127" si="198">O117/K117</f>
        <v>0.48905109489051096</v>
      </c>
    </row>
    <row r="118" spans="1:26" ht="14.4">
      <c r="A118" s="628">
        <v>2012</v>
      </c>
      <c r="B118" s="629" t="s">
        <v>367</v>
      </c>
      <c r="C118" s="629" t="s">
        <v>328</v>
      </c>
      <c r="D118" s="628">
        <v>11</v>
      </c>
      <c r="E118" s="628">
        <v>0</v>
      </c>
      <c r="F118" s="628">
        <v>0</v>
      </c>
      <c r="G118" s="628">
        <v>6</v>
      </c>
      <c r="H118" s="628">
        <v>5</v>
      </c>
      <c r="I118" s="628">
        <v>0</v>
      </c>
      <c r="J118" s="628">
        <v>0</v>
      </c>
      <c r="K118" s="628">
        <v>4</v>
      </c>
      <c r="L118" s="628">
        <v>0</v>
      </c>
      <c r="M118" s="628">
        <v>0</v>
      </c>
      <c r="N118" s="628">
        <v>2</v>
      </c>
      <c r="O118" s="628">
        <v>2</v>
      </c>
      <c r="P118" s="604"/>
      <c r="Q118" s="604"/>
      <c r="R118" s="604"/>
      <c r="S118" s="455">
        <f t="shared" si="195"/>
        <v>0.54545454545454541</v>
      </c>
      <c r="T118" s="455">
        <f t="shared" si="196"/>
        <v>0.83333333333333337</v>
      </c>
      <c r="U118" s="455">
        <f t="shared" si="194"/>
        <v>0</v>
      </c>
      <c r="V118" s="604"/>
      <c r="W118" s="604"/>
      <c r="X118" s="455">
        <f t="shared" si="197"/>
        <v>0.36363636363636365</v>
      </c>
      <c r="Y118" s="623"/>
      <c r="Z118" s="455">
        <f t="shared" si="198"/>
        <v>0.5</v>
      </c>
    </row>
    <row r="119" spans="1:26" ht="14.4">
      <c r="A119" s="628">
        <v>2013</v>
      </c>
      <c r="B119" s="629" t="s">
        <v>367</v>
      </c>
      <c r="C119" s="629" t="s">
        <v>328</v>
      </c>
      <c r="D119" s="628">
        <v>59</v>
      </c>
      <c r="E119" s="628">
        <v>49</v>
      </c>
      <c r="F119" s="628">
        <v>0</v>
      </c>
      <c r="G119" s="628">
        <v>27</v>
      </c>
      <c r="H119" s="628">
        <v>15</v>
      </c>
      <c r="I119" s="628">
        <v>1</v>
      </c>
      <c r="J119" s="628">
        <v>0</v>
      </c>
      <c r="K119" s="628">
        <v>10</v>
      </c>
      <c r="L119" s="628">
        <v>3</v>
      </c>
      <c r="M119" s="628">
        <v>3</v>
      </c>
      <c r="N119" s="628">
        <v>0</v>
      </c>
      <c r="O119" s="628">
        <v>0</v>
      </c>
      <c r="P119" s="620">
        <f t="shared" ref="P119:P127" si="199">E119/D119</f>
        <v>0.83050847457627119</v>
      </c>
      <c r="Q119" s="620">
        <f t="shared" ref="Q119:Q127" si="200">F119/E119</f>
        <v>0</v>
      </c>
      <c r="R119" s="620" t="e">
        <f t="shared" ref="R119:R127" si="201">G119/F119</f>
        <v>#DIV/0!</v>
      </c>
      <c r="S119" s="455">
        <f t="shared" si="195"/>
        <v>0.4576271186440678</v>
      </c>
      <c r="T119" s="455">
        <f t="shared" si="196"/>
        <v>0.55555555555555558</v>
      </c>
      <c r="U119" s="455">
        <f t="shared" si="194"/>
        <v>6.6666666666666666E-2</v>
      </c>
      <c r="V119" s="604"/>
      <c r="W119" s="604"/>
      <c r="X119" s="455">
        <f t="shared" si="197"/>
        <v>0.16949152542372881</v>
      </c>
      <c r="Y119" s="455">
        <f t="shared" ref="Y119:Y127" si="202">L119/K119</f>
        <v>0.3</v>
      </c>
      <c r="Z119" s="455">
        <f t="shared" si="198"/>
        <v>0</v>
      </c>
    </row>
    <row r="120" spans="1:26" ht="14.4">
      <c r="A120" s="628">
        <v>2014</v>
      </c>
      <c r="B120" s="629" t="s">
        <v>367</v>
      </c>
      <c r="C120" s="629" t="s">
        <v>328</v>
      </c>
      <c r="D120" s="628">
        <v>129</v>
      </c>
      <c r="E120" s="628">
        <v>104</v>
      </c>
      <c r="F120" s="628">
        <v>0</v>
      </c>
      <c r="G120" s="628">
        <v>56</v>
      </c>
      <c r="H120" s="628">
        <v>52</v>
      </c>
      <c r="I120" s="628">
        <v>53</v>
      </c>
      <c r="J120" s="628">
        <v>53</v>
      </c>
      <c r="K120" s="628">
        <v>53</v>
      </c>
      <c r="L120" s="628">
        <v>32</v>
      </c>
      <c r="M120" s="628">
        <v>32</v>
      </c>
      <c r="N120" s="628">
        <v>3</v>
      </c>
      <c r="O120" s="628">
        <v>3</v>
      </c>
      <c r="P120" s="620">
        <f t="shared" si="199"/>
        <v>0.80620155038759689</v>
      </c>
      <c r="Q120" s="620">
        <f t="shared" si="200"/>
        <v>0</v>
      </c>
      <c r="R120" s="620" t="e">
        <f t="shared" si="201"/>
        <v>#DIV/0!</v>
      </c>
      <c r="S120" s="455">
        <f t="shared" si="195"/>
        <v>0.43410852713178294</v>
      </c>
      <c r="T120" s="455">
        <f t="shared" si="196"/>
        <v>0.9285714285714286</v>
      </c>
      <c r="U120" s="455">
        <f t="shared" si="194"/>
        <v>1.0192307692307692</v>
      </c>
      <c r="V120" s="455">
        <f t="shared" ref="V120:V127" si="203">J120/I120</f>
        <v>1</v>
      </c>
      <c r="W120" s="455">
        <f t="shared" ref="W120:W127" si="204">K120/J120</f>
        <v>1</v>
      </c>
      <c r="X120" s="455">
        <f t="shared" si="197"/>
        <v>0.41085271317829458</v>
      </c>
      <c r="Y120" s="455">
        <f t="shared" si="202"/>
        <v>0.60377358490566035</v>
      </c>
      <c r="Z120" s="455">
        <f t="shared" si="198"/>
        <v>5.6603773584905662E-2</v>
      </c>
    </row>
    <row r="121" spans="1:26" ht="14.4">
      <c r="A121" s="628">
        <v>2015</v>
      </c>
      <c r="B121" s="629" t="s">
        <v>367</v>
      </c>
      <c r="C121" s="629" t="s">
        <v>328</v>
      </c>
      <c r="D121" s="628">
        <v>359</v>
      </c>
      <c r="E121" s="628">
        <v>217</v>
      </c>
      <c r="F121" s="628">
        <v>0</v>
      </c>
      <c r="G121" s="628">
        <v>20</v>
      </c>
      <c r="H121" s="628">
        <v>5</v>
      </c>
      <c r="I121" s="628">
        <v>2</v>
      </c>
      <c r="J121" s="628">
        <v>0</v>
      </c>
      <c r="K121" s="628">
        <v>0</v>
      </c>
      <c r="L121" s="628">
        <v>0</v>
      </c>
      <c r="M121" s="628">
        <v>0</v>
      </c>
      <c r="N121" s="628">
        <v>0</v>
      </c>
      <c r="O121" s="628">
        <v>0</v>
      </c>
      <c r="P121" s="620">
        <f t="shared" si="199"/>
        <v>0.6044568245125348</v>
      </c>
      <c r="Q121" s="620">
        <f t="shared" si="200"/>
        <v>0</v>
      </c>
      <c r="R121" s="620" t="e">
        <f t="shared" si="201"/>
        <v>#DIV/0!</v>
      </c>
      <c r="S121" s="455">
        <f t="shared" si="195"/>
        <v>5.5710306406685235E-2</v>
      </c>
      <c r="T121" s="455">
        <f t="shared" si="196"/>
        <v>0.25</v>
      </c>
      <c r="U121" s="455">
        <f t="shared" si="194"/>
        <v>0.4</v>
      </c>
      <c r="V121" s="455">
        <f t="shared" si="203"/>
        <v>0</v>
      </c>
      <c r="W121" s="455" t="e">
        <f t="shared" si="204"/>
        <v>#DIV/0!</v>
      </c>
      <c r="X121" s="455">
        <f t="shared" si="197"/>
        <v>0</v>
      </c>
      <c r="Y121" s="455" t="e">
        <f t="shared" si="202"/>
        <v>#DIV/0!</v>
      </c>
      <c r="Z121" s="455" t="e">
        <f t="shared" si="198"/>
        <v>#DIV/0!</v>
      </c>
    </row>
    <row r="122" spans="1:26" ht="14.4">
      <c r="A122" s="628">
        <v>2016</v>
      </c>
      <c r="B122" s="629" t="s">
        <v>367</v>
      </c>
      <c r="C122" s="629" t="s">
        <v>328</v>
      </c>
      <c r="D122" s="628">
        <v>51</v>
      </c>
      <c r="E122" s="628">
        <v>45</v>
      </c>
      <c r="F122" s="628">
        <v>0</v>
      </c>
      <c r="G122" s="628">
        <v>27</v>
      </c>
      <c r="H122" s="628">
        <v>25</v>
      </c>
      <c r="I122" s="628">
        <v>25</v>
      </c>
      <c r="J122" s="628">
        <v>23</v>
      </c>
      <c r="K122" s="628">
        <v>23</v>
      </c>
      <c r="L122" s="628">
        <v>10</v>
      </c>
      <c r="M122" s="628">
        <v>10</v>
      </c>
      <c r="N122" s="628">
        <v>0</v>
      </c>
      <c r="O122" s="628">
        <v>0</v>
      </c>
      <c r="P122" s="620">
        <f t="shared" si="199"/>
        <v>0.88235294117647056</v>
      </c>
      <c r="Q122" s="620">
        <f t="shared" si="200"/>
        <v>0</v>
      </c>
      <c r="R122" s="620" t="e">
        <f t="shared" si="201"/>
        <v>#DIV/0!</v>
      </c>
      <c r="S122" s="455">
        <f t="shared" si="195"/>
        <v>0.52941176470588236</v>
      </c>
      <c r="T122" s="455">
        <f t="shared" si="196"/>
        <v>0.92592592592592593</v>
      </c>
      <c r="U122" s="455">
        <f t="shared" si="194"/>
        <v>1</v>
      </c>
      <c r="V122" s="455">
        <f t="shared" si="203"/>
        <v>0.92</v>
      </c>
      <c r="W122" s="455">
        <f t="shared" si="204"/>
        <v>1</v>
      </c>
      <c r="X122" s="455">
        <f t="shared" si="197"/>
        <v>0.45098039215686275</v>
      </c>
      <c r="Y122" s="455">
        <f t="shared" si="202"/>
        <v>0.43478260869565216</v>
      </c>
      <c r="Z122" s="455">
        <f t="shared" si="198"/>
        <v>0</v>
      </c>
    </row>
    <row r="123" spans="1:26" ht="14.4">
      <c r="A123" s="628">
        <v>2017</v>
      </c>
      <c r="B123" s="629" t="s">
        <v>367</v>
      </c>
      <c r="C123" s="629" t="s">
        <v>328</v>
      </c>
      <c r="D123" s="628">
        <v>8</v>
      </c>
      <c r="E123" s="628">
        <v>7</v>
      </c>
      <c r="F123" s="628">
        <v>0</v>
      </c>
      <c r="G123" s="628">
        <v>3</v>
      </c>
      <c r="H123" s="628">
        <v>3</v>
      </c>
      <c r="I123" s="628">
        <v>3</v>
      </c>
      <c r="J123" s="628">
        <v>2</v>
      </c>
      <c r="K123" s="628">
        <v>3</v>
      </c>
      <c r="L123" s="628">
        <v>1</v>
      </c>
      <c r="M123" s="628">
        <v>1</v>
      </c>
      <c r="N123" s="628">
        <v>0</v>
      </c>
      <c r="O123" s="628">
        <v>0</v>
      </c>
      <c r="P123" s="620">
        <f t="shared" si="199"/>
        <v>0.875</v>
      </c>
      <c r="Q123" s="620">
        <f t="shared" si="200"/>
        <v>0</v>
      </c>
      <c r="R123" s="620" t="e">
        <f t="shared" si="201"/>
        <v>#DIV/0!</v>
      </c>
      <c r="S123" s="455">
        <f t="shared" si="195"/>
        <v>0.375</v>
      </c>
      <c r="T123" s="455">
        <f t="shared" si="196"/>
        <v>1</v>
      </c>
      <c r="U123" s="455">
        <f t="shared" si="194"/>
        <v>1</v>
      </c>
      <c r="V123" s="455">
        <f t="shared" si="203"/>
        <v>0.66666666666666663</v>
      </c>
      <c r="W123" s="455">
        <f t="shared" si="204"/>
        <v>1.5</v>
      </c>
      <c r="X123" s="455">
        <f t="shared" si="197"/>
        <v>0.375</v>
      </c>
      <c r="Y123" s="455">
        <f t="shared" si="202"/>
        <v>0.33333333333333331</v>
      </c>
      <c r="Z123" s="455">
        <f t="shared" si="198"/>
        <v>0</v>
      </c>
    </row>
    <row r="124" spans="1:26" ht="14.4">
      <c r="A124" s="628">
        <v>2018</v>
      </c>
      <c r="B124" s="629" t="s">
        <v>367</v>
      </c>
      <c r="C124" s="629" t="s">
        <v>328</v>
      </c>
      <c r="D124" s="628">
        <v>1</v>
      </c>
      <c r="E124" s="628">
        <v>1</v>
      </c>
      <c r="F124" s="628">
        <v>1</v>
      </c>
      <c r="G124" s="628">
        <v>1</v>
      </c>
      <c r="H124" s="628">
        <v>0</v>
      </c>
      <c r="I124" s="628">
        <v>0</v>
      </c>
      <c r="J124" s="628">
        <v>0</v>
      </c>
      <c r="K124" s="628">
        <v>0</v>
      </c>
      <c r="L124" s="628">
        <v>0</v>
      </c>
      <c r="M124" s="628">
        <v>0</v>
      </c>
      <c r="N124" s="628">
        <v>0</v>
      </c>
      <c r="O124" s="628">
        <v>0</v>
      </c>
      <c r="P124" s="620">
        <f t="shared" si="199"/>
        <v>1</v>
      </c>
      <c r="Q124" s="620">
        <f t="shared" si="200"/>
        <v>1</v>
      </c>
      <c r="R124" s="620">
        <f t="shared" si="201"/>
        <v>1</v>
      </c>
      <c r="S124" s="455">
        <f t="shared" si="195"/>
        <v>1</v>
      </c>
      <c r="T124" s="455"/>
      <c r="U124" s="455"/>
      <c r="V124" s="455"/>
      <c r="W124" s="455"/>
      <c r="X124" s="455"/>
      <c r="Y124" s="455"/>
      <c r="Z124" s="455"/>
    </row>
    <row r="125" spans="1:26" ht="14.4">
      <c r="A125" s="628">
        <v>2020</v>
      </c>
      <c r="B125" s="629" t="s">
        <v>367</v>
      </c>
      <c r="C125" s="629" t="s">
        <v>328</v>
      </c>
      <c r="D125" s="628">
        <v>1</v>
      </c>
      <c r="E125" s="628">
        <v>1</v>
      </c>
      <c r="F125" s="628">
        <v>1</v>
      </c>
      <c r="G125" s="628">
        <v>1</v>
      </c>
      <c r="H125" s="628">
        <v>1</v>
      </c>
      <c r="I125" s="628">
        <v>1</v>
      </c>
      <c r="J125" s="628">
        <v>1</v>
      </c>
      <c r="K125" s="628">
        <v>1</v>
      </c>
      <c r="L125" s="628">
        <v>0</v>
      </c>
      <c r="M125" s="628">
        <v>0</v>
      </c>
      <c r="N125" s="628">
        <v>0</v>
      </c>
      <c r="O125" s="628">
        <v>0</v>
      </c>
      <c r="P125" s="620">
        <f t="shared" si="199"/>
        <v>1</v>
      </c>
      <c r="Q125" s="620">
        <f t="shared" si="200"/>
        <v>1</v>
      </c>
      <c r="R125" s="620">
        <f t="shared" si="201"/>
        <v>1</v>
      </c>
      <c r="S125" s="455">
        <f t="shared" si="195"/>
        <v>1</v>
      </c>
      <c r="T125" s="455">
        <f t="shared" si="196"/>
        <v>1</v>
      </c>
      <c r="U125" s="455">
        <f t="shared" si="194"/>
        <v>1</v>
      </c>
      <c r="V125" s="455">
        <f t="shared" si="203"/>
        <v>1</v>
      </c>
      <c r="W125" s="455">
        <f t="shared" si="204"/>
        <v>1</v>
      </c>
      <c r="X125" s="455">
        <f t="shared" si="197"/>
        <v>1</v>
      </c>
      <c r="Y125" s="455">
        <f t="shared" si="202"/>
        <v>0</v>
      </c>
      <c r="Z125" s="455">
        <f t="shared" si="198"/>
        <v>0</v>
      </c>
    </row>
    <row r="126" spans="1:26" ht="14.4">
      <c r="A126" s="628">
        <v>2021</v>
      </c>
      <c r="B126" s="629" t="s">
        <v>367</v>
      </c>
      <c r="C126" s="629" t="s">
        <v>328</v>
      </c>
      <c r="D126" s="628">
        <v>7</v>
      </c>
      <c r="E126" s="628">
        <v>5</v>
      </c>
      <c r="F126" s="628">
        <v>2</v>
      </c>
      <c r="G126" s="628">
        <v>0</v>
      </c>
      <c r="H126" s="628">
        <v>0</v>
      </c>
      <c r="I126" s="628">
        <v>0</v>
      </c>
      <c r="J126" s="628">
        <v>0</v>
      </c>
      <c r="K126" s="628">
        <v>0</v>
      </c>
      <c r="L126" s="628">
        <v>0</v>
      </c>
      <c r="M126" s="628">
        <v>0</v>
      </c>
      <c r="N126" s="628">
        <v>0</v>
      </c>
      <c r="O126" s="628">
        <v>0</v>
      </c>
      <c r="P126" s="620">
        <f t="shared" si="199"/>
        <v>0.7142857142857143</v>
      </c>
      <c r="Q126" s="620">
        <f t="shared" si="200"/>
        <v>0.4</v>
      </c>
      <c r="R126" s="620">
        <f t="shared" si="201"/>
        <v>0</v>
      </c>
      <c r="S126" s="455">
        <f t="shared" si="195"/>
        <v>0</v>
      </c>
      <c r="T126" s="455"/>
      <c r="U126" s="455"/>
      <c r="V126" s="455"/>
      <c r="W126" s="455"/>
      <c r="X126" s="455"/>
      <c r="Y126" s="455"/>
      <c r="Z126" s="455"/>
    </row>
    <row r="127" spans="1:26" ht="14.4">
      <c r="A127" s="628">
        <v>2022</v>
      </c>
      <c r="B127" s="629" t="s">
        <v>367</v>
      </c>
      <c r="C127" s="629" t="s">
        <v>328</v>
      </c>
      <c r="D127" s="628">
        <v>7</v>
      </c>
      <c r="E127" s="628">
        <v>6</v>
      </c>
      <c r="F127" s="628">
        <v>5</v>
      </c>
      <c r="G127" s="628">
        <v>6</v>
      </c>
      <c r="H127" s="628">
        <v>5</v>
      </c>
      <c r="I127" s="628">
        <v>5</v>
      </c>
      <c r="J127" s="628">
        <v>5</v>
      </c>
      <c r="K127" s="628">
        <v>5</v>
      </c>
      <c r="L127" s="628">
        <v>2</v>
      </c>
      <c r="M127" s="628">
        <v>2</v>
      </c>
      <c r="N127" s="628">
        <v>0</v>
      </c>
      <c r="O127" s="628">
        <v>0</v>
      </c>
      <c r="P127" s="620">
        <f t="shared" si="199"/>
        <v>0.8571428571428571</v>
      </c>
      <c r="Q127" s="620">
        <f t="shared" si="200"/>
        <v>0.83333333333333337</v>
      </c>
      <c r="R127" s="620">
        <f t="shared" si="201"/>
        <v>1.2</v>
      </c>
      <c r="S127" s="455">
        <f t="shared" si="195"/>
        <v>0.8571428571428571</v>
      </c>
      <c r="T127" s="455">
        <f t="shared" si="196"/>
        <v>0.83333333333333337</v>
      </c>
      <c r="U127" s="455">
        <f t="shared" si="194"/>
        <v>1</v>
      </c>
      <c r="V127" s="455">
        <f t="shared" si="203"/>
        <v>1</v>
      </c>
      <c r="W127" s="455">
        <f t="shared" si="204"/>
        <v>1</v>
      </c>
      <c r="X127" s="455">
        <f t="shared" si="197"/>
        <v>0.7142857142857143</v>
      </c>
      <c r="Y127" s="455">
        <f t="shared" si="202"/>
        <v>0.4</v>
      </c>
      <c r="Z127" s="455">
        <f t="shared" si="198"/>
        <v>0</v>
      </c>
    </row>
    <row r="128" spans="1:26">
      <c r="P128" s="620"/>
      <c r="Q128" s="620"/>
      <c r="R128" s="620"/>
      <c r="S128" s="455"/>
      <c r="T128" s="455"/>
      <c r="U128" s="455"/>
      <c r="V128" s="455"/>
      <c r="W128" s="455"/>
      <c r="X128" s="455"/>
      <c r="Y128" s="455"/>
      <c r="Z128" s="455"/>
    </row>
    <row r="137" spans="1:15">
      <c r="A137" t="s">
        <v>388</v>
      </c>
    </row>
    <row r="139" spans="1:15" ht="14.4">
      <c r="A139" s="627" t="s">
        <v>361</v>
      </c>
      <c r="B139" s="627" t="s">
        <v>356</v>
      </c>
      <c r="C139" s="627" t="s">
        <v>333</v>
      </c>
      <c r="D139" s="627" t="s">
        <v>376</v>
      </c>
      <c r="E139" s="627" t="s">
        <v>377</v>
      </c>
      <c r="F139" s="627" t="s">
        <v>378</v>
      </c>
      <c r="G139" s="627" t="s">
        <v>379</v>
      </c>
      <c r="H139" s="627" t="s">
        <v>380</v>
      </c>
      <c r="I139" s="627" t="s">
        <v>381</v>
      </c>
      <c r="J139" s="627" t="s">
        <v>382</v>
      </c>
      <c r="K139" s="627" t="s">
        <v>383</v>
      </c>
      <c r="L139" s="627" t="s">
        <v>384</v>
      </c>
      <c r="M139" s="627" t="s">
        <v>385</v>
      </c>
      <c r="N139" s="627" t="s">
        <v>386</v>
      </c>
      <c r="O139" s="627" t="s">
        <v>387</v>
      </c>
    </row>
    <row r="140" spans="1:15" ht="28.8">
      <c r="A140" s="628">
        <v>2008</v>
      </c>
      <c r="B140" s="629" t="s">
        <v>320</v>
      </c>
      <c r="C140" s="629" t="s">
        <v>335</v>
      </c>
      <c r="D140" s="628">
        <v>45</v>
      </c>
      <c r="E140" s="628">
        <v>0</v>
      </c>
      <c r="F140" s="628">
        <v>0</v>
      </c>
      <c r="G140" s="628">
        <v>34</v>
      </c>
      <c r="H140" s="628">
        <v>0</v>
      </c>
      <c r="I140" s="628">
        <v>0</v>
      </c>
      <c r="J140" s="628">
        <v>0</v>
      </c>
      <c r="K140" s="628">
        <v>0</v>
      </c>
      <c r="L140" s="628">
        <v>0</v>
      </c>
      <c r="M140" s="628">
        <v>0</v>
      </c>
      <c r="N140" s="628">
        <v>0</v>
      </c>
      <c r="O140" s="628">
        <v>0</v>
      </c>
    </row>
    <row r="141" spans="1:15" ht="28.8">
      <c r="A141" s="628">
        <v>2009</v>
      </c>
      <c r="B141" s="629" t="s">
        <v>320</v>
      </c>
      <c r="C141" s="629" t="s">
        <v>335</v>
      </c>
      <c r="D141" s="628">
        <v>326</v>
      </c>
      <c r="E141" s="628">
        <v>0</v>
      </c>
      <c r="F141" s="628">
        <v>0</v>
      </c>
      <c r="G141" s="628">
        <v>243</v>
      </c>
      <c r="H141" s="628">
        <v>0</v>
      </c>
      <c r="I141" s="628">
        <v>0</v>
      </c>
      <c r="J141" s="628">
        <v>0</v>
      </c>
      <c r="K141" s="628">
        <v>0</v>
      </c>
      <c r="L141" s="628">
        <v>0</v>
      </c>
      <c r="M141" s="628">
        <v>0</v>
      </c>
      <c r="N141" s="628">
        <v>0</v>
      </c>
      <c r="O141" s="628">
        <v>0</v>
      </c>
    </row>
    <row r="142" spans="1:15" ht="28.8">
      <c r="A142" s="628">
        <v>2010</v>
      </c>
      <c r="B142" s="629" t="s">
        <v>320</v>
      </c>
      <c r="C142" s="629" t="s">
        <v>335</v>
      </c>
      <c r="D142" s="628">
        <v>957</v>
      </c>
      <c r="E142" s="628">
        <v>0</v>
      </c>
      <c r="F142" s="628">
        <v>0</v>
      </c>
      <c r="G142" s="628">
        <v>765</v>
      </c>
      <c r="H142" s="628">
        <v>1</v>
      </c>
      <c r="I142" s="628">
        <v>0</v>
      </c>
      <c r="J142" s="628">
        <v>0</v>
      </c>
      <c r="K142" s="628">
        <v>0</v>
      </c>
      <c r="L142" s="628">
        <v>0</v>
      </c>
      <c r="M142" s="628">
        <v>0</v>
      </c>
      <c r="N142" s="628">
        <v>0</v>
      </c>
      <c r="O142" s="628">
        <v>0</v>
      </c>
    </row>
    <row r="143" spans="1:15" ht="28.8">
      <c r="A143" s="628">
        <v>2011</v>
      </c>
      <c r="B143" s="629" t="s">
        <v>320</v>
      </c>
      <c r="C143" s="629" t="s">
        <v>335</v>
      </c>
      <c r="D143" s="628">
        <v>651</v>
      </c>
      <c r="E143" s="628">
        <v>0</v>
      </c>
      <c r="F143" s="628">
        <v>0</v>
      </c>
      <c r="G143" s="628">
        <v>424</v>
      </c>
      <c r="H143" s="628">
        <v>1</v>
      </c>
      <c r="I143" s="628">
        <v>0</v>
      </c>
      <c r="J143" s="628">
        <v>0</v>
      </c>
      <c r="K143" s="628">
        <v>0</v>
      </c>
      <c r="L143" s="628">
        <v>0</v>
      </c>
      <c r="M143" s="628">
        <v>0</v>
      </c>
      <c r="N143" s="628">
        <v>0</v>
      </c>
      <c r="O143" s="628">
        <v>0</v>
      </c>
    </row>
    <row r="144" spans="1:15" ht="28.8">
      <c r="A144" s="628">
        <v>2012</v>
      </c>
      <c r="B144" s="629" t="s">
        <v>320</v>
      </c>
      <c r="C144" s="629" t="s">
        <v>335</v>
      </c>
      <c r="D144" s="628">
        <v>572</v>
      </c>
      <c r="E144" s="628">
        <v>0</v>
      </c>
      <c r="F144" s="628">
        <v>0</v>
      </c>
      <c r="G144" s="628">
        <v>421</v>
      </c>
      <c r="H144" s="628">
        <v>4</v>
      </c>
      <c r="I144" s="628">
        <v>0</v>
      </c>
      <c r="J144" s="628">
        <v>0</v>
      </c>
      <c r="K144" s="628">
        <v>0</v>
      </c>
      <c r="L144" s="628">
        <v>0</v>
      </c>
      <c r="M144" s="628">
        <v>0</v>
      </c>
      <c r="N144" s="628">
        <v>0</v>
      </c>
      <c r="O144" s="628">
        <v>0</v>
      </c>
    </row>
    <row r="145" spans="1:15" ht="28.8">
      <c r="A145" s="628">
        <v>2013</v>
      </c>
      <c r="B145" s="629" t="s">
        <v>320</v>
      </c>
      <c r="C145" s="629" t="s">
        <v>335</v>
      </c>
      <c r="D145" s="628">
        <v>168</v>
      </c>
      <c r="E145" s="628">
        <v>138</v>
      </c>
      <c r="F145" s="628">
        <v>0</v>
      </c>
      <c r="G145" s="628">
        <v>130</v>
      </c>
      <c r="H145" s="628">
        <v>0</v>
      </c>
      <c r="I145" s="628">
        <v>0</v>
      </c>
      <c r="J145" s="628">
        <v>0</v>
      </c>
      <c r="K145" s="628">
        <v>0</v>
      </c>
      <c r="L145" s="628">
        <v>0</v>
      </c>
      <c r="M145" s="628">
        <v>0</v>
      </c>
      <c r="N145" s="628">
        <v>0</v>
      </c>
      <c r="O145" s="628">
        <v>0</v>
      </c>
    </row>
    <row r="146" spans="1:15" ht="28.8">
      <c r="A146" s="628">
        <v>2014</v>
      </c>
      <c r="B146" s="629" t="s">
        <v>320</v>
      </c>
      <c r="C146" s="629" t="s">
        <v>335</v>
      </c>
      <c r="D146" s="628">
        <v>313</v>
      </c>
      <c r="E146" s="628">
        <v>289</v>
      </c>
      <c r="F146" s="628">
        <v>0</v>
      </c>
      <c r="G146" s="628">
        <v>267</v>
      </c>
      <c r="H146" s="628">
        <v>0</v>
      </c>
      <c r="I146" s="628">
        <v>0</v>
      </c>
      <c r="J146" s="628">
        <v>0</v>
      </c>
      <c r="K146" s="628">
        <v>0</v>
      </c>
      <c r="L146" s="628">
        <v>0</v>
      </c>
      <c r="M146" s="628">
        <v>0</v>
      </c>
      <c r="N146" s="628">
        <v>0</v>
      </c>
      <c r="O146" s="628">
        <v>0</v>
      </c>
    </row>
    <row r="147" spans="1:15" ht="28.8">
      <c r="A147" s="628">
        <v>2015</v>
      </c>
      <c r="B147" s="629" t="s">
        <v>320</v>
      </c>
      <c r="C147" s="629" t="s">
        <v>335</v>
      </c>
      <c r="D147" s="628">
        <v>401</v>
      </c>
      <c r="E147" s="628">
        <v>344</v>
      </c>
      <c r="F147" s="628">
        <v>0</v>
      </c>
      <c r="G147" s="628">
        <v>244</v>
      </c>
      <c r="H147" s="628">
        <v>6</v>
      </c>
      <c r="I147" s="628">
        <v>0</v>
      </c>
      <c r="J147" s="628">
        <v>0</v>
      </c>
      <c r="K147" s="628">
        <v>0</v>
      </c>
      <c r="L147" s="628">
        <v>0</v>
      </c>
      <c r="M147" s="628">
        <v>0</v>
      </c>
      <c r="N147" s="628">
        <v>0</v>
      </c>
      <c r="O147" s="628">
        <v>0</v>
      </c>
    </row>
    <row r="148" spans="1:15" ht="28.8">
      <c r="A148" s="628">
        <v>2016</v>
      </c>
      <c r="B148" s="629" t="s">
        <v>320</v>
      </c>
      <c r="C148" s="629" t="s">
        <v>335</v>
      </c>
      <c r="D148" s="628">
        <v>146</v>
      </c>
      <c r="E148" s="628">
        <v>131</v>
      </c>
      <c r="F148" s="628">
        <v>0</v>
      </c>
      <c r="G148" s="628">
        <v>120</v>
      </c>
      <c r="H148" s="628">
        <v>0</v>
      </c>
      <c r="I148" s="628">
        <v>0</v>
      </c>
      <c r="J148" s="628">
        <v>0</v>
      </c>
      <c r="K148" s="628">
        <v>0</v>
      </c>
      <c r="L148" s="628">
        <v>0</v>
      </c>
      <c r="M148" s="628">
        <v>0</v>
      </c>
      <c r="N148" s="628">
        <v>0</v>
      </c>
      <c r="O148" s="628">
        <v>0</v>
      </c>
    </row>
    <row r="149" spans="1:15" ht="28.8">
      <c r="A149" s="628">
        <v>2017</v>
      </c>
      <c r="B149" s="629" t="s">
        <v>320</v>
      </c>
      <c r="C149" s="629" t="s">
        <v>335</v>
      </c>
      <c r="D149" s="628">
        <v>115</v>
      </c>
      <c r="E149" s="628">
        <v>109</v>
      </c>
      <c r="F149" s="628">
        <v>0</v>
      </c>
      <c r="G149" s="628">
        <v>101</v>
      </c>
      <c r="H149" s="628">
        <v>0</v>
      </c>
      <c r="I149" s="628">
        <v>0</v>
      </c>
      <c r="J149" s="628">
        <v>0</v>
      </c>
      <c r="K149" s="628">
        <v>0</v>
      </c>
      <c r="L149" s="628">
        <v>0</v>
      </c>
      <c r="M149" s="628">
        <v>0</v>
      </c>
      <c r="N149" s="628">
        <v>0</v>
      </c>
      <c r="O149" s="628">
        <v>0</v>
      </c>
    </row>
    <row r="150" spans="1:15" ht="28.8">
      <c r="A150" s="628">
        <v>2018</v>
      </c>
      <c r="B150" s="629" t="s">
        <v>320</v>
      </c>
      <c r="C150" s="629" t="s">
        <v>335</v>
      </c>
      <c r="D150" s="628">
        <v>94</v>
      </c>
      <c r="E150" s="628">
        <v>86</v>
      </c>
      <c r="F150" s="628">
        <v>82</v>
      </c>
      <c r="G150" s="628">
        <v>82</v>
      </c>
      <c r="H150" s="628">
        <v>0</v>
      </c>
      <c r="I150" s="628">
        <v>0</v>
      </c>
      <c r="J150" s="628">
        <v>0</v>
      </c>
      <c r="K150" s="628">
        <v>0</v>
      </c>
      <c r="L150" s="628">
        <v>0</v>
      </c>
      <c r="M150" s="628">
        <v>0</v>
      </c>
      <c r="N150" s="628">
        <v>0</v>
      </c>
      <c r="O150" s="628">
        <v>0</v>
      </c>
    </row>
    <row r="151" spans="1:15" ht="28.8">
      <c r="A151" s="628">
        <v>2019</v>
      </c>
      <c r="B151" s="629" t="s">
        <v>320</v>
      </c>
      <c r="C151" s="629" t="s">
        <v>335</v>
      </c>
      <c r="D151" s="628">
        <v>40</v>
      </c>
      <c r="E151" s="628">
        <v>40</v>
      </c>
      <c r="F151" s="628">
        <v>39</v>
      </c>
      <c r="G151" s="628">
        <v>37</v>
      </c>
      <c r="H151" s="628">
        <v>1</v>
      </c>
      <c r="I151" s="628">
        <v>0</v>
      </c>
      <c r="J151" s="628">
        <v>0</v>
      </c>
      <c r="K151" s="628">
        <v>0</v>
      </c>
      <c r="L151" s="628">
        <v>0</v>
      </c>
      <c r="M151" s="628">
        <v>0</v>
      </c>
      <c r="N151" s="628">
        <v>0</v>
      </c>
      <c r="O151" s="628">
        <v>0</v>
      </c>
    </row>
    <row r="152" spans="1:15" ht="28.8">
      <c r="A152" s="628">
        <v>2020</v>
      </c>
      <c r="B152" s="629" t="s">
        <v>320</v>
      </c>
      <c r="C152" s="629" t="s">
        <v>335</v>
      </c>
      <c r="D152" s="628">
        <v>339</v>
      </c>
      <c r="E152" s="628">
        <v>312</v>
      </c>
      <c r="F152" s="628">
        <v>291</v>
      </c>
      <c r="G152" s="628">
        <v>289</v>
      </c>
      <c r="H152" s="628">
        <v>0</v>
      </c>
      <c r="I152" s="628">
        <v>0</v>
      </c>
      <c r="J152" s="628">
        <v>0</v>
      </c>
      <c r="K152" s="628">
        <v>0</v>
      </c>
      <c r="L152" s="628">
        <v>0</v>
      </c>
      <c r="M152" s="628">
        <v>0</v>
      </c>
      <c r="N152" s="628">
        <v>0</v>
      </c>
      <c r="O152" s="628">
        <v>0</v>
      </c>
    </row>
    <row r="153" spans="1:15" ht="28.8">
      <c r="A153" s="628">
        <v>2021</v>
      </c>
      <c r="B153" s="629" t="s">
        <v>320</v>
      </c>
      <c r="C153" s="629" t="s">
        <v>335</v>
      </c>
      <c r="D153" s="628">
        <v>323</v>
      </c>
      <c r="E153" s="628">
        <v>285</v>
      </c>
      <c r="F153" s="628">
        <v>266</v>
      </c>
      <c r="G153" s="628">
        <v>242</v>
      </c>
      <c r="H153" s="628">
        <v>0</v>
      </c>
      <c r="I153" s="628">
        <v>0</v>
      </c>
      <c r="J153" s="628">
        <v>0</v>
      </c>
      <c r="K153" s="628">
        <v>0</v>
      </c>
      <c r="L153" s="628">
        <v>0</v>
      </c>
      <c r="M153" s="628">
        <v>0</v>
      </c>
      <c r="N153" s="628">
        <v>0</v>
      </c>
      <c r="O153" s="628">
        <v>0</v>
      </c>
    </row>
    <row r="154" spans="1:15" ht="28.8">
      <c r="A154" s="628">
        <v>2022</v>
      </c>
      <c r="B154" s="629" t="s">
        <v>320</v>
      </c>
      <c r="C154" s="629" t="s">
        <v>335</v>
      </c>
      <c r="D154" s="628">
        <v>391</v>
      </c>
      <c r="E154" s="628">
        <v>361</v>
      </c>
      <c r="F154" s="628">
        <v>353</v>
      </c>
      <c r="G154" s="628">
        <v>340</v>
      </c>
      <c r="H154" s="628">
        <v>0</v>
      </c>
      <c r="I154" s="628">
        <v>0</v>
      </c>
      <c r="J154" s="628">
        <v>0</v>
      </c>
      <c r="K154" s="628">
        <v>0</v>
      </c>
      <c r="L154" s="628">
        <v>0</v>
      </c>
      <c r="M154" s="628">
        <v>0</v>
      </c>
      <c r="N154" s="628">
        <v>0</v>
      </c>
      <c r="O154" s="628">
        <v>0</v>
      </c>
    </row>
    <row r="167" spans="1:15" ht="14.4">
      <c r="A167" s="627"/>
      <c r="B167" s="627"/>
      <c r="C167" s="627"/>
      <c r="D167" s="627"/>
      <c r="E167" s="627"/>
      <c r="F167" s="627"/>
      <c r="G167" s="627"/>
      <c r="H167" s="627"/>
      <c r="I167" s="627"/>
      <c r="J167" s="627"/>
      <c r="K167" s="627"/>
      <c r="L167" s="627"/>
      <c r="M167" s="627"/>
      <c r="N167" s="627"/>
      <c r="O167" s="627"/>
    </row>
    <row r="168" spans="1:15" ht="14.4">
      <c r="A168" s="628"/>
      <c r="B168" s="629"/>
      <c r="C168" s="629"/>
      <c r="D168" s="628"/>
      <c r="E168" s="628"/>
      <c r="F168" s="628"/>
      <c r="G168" s="628"/>
      <c r="H168" s="628"/>
      <c r="I168" s="628"/>
      <c r="J168" s="628"/>
      <c r="K168" s="628"/>
      <c r="L168" s="628"/>
      <c r="M168" s="628"/>
      <c r="N168" s="628"/>
      <c r="O168" s="628"/>
    </row>
    <row r="169" spans="1:15" ht="14.4">
      <c r="A169" s="628"/>
      <c r="B169" s="629"/>
      <c r="C169" s="629"/>
      <c r="D169" s="628"/>
      <c r="E169" s="628"/>
      <c r="F169" s="628"/>
      <c r="G169" s="628"/>
      <c r="H169" s="628"/>
      <c r="I169" s="628"/>
      <c r="J169" s="628"/>
      <c r="K169" s="628"/>
      <c r="L169" s="628"/>
      <c r="M169" s="628"/>
      <c r="N169" s="628"/>
      <c r="O169" s="628"/>
    </row>
    <row r="170" spans="1:15" ht="14.4">
      <c r="A170" s="628"/>
      <c r="B170" s="629"/>
      <c r="C170" s="629"/>
      <c r="D170" s="628"/>
      <c r="E170" s="628"/>
      <c r="F170" s="628"/>
      <c r="G170" s="628"/>
      <c r="H170" s="628"/>
      <c r="I170" s="628"/>
      <c r="J170" s="628"/>
      <c r="K170" s="628"/>
      <c r="L170" s="628"/>
      <c r="M170" s="628"/>
      <c r="N170" s="628"/>
      <c r="O170" s="628"/>
    </row>
    <row r="171" spans="1:15" ht="14.4">
      <c r="A171" s="628"/>
      <c r="B171" s="629"/>
      <c r="C171" s="629"/>
      <c r="D171" s="628"/>
      <c r="E171" s="628"/>
      <c r="F171" s="628"/>
      <c r="G171" s="628"/>
      <c r="H171" s="628"/>
      <c r="I171" s="628"/>
      <c r="J171" s="628"/>
      <c r="K171" s="628"/>
      <c r="L171" s="628"/>
      <c r="M171" s="628"/>
      <c r="N171" s="628"/>
      <c r="O171" s="628"/>
    </row>
    <row r="172" spans="1:15" ht="14.4">
      <c r="A172" s="628"/>
      <c r="B172" s="629"/>
      <c r="C172" s="629"/>
      <c r="D172" s="628"/>
      <c r="E172" s="628"/>
      <c r="F172" s="628"/>
      <c r="G172" s="628"/>
      <c r="H172" s="628"/>
      <c r="I172" s="628"/>
      <c r="J172" s="628"/>
      <c r="K172" s="628"/>
      <c r="L172" s="628"/>
      <c r="M172" s="628"/>
      <c r="N172" s="628"/>
      <c r="O172" s="628"/>
    </row>
    <row r="173" spans="1:15" ht="14.4">
      <c r="A173" s="628"/>
      <c r="B173" s="629"/>
      <c r="C173" s="629"/>
      <c r="D173" s="628"/>
      <c r="E173" s="628"/>
      <c r="F173" s="628"/>
      <c r="G173" s="628"/>
      <c r="H173" s="628"/>
      <c r="I173" s="628"/>
      <c r="J173" s="628"/>
      <c r="K173" s="628"/>
      <c r="L173" s="628"/>
      <c r="M173" s="628"/>
      <c r="N173" s="628"/>
      <c r="O173" s="628"/>
    </row>
    <row r="174" spans="1:15" ht="14.4">
      <c r="A174" s="628"/>
      <c r="B174" s="629"/>
      <c r="C174" s="629"/>
      <c r="D174" s="628"/>
      <c r="E174" s="628"/>
      <c r="F174" s="628"/>
      <c r="G174" s="628"/>
      <c r="H174" s="628"/>
      <c r="I174" s="628"/>
      <c r="J174" s="628"/>
      <c r="K174" s="628"/>
      <c r="L174" s="628"/>
      <c r="M174" s="628"/>
      <c r="N174" s="628"/>
      <c r="O174" s="628"/>
    </row>
    <row r="175" spans="1:15" ht="14.4">
      <c r="A175" s="628"/>
      <c r="B175" s="629"/>
      <c r="C175" s="629"/>
      <c r="D175" s="628"/>
      <c r="E175" s="628"/>
      <c r="F175" s="628"/>
      <c r="G175" s="628"/>
      <c r="H175" s="628"/>
      <c r="I175" s="628"/>
      <c r="J175" s="628"/>
      <c r="K175" s="628"/>
      <c r="L175" s="628"/>
      <c r="M175" s="628"/>
      <c r="N175" s="628"/>
      <c r="O175" s="628"/>
    </row>
    <row r="176" spans="1:15" ht="14.4">
      <c r="A176" s="628"/>
      <c r="B176" s="629"/>
      <c r="C176" s="629"/>
      <c r="D176" s="628"/>
      <c r="E176" s="628"/>
      <c r="F176" s="628"/>
      <c r="G176" s="628"/>
      <c r="H176" s="628"/>
      <c r="I176" s="628"/>
      <c r="J176" s="628"/>
      <c r="K176" s="628"/>
      <c r="L176" s="628"/>
      <c r="M176" s="628"/>
      <c r="N176" s="628"/>
      <c r="O176" s="628"/>
    </row>
    <row r="177" spans="1:15" ht="14.4">
      <c r="A177" s="628"/>
      <c r="B177" s="629"/>
      <c r="C177" s="629"/>
      <c r="D177" s="628"/>
      <c r="E177" s="628"/>
      <c r="F177" s="628"/>
      <c r="G177" s="628"/>
      <c r="H177" s="628"/>
      <c r="I177" s="628"/>
      <c r="J177" s="628"/>
      <c r="K177" s="628"/>
      <c r="L177" s="628"/>
      <c r="M177" s="628"/>
      <c r="N177" s="628"/>
      <c r="O177" s="628"/>
    </row>
    <row r="178" spans="1:15" ht="14.4">
      <c r="A178" s="628"/>
      <c r="B178" s="629"/>
      <c r="C178" s="629"/>
      <c r="D178" s="628"/>
      <c r="E178" s="628"/>
      <c r="F178" s="628"/>
      <c r="G178" s="628"/>
      <c r="H178" s="628"/>
      <c r="I178" s="628"/>
      <c r="J178" s="628"/>
      <c r="K178" s="628"/>
      <c r="L178" s="628"/>
      <c r="M178" s="628"/>
      <c r="N178" s="628"/>
      <c r="O178" s="628"/>
    </row>
    <row r="179" spans="1:15" ht="14.4">
      <c r="A179" s="628"/>
      <c r="B179" s="629"/>
      <c r="C179" s="629"/>
      <c r="D179" s="628"/>
      <c r="E179" s="628"/>
      <c r="F179" s="628"/>
      <c r="G179" s="628"/>
      <c r="H179" s="628"/>
      <c r="I179" s="628"/>
      <c r="J179" s="628"/>
      <c r="K179" s="628"/>
      <c r="L179" s="628"/>
      <c r="M179" s="628"/>
      <c r="N179" s="628"/>
      <c r="O179" s="628"/>
    </row>
    <row r="180" spans="1:15" ht="14.4">
      <c r="A180" s="628"/>
      <c r="B180" s="629"/>
      <c r="C180" s="629"/>
      <c r="D180" s="628"/>
      <c r="E180" s="628"/>
      <c r="F180" s="628"/>
      <c r="G180" s="628"/>
      <c r="H180" s="628"/>
      <c r="I180" s="628"/>
      <c r="J180" s="628"/>
      <c r="K180" s="628"/>
      <c r="L180" s="628"/>
      <c r="M180" s="628"/>
      <c r="N180" s="628"/>
      <c r="O180" s="628"/>
    </row>
    <row r="181" spans="1:15" ht="14.4">
      <c r="A181" s="628"/>
      <c r="B181" s="629"/>
      <c r="C181" s="629"/>
      <c r="D181" s="628"/>
      <c r="E181" s="628"/>
      <c r="F181" s="628"/>
      <c r="G181" s="628"/>
      <c r="H181" s="628"/>
      <c r="I181" s="628"/>
      <c r="J181" s="628"/>
      <c r="K181" s="628"/>
      <c r="L181" s="628"/>
      <c r="M181" s="628"/>
      <c r="N181" s="628"/>
      <c r="O181" s="628"/>
    </row>
    <row r="182" spans="1:15" ht="14.4">
      <c r="A182" s="628"/>
      <c r="B182" s="629"/>
      <c r="C182" s="629"/>
      <c r="D182" s="628"/>
      <c r="E182" s="628"/>
      <c r="F182" s="628"/>
      <c r="G182" s="628"/>
      <c r="H182" s="628"/>
      <c r="I182" s="628"/>
      <c r="J182" s="628"/>
      <c r="K182" s="628"/>
      <c r="L182" s="628"/>
      <c r="M182" s="628"/>
      <c r="N182" s="628"/>
      <c r="O182" s="628"/>
    </row>
    <row r="183" spans="1:15" ht="14.4">
      <c r="A183" s="628"/>
      <c r="B183" s="629"/>
      <c r="C183" s="629"/>
      <c r="D183" s="628"/>
      <c r="E183" s="628"/>
      <c r="F183" s="628"/>
      <c r="G183" s="628"/>
      <c r="H183" s="628"/>
      <c r="I183" s="628"/>
      <c r="J183" s="628"/>
      <c r="K183" s="628"/>
      <c r="L183" s="628"/>
      <c r="M183" s="628"/>
      <c r="N183" s="628"/>
      <c r="O183" s="628"/>
    </row>
    <row r="184" spans="1:15" ht="14.4">
      <c r="A184" s="628"/>
      <c r="B184" s="629"/>
      <c r="C184" s="629"/>
      <c r="D184" s="628"/>
      <c r="E184" s="628"/>
      <c r="F184" s="628"/>
      <c r="G184" s="628"/>
      <c r="H184" s="628"/>
      <c r="I184" s="628"/>
      <c r="J184" s="628"/>
      <c r="K184" s="628"/>
      <c r="L184" s="628"/>
      <c r="M184" s="628"/>
      <c r="N184" s="628"/>
      <c r="O184" s="628"/>
    </row>
    <row r="185" spans="1:15" ht="14.4">
      <c r="A185" s="628"/>
      <c r="B185" s="629"/>
      <c r="C185" s="629"/>
      <c r="D185" s="628"/>
      <c r="E185" s="628"/>
      <c r="F185" s="628"/>
      <c r="G185" s="628"/>
      <c r="H185" s="628"/>
      <c r="I185" s="628"/>
      <c r="J185" s="628"/>
      <c r="K185" s="628"/>
      <c r="L185" s="628"/>
      <c r="M185" s="628"/>
      <c r="N185" s="628"/>
      <c r="O185" s="628"/>
    </row>
    <row r="186" spans="1:15" ht="14.4">
      <c r="A186" s="628"/>
      <c r="B186" s="629"/>
      <c r="C186" s="629"/>
      <c r="D186" s="628"/>
      <c r="E186" s="628"/>
      <c r="F186" s="628"/>
      <c r="G186" s="628"/>
      <c r="H186" s="628"/>
      <c r="I186" s="628"/>
      <c r="J186" s="628"/>
      <c r="K186" s="628"/>
      <c r="L186" s="628"/>
      <c r="M186" s="628"/>
      <c r="N186" s="628"/>
      <c r="O186" s="628"/>
    </row>
    <row r="187" spans="1:15" ht="14.4">
      <c r="A187" s="628"/>
      <c r="B187" s="629"/>
      <c r="C187" s="629"/>
      <c r="D187" s="628"/>
      <c r="E187" s="628"/>
      <c r="F187" s="628"/>
      <c r="G187" s="628"/>
      <c r="H187" s="628"/>
      <c r="I187" s="628"/>
      <c r="J187" s="628"/>
      <c r="K187" s="628"/>
      <c r="L187" s="628"/>
      <c r="M187" s="628"/>
      <c r="N187" s="628"/>
      <c r="O187" s="628"/>
    </row>
    <row r="188" spans="1:15" ht="14.4">
      <c r="A188" s="628"/>
      <c r="B188" s="629"/>
      <c r="C188" s="629"/>
      <c r="D188" s="628"/>
      <c r="E188" s="628"/>
      <c r="F188" s="628"/>
      <c r="G188" s="628"/>
      <c r="H188" s="628"/>
      <c r="I188" s="628"/>
      <c r="J188" s="628"/>
      <c r="K188" s="628"/>
      <c r="L188" s="628"/>
      <c r="M188" s="628"/>
      <c r="N188" s="628"/>
      <c r="O188" s="628"/>
    </row>
    <row r="189" spans="1:15" ht="14.4">
      <c r="A189" s="628"/>
      <c r="B189" s="629"/>
      <c r="C189" s="629"/>
      <c r="D189" s="628"/>
      <c r="E189" s="628"/>
      <c r="F189" s="628"/>
      <c r="G189" s="628"/>
      <c r="H189" s="628"/>
      <c r="I189" s="628"/>
      <c r="J189" s="628"/>
      <c r="K189" s="628"/>
      <c r="L189" s="628"/>
      <c r="M189" s="628"/>
      <c r="N189" s="628"/>
      <c r="O189" s="628"/>
    </row>
    <row r="190" spans="1:15" ht="14.4">
      <c r="A190" s="628"/>
      <c r="B190" s="629"/>
      <c r="C190" s="629"/>
      <c r="D190" s="628"/>
      <c r="E190" s="628"/>
      <c r="F190" s="628"/>
      <c r="G190" s="628"/>
      <c r="H190" s="628"/>
      <c r="I190" s="628"/>
      <c r="J190" s="628"/>
      <c r="K190" s="628"/>
      <c r="L190" s="628"/>
      <c r="M190" s="628"/>
      <c r="N190" s="628"/>
      <c r="O190" s="628"/>
    </row>
    <row r="191" spans="1:15" ht="14.4">
      <c r="A191" s="628"/>
      <c r="B191" s="629"/>
      <c r="C191" s="629"/>
      <c r="D191" s="628"/>
      <c r="E191" s="628"/>
      <c r="F191" s="628"/>
      <c r="G191" s="628"/>
      <c r="H191" s="628"/>
      <c r="I191" s="628"/>
      <c r="J191" s="628"/>
      <c r="K191" s="628"/>
      <c r="L191" s="628"/>
      <c r="M191" s="628"/>
      <c r="N191" s="628"/>
      <c r="O191" s="628"/>
    </row>
    <row r="192" spans="1:15" ht="14.4">
      <c r="A192" s="628"/>
      <c r="B192" s="629"/>
      <c r="C192" s="629"/>
      <c r="D192" s="628"/>
      <c r="E192" s="628"/>
      <c r="F192" s="628"/>
      <c r="G192" s="628"/>
      <c r="H192" s="628"/>
      <c r="I192" s="628"/>
      <c r="J192" s="628"/>
      <c r="K192" s="628"/>
      <c r="L192" s="628"/>
      <c r="M192" s="628"/>
      <c r="N192" s="628"/>
      <c r="O192" s="628"/>
    </row>
    <row r="193" spans="1:15" ht="14.4">
      <c r="A193" s="628"/>
      <c r="B193" s="629"/>
      <c r="C193" s="629"/>
      <c r="D193" s="628"/>
      <c r="E193" s="628"/>
      <c r="F193" s="628"/>
      <c r="G193" s="628"/>
      <c r="H193" s="628"/>
      <c r="I193" s="628"/>
      <c r="J193" s="628"/>
      <c r="K193" s="628"/>
      <c r="L193" s="628"/>
      <c r="M193" s="628"/>
      <c r="N193" s="628"/>
      <c r="O193" s="628"/>
    </row>
    <row r="194" spans="1:15" ht="14.4">
      <c r="A194" s="628"/>
      <c r="B194" s="629"/>
      <c r="C194" s="629"/>
      <c r="D194" s="628"/>
      <c r="E194" s="628"/>
      <c r="F194" s="628"/>
      <c r="G194" s="628"/>
      <c r="H194" s="628"/>
      <c r="I194" s="628"/>
      <c r="J194" s="628"/>
      <c r="K194" s="628"/>
      <c r="L194" s="628"/>
      <c r="M194" s="628"/>
      <c r="N194" s="628"/>
      <c r="O194" s="628"/>
    </row>
    <row r="195" spans="1:15" ht="14.4">
      <c r="A195" s="628"/>
      <c r="B195" s="629"/>
      <c r="C195" s="629"/>
      <c r="D195" s="628"/>
      <c r="E195" s="628"/>
      <c r="F195" s="628"/>
      <c r="G195" s="628"/>
      <c r="H195" s="628"/>
      <c r="I195" s="628"/>
      <c r="J195" s="628"/>
      <c r="K195" s="628"/>
      <c r="L195" s="628"/>
      <c r="M195" s="628"/>
      <c r="N195" s="628"/>
      <c r="O195" s="628"/>
    </row>
    <row r="196" spans="1:15" ht="14.4">
      <c r="A196" s="628"/>
      <c r="B196" s="629"/>
      <c r="C196" s="629"/>
      <c r="D196" s="628"/>
      <c r="E196" s="628"/>
      <c r="F196" s="628"/>
      <c r="G196" s="628"/>
      <c r="H196" s="628"/>
      <c r="I196" s="628"/>
      <c r="J196" s="628"/>
      <c r="K196" s="628"/>
      <c r="L196" s="628"/>
      <c r="M196" s="628"/>
      <c r="N196" s="628"/>
      <c r="O196" s="628"/>
    </row>
    <row r="197" spans="1:15" ht="14.4">
      <c r="A197" s="628"/>
      <c r="B197" s="629"/>
      <c r="C197" s="629"/>
      <c r="D197" s="628"/>
      <c r="E197" s="628"/>
      <c r="F197" s="628"/>
      <c r="G197" s="628"/>
      <c r="H197" s="628"/>
      <c r="I197" s="628"/>
      <c r="J197" s="628"/>
      <c r="K197" s="628"/>
      <c r="L197" s="628"/>
      <c r="M197" s="628"/>
      <c r="N197" s="628"/>
      <c r="O197" s="628"/>
    </row>
    <row r="198" spans="1:15" ht="14.4">
      <c r="A198" s="628"/>
      <c r="B198" s="629"/>
      <c r="C198" s="629"/>
      <c r="D198" s="628"/>
      <c r="E198" s="628"/>
      <c r="F198" s="628"/>
      <c r="G198" s="628"/>
      <c r="H198" s="628"/>
      <c r="I198" s="628"/>
      <c r="J198" s="628"/>
      <c r="K198" s="628"/>
      <c r="L198" s="628"/>
      <c r="M198" s="628"/>
      <c r="N198" s="628"/>
      <c r="O198" s="628"/>
    </row>
    <row r="199" spans="1:15" ht="14.4">
      <c r="A199" s="628"/>
      <c r="B199" s="629"/>
      <c r="C199" s="629"/>
      <c r="D199" s="628"/>
      <c r="E199" s="628"/>
      <c r="F199" s="628"/>
      <c r="G199" s="628"/>
      <c r="H199" s="628"/>
      <c r="I199" s="628"/>
      <c r="J199" s="628"/>
      <c r="K199" s="628"/>
      <c r="L199" s="628"/>
      <c r="M199" s="628"/>
      <c r="N199" s="628"/>
      <c r="O199" s="628"/>
    </row>
    <row r="200" spans="1:15" ht="14.4">
      <c r="A200" s="628"/>
      <c r="B200" s="629"/>
      <c r="C200" s="629"/>
      <c r="D200" s="628"/>
      <c r="E200" s="628"/>
      <c r="F200" s="628"/>
      <c r="G200" s="628"/>
      <c r="H200" s="628"/>
      <c r="I200" s="628"/>
      <c r="J200" s="628"/>
      <c r="K200" s="628"/>
      <c r="L200" s="628"/>
      <c r="M200" s="628"/>
      <c r="N200" s="628"/>
      <c r="O200" s="628"/>
    </row>
  </sheetData>
  <sortState ref="A168:O200">
    <sortCondition ref="C168:C200"/>
  </sortState>
  <mergeCells count="18">
    <mergeCell ref="B6:P6"/>
    <mergeCell ref="Q6:W6"/>
    <mergeCell ref="B7:D7"/>
    <mergeCell ref="E7:G7"/>
    <mergeCell ref="H7:J7"/>
    <mergeCell ref="K7:M7"/>
    <mergeCell ref="N7:P7"/>
    <mergeCell ref="R7:T7"/>
    <mergeCell ref="U7:W7"/>
    <mergeCell ref="A36:D36"/>
    <mergeCell ref="A115:C115"/>
    <mergeCell ref="U36:W36"/>
    <mergeCell ref="A43:P43"/>
    <mergeCell ref="Q34:W34"/>
    <mergeCell ref="E36:G36"/>
    <mergeCell ref="N36:P36"/>
    <mergeCell ref="R36:T36"/>
    <mergeCell ref="B38:R38"/>
  </mergeCells>
  <phoneticPr fontId="7" type="noConversion"/>
  <pageMargins left="0.75" right="0.75" top="1" bottom="1" header="0.5" footer="0.5"/>
  <pageSetup scale="74" orientation="landscape" r:id="rId1"/>
  <headerFooter alignWithMargins="0"/>
  <rowBreaks count="1" manualBreakCount="1">
    <brk id="53" max="28" man="1"/>
  </rowBreaks>
  <colBreaks count="1" manualBreakCount="1">
    <brk id="16" max="34"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13</vt:i4>
      </vt:variant>
      <vt:variant>
        <vt:lpstr>Charts</vt:lpstr>
      </vt:variant>
      <vt:variant>
        <vt:i4>2</vt:i4>
      </vt:variant>
      <vt:variant>
        <vt:lpstr>Named Ranges</vt:lpstr>
      </vt:variant>
      <vt:variant>
        <vt:i4>9</vt:i4>
      </vt:variant>
    </vt:vector>
  </HeadingPairs>
  <TitlesOfParts>
    <vt:vector size="24" baseType="lpstr">
      <vt:lpstr>Notes</vt:lpstr>
      <vt:lpstr>Data summary for graphs</vt:lpstr>
      <vt:lpstr>MIDC Sthd (2)</vt:lpstr>
      <vt:lpstr>All SR Fall</vt:lpstr>
      <vt:lpstr>SR Fall Chin</vt:lpstr>
      <vt:lpstr>SRSS all</vt:lpstr>
      <vt:lpstr>SR Spr-Sum Chin</vt:lpstr>
      <vt:lpstr>sockye by year</vt:lpstr>
      <vt:lpstr>SR Sockeye</vt:lpstr>
      <vt:lpstr>SR Sthd</vt:lpstr>
      <vt:lpstr>UC all</vt:lpstr>
      <vt:lpstr>UCR Spr Chin</vt:lpstr>
      <vt:lpstr>UCR Sthd</vt:lpstr>
      <vt:lpstr>new summary chart</vt:lpstr>
      <vt:lpstr>Summary Chart</vt:lpstr>
      <vt:lpstr>'Data summary for graphs'!Print_Area</vt:lpstr>
      <vt:lpstr>'MIDC Sthd (2)'!Print_Area</vt:lpstr>
      <vt:lpstr>Notes!Print_Area</vt:lpstr>
      <vt:lpstr>'SR Fall Chin'!Print_Area</vt:lpstr>
      <vt:lpstr>'SR Sockeye'!Print_Area</vt:lpstr>
      <vt:lpstr>'SR Spr-Sum Chin'!Print_Area</vt:lpstr>
      <vt:lpstr>'SR Sthd'!Print_Area</vt:lpstr>
      <vt:lpstr>'UCR Spr Chin'!Print_Area</vt:lpstr>
      <vt:lpstr>'UCR Sthd'!Print_Area</vt:lpstr>
    </vt:vector>
  </TitlesOfParts>
  <Company>National Marine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User Name</dc:creator>
  <cp:lastModifiedBy>Blane Bellerud</cp:lastModifiedBy>
  <cp:lastPrinted>2023-04-18T23:08:34Z</cp:lastPrinted>
  <dcterms:created xsi:type="dcterms:W3CDTF">2006-04-13T16:38:50Z</dcterms:created>
  <dcterms:modified xsi:type="dcterms:W3CDTF">2024-08-30T21:20:37Z</dcterms:modified>
</cp:coreProperties>
</file>