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4C732AED-AEB7-4D00-B3ED-032A9680E1E6}" xr6:coauthVersionLast="47" xr6:coauthVersionMax="47" xr10:uidLastSave="{00000000-0000-0000-0000-000000000000}"/>
  <bookViews>
    <workbookView xWindow="3900" yWindow="3900" windowWidth="21600" windowHeight="12735" activeTab="1" xr2:uid="{00000000-000D-0000-FFFF-FFFF00000000}"/>
  </bookViews>
  <sheets>
    <sheet name="ELC" sheetId="4" r:id="rId1"/>
    <sheet name="PRI" sheetId="10" r:id="rId2"/>
    <sheet name="RCA" sheetId="6" r:id="rId3"/>
    <sheet name="TRA" sheetId="5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5" l="1"/>
  <c r="J28" i="5"/>
  <c r="I28" i="5"/>
  <c r="I18" i="10"/>
  <c r="B18" i="10"/>
  <c r="S26" i="5"/>
  <c r="S28" i="5"/>
  <c r="K26" i="5"/>
  <c r="K27" i="5"/>
  <c r="J26" i="5"/>
  <c r="J27" i="5"/>
  <c r="I26" i="5"/>
  <c r="I27" i="5"/>
  <c r="B26" i="5"/>
  <c r="J23" i="4"/>
  <c r="I23" i="4"/>
  <c r="R22" i="4"/>
  <c r="H23" i="4"/>
  <c r="I25" i="4"/>
  <c r="I26" i="4" s="1"/>
  <c r="R25" i="4" s="1"/>
  <c r="J25" i="4"/>
  <c r="J26" i="4"/>
  <c r="H25" i="4"/>
  <c r="H26" i="4"/>
  <c r="R19" i="4"/>
  <c r="I19" i="4"/>
  <c r="B18" i="6"/>
  <c r="X31" i="4"/>
  <c r="T24" i="4"/>
  <c r="U24" i="4" s="1"/>
  <c r="T21" i="4"/>
  <c r="U21" i="4" s="1"/>
  <c r="B12" i="10"/>
  <c r="Q16" i="10"/>
  <c r="Q13" i="10"/>
  <c r="R13" i="10" s="1"/>
  <c r="Q11" i="6"/>
  <c r="R11" i="6"/>
  <c r="Q12" i="6"/>
  <c r="R12" i="6"/>
  <c r="O17" i="6"/>
  <c r="R23" i="6"/>
  <c r="R22" i="6"/>
  <c r="P16" i="6"/>
  <c r="P12" i="6"/>
  <c r="J15" i="6" s="1"/>
  <c r="I15" i="6"/>
  <c r="Q15" i="6" s="1"/>
  <c r="U12" i="6"/>
  <c r="U23" i="6" s="1"/>
  <c r="X27" i="4"/>
  <c r="B12" i="6"/>
  <c r="B15" i="6"/>
  <c r="B22" i="6"/>
  <c r="B23" i="6"/>
  <c r="B11" i="6"/>
  <c r="R14" i="4"/>
  <c r="R20" i="4"/>
  <c r="I20" i="4"/>
  <c r="R30" i="4"/>
  <c r="J29" i="4"/>
  <c r="I29" i="4"/>
  <c r="T29" i="4" s="1"/>
  <c r="H29" i="4"/>
  <c r="G7" i="6"/>
  <c r="B21" i="5"/>
  <c r="B13" i="5"/>
  <c r="B32" i="5"/>
  <c r="B11" i="5"/>
  <c r="B24" i="5"/>
  <c r="B23" i="5"/>
  <c r="B14" i="5"/>
  <c r="B12" i="5"/>
  <c r="G7" i="5"/>
  <c r="R12" i="4"/>
  <c r="N24" i="4"/>
  <c r="N21" i="4"/>
  <c r="U27" i="4"/>
  <c r="U29" i="4"/>
  <c r="U31" i="4"/>
  <c r="N31" i="4"/>
  <c r="N11" i="4"/>
  <c r="R31" i="4"/>
  <c r="B31" i="4"/>
  <c r="U11" i="4"/>
  <c r="B29" i="4"/>
  <c r="L26" i="4"/>
  <c r="U13" i="4"/>
  <c r="U15" i="4"/>
  <c r="B33" i="4"/>
  <c r="B11" i="4"/>
  <c r="B15" i="10"/>
  <c r="G8" i="10"/>
  <c r="B16" i="10"/>
  <c r="B13" i="10"/>
  <c r="G7" i="4"/>
  <c r="B27" i="4"/>
  <c r="B24" i="4"/>
  <c r="B21" i="4"/>
  <c r="B18" i="4"/>
  <c r="B15" i="4"/>
  <c r="B13" i="4"/>
  <c r="H15" i="6" l="1"/>
  <c r="R15" i="6"/>
  <c r="M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</authors>
  <commentList>
    <comment ref="V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N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Losses assumed 2% per day, annual loss expressed as equilibrium loss (negative)</t>
        </r>
      </text>
    </comment>
    <comment ref="R1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correponds to 9 hours full load output plus  minimum state of charge (AF(LO)). </t>
        </r>
      </text>
    </comment>
    <comment ref="R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output, and so AFC=6/24.</t>
        </r>
      </text>
    </comment>
    <comment ref="R1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corresponds to 80 days full load output.</t>
        </r>
      </text>
    </comment>
    <comment ref="R1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Prevent SPILL from affecting capacity</t>
        </r>
      </text>
    </comment>
    <comment ref="G1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1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 in gross terms, and so AFC=6/24 / STG_EFF. </t>
        </r>
      </text>
    </comment>
    <comment ref="R2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Input pumping capacity is such that it takes 9 hours to fully charg the 6 hours' storage capacity, so 6/9. </t>
        </r>
      </text>
    </comment>
    <comment ref="F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Output / EFF, but assume that the storage level should correspond to the total output. Therefore the electricity output must be set to 1/EFF x energy stored.</t>
        </r>
      </text>
    </comment>
    <comment ref="F24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M24" authorId="1" shapeId="0" xr:uid="{00000000-0006-0000-0000-000014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H25" authorId="1" shapeId="0" xr:uid="{00000000-0006-0000-0000-000016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I25" authorId="1" shapeId="0" xr:uid="{00000000-0006-0000-0000-000017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R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0.686 × Output, but assume that the storage level should correspond to the total output. Therefore the electricity output must be set to 0.686 x energy stored.</t>
        </r>
      </text>
    </comment>
    <comment ref="L26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GAS input is 1.1 / 0.686 × electricity input.</t>
        </r>
      </text>
    </comment>
    <comment ref="F27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P27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Allow discharge only upt to storage level, to avoid by-pass of storage.</t>
        </r>
      </text>
    </comment>
    <comment ref="R2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 storage, i.e. maximum storage level is 6 times the maximum hourly output.  With AF=1 the max storage capacity is 24 times the max hourly output, and so set to 4 to get 24/4 = 6 (stoarge capacity 6 times the max. output capacity).</t>
        </r>
      </text>
    </comment>
    <comment ref="S27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R28" authorId="1" shapeId="0" xr:uid="{00000000-0006-0000-0000-000022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max. amount of energy stored (in GWh)</t>
        </r>
      </text>
    </comment>
    <comment ref="F2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9" authorId="1" shapeId="0" xr:uid="{00000000-0006-0000-0000-000025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the max. output level (in GW).</t>
        </r>
      </text>
    </comment>
    <comment ref="S2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corresponds to 24 GWh storage capacity with AF=1 . This is equivalent to the technology above, but now the capacity represents the maximum output level, as usual.</t>
        </r>
      </text>
    </comment>
    <comment ref="R3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hours' storage, and so 6/24 = 0.25. However, this would represent 6 hours full output in NET terms only, and so if the gross amount is desired, divide by STG_EFF.</t>
        </r>
      </text>
    </comment>
    <comment ref="F31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3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N31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1.5% drain losses per day.</t>
        </r>
      </text>
    </comment>
    <comment ref="R31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storage capacity corresponds to one week's full output, so output availability is 1/7.</t>
        </r>
      </text>
    </comment>
    <comment ref="S31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3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X33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Capacity unit is TWh (amount of heat stored).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  <author>Gary Goldstein</author>
    <author>Amit Kanudia</author>
    <author>Maurizio Gargiulo</author>
  </authors>
  <commentList>
    <comment ref="S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N1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E1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F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P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4 hours storage, i.e. maximum storage level is 4 times the maximum hourly output.  With AF=1 the max storage capacity is 24 times the max hourly output, and so set to 6 to get 24/6 = 4 (stoarge capacity 4 times the max. output capacity).</t>
        </r>
      </text>
    </comment>
    <comment ref="U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to corresponds to 1 GWh capacity, and so divide by 24.</t>
        </r>
      </text>
    </comment>
    <comment ref="D14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Optional ELC output for injecting surplus electricity back to grid.</t>
        </r>
      </text>
    </comment>
    <comment ref="M1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S14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F1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 Assume inverter costs in both of the above, so credit 0.3 x storage cost.</t>
        </r>
      </text>
    </comment>
    <comment ref="P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4 hours storage, and so 4/24 = 0.16667.</t>
        </r>
      </text>
    </comment>
    <comment ref="O1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H18" authorId="1" shapeId="0" xr:uid="{00000000-0006-0000-0200-00000D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L18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Require the shifted loads to be met within  specified time 
(3 hours) of either advance or delay.</t>
        </r>
      </text>
    </comment>
    <comment ref="Z18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H19" authorId="1" shapeId="0" xr:uid="{00000000-0006-0000-0200-000010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F2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forward  (bd=UP) </t>
        </r>
      </text>
    </comment>
    <comment ref="F21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backward  (bd=LO) </t>
        </r>
      </text>
    </comment>
    <comment ref="X31" authorId="2" shapeId="0" xr:uid="{00000000-0006-0000-0200-000013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1" authorId="3" shapeId="0" xr:uid="{00000000-0006-0000-0200-00001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1" authorId="4" shapeId="0" xr:uid="{00000000-0006-0000-0200-000015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1" authorId="4" shapeId="0" xr:uid="{00000000-0006-0000-0200-000016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1" authorId="4" shapeId="0" xr:uid="{00000000-0006-0000-0200-000017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Antti-L</author>
    <author>Antti L</author>
    <author>Gary Goldstein</author>
  </authors>
  <commentList>
    <comment ref="AF8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8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8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9" authorId="2" shapeId="0" xr:uid="{00000000-0006-0000-03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AA9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4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I14" authorId="3" shapeId="0" xr:uid="{00000000-0006-0000-0300-000007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AC14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I15" authorId="3" shapeId="0" xr:uid="{00000000-0006-0000-0300-000009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D16" authorId="3" shapeId="0" xr:uid="{00000000-0006-0000-0300-00000A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daily demand.</t>
        </r>
      </text>
    </comment>
    <comment ref="I16" authorId="3" shapeId="0" xr:uid="{00000000-0006-0000-0300-00000B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C20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0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I20" authorId="2" shapeId="0" xr:uid="{00000000-0006-0000-0300-00000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N20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O20" authorId="2" shapeId="0" xr:uid="{00000000-0006-0000-0300-000010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S26" authorId="3" shapeId="0" xr:uid="{00000000-0006-0000-0300-000011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60 kWh Battery = 60 MWh per 1 CAP unit.
(AF=1,CAPACT=31.536)  would correspond to 24 GWh, and so with CAPACT=0.001 we should set 
AF=31.536/24 *60 *1000 / 1000 = 78.84.
</t>
        </r>
      </text>
    </comment>
    <comment ref="C27" authorId="3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7" authorId="3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N27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S28" authorId="3" shapeId="0" xr:uid="{00000000-0006-0000-0300-000015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Charge and Discharge power at most 20 kW, would take 3 hours to full charge / discharge.</t>
        </r>
      </text>
    </comment>
    <comment ref="F30" authorId="2" shapeId="0" xr:uid="{00000000-0006-0000-0300-00001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Request independent AFC equations.</t>
        </r>
      </text>
    </comment>
    <comment ref="AA40" authorId="4" shapeId="0" xr:uid="{00000000-0006-0000-0300-000017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E40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F40" authorId="0" shapeId="0" xr:uid="{00000000-0006-0000-0300-000019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40" authorId="0" shapeId="0" xr:uid="{00000000-0006-0000-0300-00001A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H40" authorId="0" shapeId="0" xr:uid="{00000000-0006-0000-0300-00001B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42" authorId="3" shapeId="0" xr:uid="{00000000-0006-0000-0300-00001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The values represent charging load levels in proportion to the average charging level in the whole representative DAY.</t>
        </r>
      </text>
    </comment>
  </commentList>
</comments>
</file>

<file path=xl/sharedStrings.xml><?xml version="1.0" encoding="utf-8"?>
<sst xmlns="http://schemas.openxmlformats.org/spreadsheetml/2006/main" count="1099" uniqueCount="280">
  <si>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</si>
  <si>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</si>
  <si>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</si>
  <si>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</si>
  <si>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</si>
  <si>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</si>
  <si>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</si>
  <si>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</si>
  <si>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</si>
  <si>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</si>
  <si>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</si>
  <si>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</si>
  <si>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</si>
  <si>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</si>
  <si>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</si>
  <si>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</si>
  <si>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</si>
  <si>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</si>
  <si>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</si>
  <si>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</si>
  <si>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</si>
  <si>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</si>
  <si>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</si>
  <si>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</si>
  <si>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</si>
  <si>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</si>
  <si>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</si>
  <si>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</si>
  <si>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</si>
  <si>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</si>
  <si>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</si>
  <si>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</si>
  <si>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</si>
  <si>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</si>
  <si>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</si>
  <si>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</si>
  <si>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</si>
  <si>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</si>
  <si>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</si>
  <si>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Currency Unit</t>
  </si>
  <si>
    <t>ELC</t>
  </si>
  <si>
    <t>PJ</t>
  </si>
  <si>
    <t>GW</t>
  </si>
  <si>
    <t>N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</si>
  <si>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</si>
  <si>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</si>
  <si>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</si>
  <si>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</si>
  <si>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</si>
  <si>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</si>
  <si>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</si>
  <si>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</si>
  <si>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</si>
  <si>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</si>
  <si>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</si>
  <si>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Residential</t>
  </si>
  <si>
    <t>Demand Technologies</t>
  </si>
  <si>
    <t>DMD</t>
  </si>
  <si>
    <t>PJa</t>
  </si>
  <si>
    <t>TRA</t>
  </si>
  <si>
    <t>Transport</t>
  </si>
  <si>
    <t>000_Units</t>
  </si>
  <si>
    <t>*</t>
  </si>
  <si>
    <t>DEMO</t>
  </si>
  <si>
    <t>DTCAR</t>
  </si>
  <si>
    <t>ELCHYD</t>
  </si>
  <si>
    <t>CAP2ACT</t>
  </si>
  <si>
    <t>Lifetime</t>
  </si>
  <si>
    <t>BPkm</t>
  </si>
  <si>
    <t>AF</t>
  </si>
  <si>
    <t>CommGrp</t>
  </si>
  <si>
    <t>ACTFLO</t>
  </si>
  <si>
    <t>District heat storage</t>
  </si>
  <si>
    <t>Pumped hydro technology</t>
  </si>
  <si>
    <t>Hydro power with large reservoir</t>
  </si>
  <si>
    <t>Hydro power with pondage</t>
  </si>
  <si>
    <t>ELE,STG</t>
  </si>
  <si>
    <t>ELE,STS</t>
  </si>
  <si>
    <t>STG</t>
  </si>
  <si>
    <t>ELCRNHYDP1</t>
  </si>
  <si>
    <t>ELCRNHYDR1</t>
  </si>
  <si>
    <t>ELCSTPHS1</t>
  </si>
  <si>
    <t>ELCSTCAES1</t>
  </si>
  <si>
    <t>ELCSTBATT1</t>
  </si>
  <si>
    <t>UPSSTH2L1</t>
  </si>
  <si>
    <t>UPSSTHET1</t>
  </si>
  <si>
    <t>Hydrogen storage (liquid)</t>
  </si>
  <si>
    <t>ELCSTCAES2</t>
  </si>
  <si>
    <t>CAES storage charged by electricity</t>
  </si>
  <si>
    <t>CAES storage charged by electricity+gas</t>
  </si>
  <si>
    <t>DAYNITE</t>
  </si>
  <si>
    <t>H2L</t>
  </si>
  <si>
    <t>HET</t>
  </si>
  <si>
    <t>PKNO</t>
  </si>
  <si>
    <t>Input</t>
  </si>
  <si>
    <t>Output</t>
  </si>
  <si>
    <t>FLO_FUNC</t>
  </si>
  <si>
    <t>STG_EFF</t>
  </si>
  <si>
    <t>Comm-IN-A</t>
  </si>
  <si>
    <t>PRE</t>
  </si>
  <si>
    <t>UPSHYDLYZ1</t>
  </si>
  <si>
    <t>Hydrogen electrolyzer</t>
  </si>
  <si>
    <t>H2G</t>
  </si>
  <si>
    <t>INPUT</t>
  </si>
  <si>
    <t>MEuro05</t>
  </si>
  <si>
    <t>PRI</t>
  </si>
  <si>
    <t>Upstream</t>
  </si>
  <si>
    <t>Transformation</t>
  </si>
  <si>
    <t>Attribute</t>
  </si>
  <si>
    <t xml:space="preserve">*Declare and characterize the new technologies by sector. </t>
  </si>
  <si>
    <t>Electricity &amp; DH</t>
  </si>
  <si>
    <t>Auxiliary</t>
  </si>
  <si>
    <t>Peak contr.</t>
  </si>
  <si>
    <t>ACT_EFF</t>
  </si>
  <si>
    <t>NRG</t>
  </si>
  <si>
    <t>S_EFF</t>
  </si>
  <si>
    <t>S_LOSS</t>
  </si>
  <si>
    <t>Loss</t>
  </si>
  <si>
    <t>UPSHYDL2G</t>
  </si>
  <si>
    <t>Hydrogen L2G</t>
  </si>
  <si>
    <t>UPSELC</t>
  </si>
  <si>
    <t>RD</t>
  </si>
  <si>
    <t>RN</t>
  </si>
  <si>
    <t>RP</t>
  </si>
  <si>
    <t>SD</t>
  </si>
  <si>
    <t>SN</t>
  </si>
  <si>
    <t>R</t>
  </si>
  <si>
    <t>S</t>
  </si>
  <si>
    <t>F</t>
  </si>
  <si>
    <t>W</t>
  </si>
  <si>
    <t>* Commodity Name</t>
  </si>
  <si>
    <t>ELCSOL</t>
  </si>
  <si>
    <t>SP</t>
  </si>
  <si>
    <t>FD</t>
  </si>
  <si>
    <t>FN</t>
  </si>
  <si>
    <t>FP</t>
  </si>
  <si>
    <t>WD</t>
  </si>
  <si>
    <t>WN</t>
  </si>
  <si>
    <t>WP</t>
  </si>
  <si>
    <t>Timeslice</t>
  </si>
  <si>
    <t>ELCRNCSP1</t>
  </si>
  <si>
    <t>Concentrating solar</t>
  </si>
  <si>
    <t>ANNUAL</t>
  </si>
  <si>
    <t>SPILL</t>
  </si>
  <si>
    <t>Spill water</t>
  </si>
  <si>
    <t>ELCGAS</t>
  </si>
  <si>
    <t>NSTTS~ANNUAL</t>
  </si>
  <si>
    <t>AFAC</t>
  </si>
  <si>
    <t>AFC~DAYNITE</t>
  </si>
  <si>
    <t>Availability</t>
  </si>
  <si>
    <t>Charge</t>
  </si>
  <si>
    <t>ACT</t>
  </si>
  <si>
    <t>NCAP_AFC</t>
  </si>
  <si>
    <t>ELCSTBATT2</t>
  </si>
  <si>
    <t>Utility-scale battery storage (capacity GW output)</t>
  </si>
  <si>
    <t>FLO_SHAR~UP</t>
  </si>
  <si>
    <t>Share</t>
  </si>
  <si>
    <t>ELCSTBATT3</t>
  </si>
  <si>
    <t>Utility-scale battery storage (week's storage)</t>
  </si>
  <si>
    <t>Utility-scale battery storage (8 hours, capacity in GWh storage)</t>
  </si>
  <si>
    <t>FLO_DELIV</t>
  </si>
  <si>
    <t>Flow cost</t>
  </si>
  <si>
    <t>STG_MAXCYC</t>
  </si>
  <si>
    <t>Max cycles</t>
  </si>
  <si>
    <t>AF~LO</t>
  </si>
  <si>
    <t>Minimum level</t>
  </si>
  <si>
    <t>*Process Set</t>
  </si>
  <si>
    <t>FLO_COST</t>
  </si>
  <si>
    <t>TRDELC</t>
  </si>
  <si>
    <t>STG_SIFT</t>
  </si>
  <si>
    <t>FLO_MARK</t>
  </si>
  <si>
    <t>ACT_COST</t>
  </si>
  <si>
    <t>PJ-a</t>
  </si>
  <si>
    <t>NO</t>
  </si>
  <si>
    <t>CF</t>
  </si>
  <si>
    <t>TCANELC3</t>
  </si>
  <si>
    <t>TCANELC4</t>
  </si>
  <si>
    <t>Sector Fuel Technology Existing Transport Hydrogen</t>
  </si>
  <si>
    <t>FTE-TRDHH2</t>
  </si>
  <si>
    <t>TRAHH2</t>
  </si>
  <si>
    <t>TCANHYD1</t>
  </si>
  <si>
    <t>Demand Technologies Transport Sector - New Cars - Hydrogen</t>
  </si>
  <si>
    <t>TRAELC</t>
  </si>
  <si>
    <t>TRFELC</t>
  </si>
  <si>
    <t>Load Technology - Fast Charging</t>
  </si>
  <si>
    <t>Load Technology - Slow Charging</t>
  </si>
  <si>
    <t>TRSELC</t>
  </si>
  <si>
    <t>Transport Electricity Slow Charging Fixed Profile</t>
  </si>
  <si>
    <t>Transport Electricity Fast Charging Fixed Profile</t>
  </si>
  <si>
    <t>FLO_SHAR</t>
  </si>
  <si>
    <t>TRAGSL</t>
  </si>
  <si>
    <t>Electricity aggregate for road vehicles</t>
  </si>
  <si>
    <t>NST</t>
  </si>
  <si>
    <t>YES</t>
  </si>
  <si>
    <t>Pre-defined charging profiles for electric cars</t>
  </si>
  <si>
    <t>RCA</t>
  </si>
  <si>
    <t>RSDSOL</t>
  </si>
  <si>
    <t>RSOLPV1</t>
  </si>
  <si>
    <t>ELE</t>
  </si>
  <si>
    <t>RSHNSOL3</t>
  </si>
  <si>
    <t>RSHNELC3</t>
  </si>
  <si>
    <t>Demand Technologies Residential - New Space Heating - ELC storage</t>
  </si>
  <si>
    <t>RSDELC</t>
  </si>
  <si>
    <t>ELE,NST</t>
  </si>
  <si>
    <t>RSOLPV2</t>
  </si>
  <si>
    <t>Distributed PV - No integrated storage</t>
  </si>
  <si>
    <t>DEM</t>
  </si>
  <si>
    <t>RSTGBAT1</t>
  </si>
  <si>
    <t xml:space="preserve">Distributed ELC Storage </t>
  </si>
  <si>
    <t>DUMSOL</t>
  </si>
  <si>
    <t>DRSH</t>
  </si>
  <si>
    <t>DMD,NST</t>
  </si>
  <si>
    <t>* Commodity</t>
  </si>
  <si>
    <t>* Tech</t>
  </si>
  <si>
    <t>* Comm</t>
  </si>
  <si>
    <t>* Group</t>
  </si>
  <si>
    <t>Pre-defined profiles for solar</t>
  </si>
  <si>
    <t>Shares for electricity in Hybrid Solar heating</t>
  </si>
  <si>
    <t>Demand Technologies Residential - New Space Heating - Hybrid Solar+ELC</t>
  </si>
  <si>
    <t>FIN</t>
  </si>
  <si>
    <t>Dummy solar profiler</t>
  </si>
  <si>
    <t>Gaseous Hydrogen</t>
  </si>
  <si>
    <t>Electricity Plants Natural Gas</t>
  </si>
  <si>
    <t>Electricity Plants Hydro power</t>
  </si>
  <si>
    <t>Electricity Plants Solar energy</t>
  </si>
  <si>
    <t>Hydro inflow</t>
  </si>
  <si>
    <t>Solar energy</t>
  </si>
  <si>
    <t>Electricity</t>
  </si>
  <si>
    <t>District heat</t>
  </si>
  <si>
    <t>LTHEAT</t>
  </si>
  <si>
    <t>Upstream Electricity</t>
  </si>
  <si>
    <t>FTE-UPSELC</t>
  </si>
  <si>
    <t>Residential Solar energy</t>
  </si>
  <si>
    <t>Activity</t>
  </si>
  <si>
    <t>Demand Transport Sector - Cars</t>
  </si>
  <si>
    <t>Transport Electricity</t>
  </si>
  <si>
    <t>Transport Motor spirit</t>
  </si>
  <si>
    <t>Demand Residential Sector - Space Heating</t>
  </si>
  <si>
    <t>Transport Fuel Hydrogen</t>
  </si>
  <si>
    <t>HYD</t>
  </si>
  <si>
    <t>SOL</t>
  </si>
  <si>
    <t>TRAFASTELC1</t>
  </si>
  <si>
    <t>TRASLOWELC1</t>
  </si>
  <si>
    <t>TRASIFTELC1</t>
  </si>
  <si>
    <t>NRGO</t>
  </si>
  <si>
    <t>STS</t>
  </si>
  <si>
    <t>Load shifting by Flexible charging with V2G</t>
  </si>
  <si>
    <t>TRARAGGELC1</t>
  </si>
  <si>
    <t>Transport Road Electricity with mixed+shifted load curve</t>
  </si>
  <si>
    <t>Distributed PV - With Integrated storage</t>
  </si>
  <si>
    <t>STGIN_BND~0</t>
  </si>
  <si>
    <t>DRAP</t>
  </si>
  <si>
    <t>DROT</t>
  </si>
  <si>
    <t>Demand Residential Sector - Appliancens</t>
  </si>
  <si>
    <t>Demand Residential Sector - Other</t>
  </si>
  <si>
    <t>ACT_TIME~FX</t>
  </si>
  <si>
    <t>ACT_CSTRMP</t>
  </si>
  <si>
    <t>BD</t>
  </si>
  <si>
    <t>UP</t>
  </si>
  <si>
    <t>LO</t>
  </si>
  <si>
    <t>TCANELC9</t>
  </si>
  <si>
    <t>Demand Technologies Transport - New Cars - Electricity BEV Integrated Storage</t>
  </si>
  <si>
    <t>Demand Technologies Transport - New Cars - Electricity BEV Fixed Profile</t>
  </si>
  <si>
    <t>WEEKLY</t>
  </si>
  <si>
    <t>UPSSTCOA1</t>
  </si>
  <si>
    <t>COA</t>
  </si>
  <si>
    <t>TOTCO2</t>
  </si>
  <si>
    <t>STK</t>
  </si>
  <si>
    <t>Coal storage</t>
  </si>
  <si>
    <t>S_CHRG~ANNUAL</t>
  </si>
  <si>
    <t>Demand Technologies Transport - New Cars - Electricity PHEV Fixed profile</t>
  </si>
  <si>
    <t>Year</t>
  </si>
  <si>
    <t>Load shifting for residential electricity (for all RSDELC in this example)</t>
  </si>
  <si>
    <t>RCASIFTELC1</t>
  </si>
  <si>
    <t>Charging constraints for the integrated approach</t>
  </si>
  <si>
    <t>Dummy FIN</t>
  </si>
  <si>
    <t>DUMFI</t>
  </si>
  <si>
    <t>moved</t>
  </si>
  <si>
    <t>daynite</t>
  </si>
  <si>
    <t>Liquid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</si>
</sst>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  <numFmt numFmtId="169" formatCode="0.00000"/>
  </numFmts>
  <fonts count="3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b/>
      <sz val="12"/>
      <color indexed="10"/>
      <name val="Calibri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1" fontId="26" fillId="0" borderId="0" applyNumberFormat="0" applyAlignment="0" applyProtection="0">
      <alignment horizontal="center"/>
    </xf>
    <xf numFmtId="0" fontId="27" fillId="0" borderId="13" applyNumberFormat="0" applyFill="0" applyAlignment="0" applyProtection="0"/>
    <xf numFmtId="164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8" fillId="9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3" fillId="10" borderId="14" applyNumberFormat="0" applyFont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</cellStyleXfs>
  <cellXfs count="137">
    <xf numFmtId="0" fontId="0" fillId="0" borderId="0" xfId="0"/>
    <xf numFmtId="0" fontId="14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25" fillId="8" borderId="0" xfId="2"/>
    <xf numFmtId="0" fontId="15" fillId="2" borderId="0" xfId="13" applyFont="1" applyFill="1"/>
    <xf numFmtId="0" fontId="16" fillId="7" borderId="1" xfId="1" applyFont="1" applyBorder="1" applyAlignment="1">
      <alignment horizontal="left" wrapText="1"/>
    </xf>
    <xf numFmtId="0" fontId="16" fillId="7" borderId="2" xfId="1" applyFont="1" applyBorder="1" applyAlignment="1">
      <alignment horizontal="left" wrapText="1"/>
    </xf>
    <xf numFmtId="0" fontId="4" fillId="3" borderId="2" xfId="30" applyFont="1" applyFill="1" applyBorder="1" applyAlignment="1">
      <alignment horizontal="left" vertical="center"/>
    </xf>
    <xf numFmtId="0" fontId="25" fillId="8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17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2" fontId="3" fillId="0" borderId="0" xfId="15" applyNumberFormat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7" fillId="0" borderId="0" xfId="0" applyFont="1" applyFill="1" applyBorder="1"/>
    <xf numFmtId="0" fontId="15" fillId="2" borderId="0" xfId="13" applyFont="1" applyFill="1" applyAlignment="1">
      <alignment wrapText="1"/>
    </xf>
    <xf numFmtId="0" fontId="15" fillId="0" borderId="0" xfId="13" applyFont="1" applyFill="1"/>
    <xf numFmtId="0" fontId="0" fillId="0" borderId="0" xfId="0" applyFill="1" applyBorder="1"/>
    <xf numFmtId="0" fontId="25" fillId="0" borderId="0" xfId="2" applyFill="1"/>
    <xf numFmtId="0" fontId="3" fillId="0" borderId="0" xfId="15" applyFill="1" applyBorder="1"/>
    <xf numFmtId="0" fontId="4" fillId="0" borderId="0" xfId="0" applyFont="1" applyFill="1" applyBorder="1" applyAlignment="1">
      <alignment horizontal="left"/>
    </xf>
    <xf numFmtId="0" fontId="16" fillId="7" borderId="2" xfId="1" applyFont="1" applyBorder="1" applyAlignment="1">
      <alignment horizontal="right" wrapText="1"/>
    </xf>
    <xf numFmtId="0" fontId="16" fillId="7" borderId="1" xfId="1" applyFont="1" applyBorder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6" fillId="0" borderId="0" xfId="1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4" fillId="3" borderId="2" xfId="30" applyFont="1" applyFill="1" applyBorder="1" applyAlignment="1">
      <alignment horizontal="center" vertical="center" wrapText="1"/>
    </xf>
    <xf numFmtId="0" fontId="16" fillId="7" borderId="3" xfId="1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2" fontId="0" fillId="0" borderId="0" xfId="0" applyNumberFormat="1" applyFill="1"/>
    <xf numFmtId="2" fontId="0" fillId="0" borderId="5" xfId="0" applyNumberFormat="1" applyFill="1" applyBorder="1"/>
    <xf numFmtId="2" fontId="0" fillId="0" borderId="0" xfId="0" applyNumberFormat="1" applyFill="1" applyBorder="1"/>
    <xf numFmtId="0" fontId="0" fillId="0" borderId="5" xfId="0" applyFill="1" applyBorder="1"/>
    <xf numFmtId="1" fontId="0" fillId="0" borderId="0" xfId="0" applyNumberFormat="1" applyFill="1" applyBorder="1"/>
    <xf numFmtId="1" fontId="0" fillId="0" borderId="5" xfId="0" applyNumberFormat="1" applyBorder="1"/>
    <xf numFmtId="2" fontId="0" fillId="0" borderId="4" xfId="0" applyNumberFormat="1" applyBorder="1"/>
    <xf numFmtId="167" fontId="0" fillId="0" borderId="4" xfId="0" applyNumberFormat="1" applyBorder="1"/>
    <xf numFmtId="1" fontId="0" fillId="0" borderId="4" xfId="0" applyNumberFormat="1" applyBorder="1"/>
    <xf numFmtId="2" fontId="0" fillId="0" borderId="5" xfId="0" applyNumberFormat="1" applyBorder="1"/>
    <xf numFmtId="0" fontId="3" fillId="0" borderId="4" xfId="0" applyFont="1" applyBorder="1"/>
    <xf numFmtId="166" fontId="0" fillId="0" borderId="4" xfId="0" applyNumberFormat="1" applyBorder="1"/>
    <xf numFmtId="168" fontId="2" fillId="0" borderId="0" xfId="0" applyNumberFormat="1" applyFont="1"/>
    <xf numFmtId="168" fontId="3" fillId="0" borderId="0" xfId="0" applyNumberFormat="1" applyFont="1"/>
    <xf numFmtId="168" fontId="4" fillId="3" borderId="2" xfId="0" applyNumberFormat="1" applyFont="1" applyFill="1" applyBorder="1" applyAlignment="1">
      <alignment horizontal="left"/>
    </xf>
    <xf numFmtId="168" fontId="4" fillId="3" borderId="5" xfId="0" applyNumberFormat="1" applyFont="1" applyFill="1" applyBorder="1" applyAlignment="1">
      <alignment horizontal="left"/>
    </xf>
    <xf numFmtId="168" fontId="16" fillId="7" borderId="1" xfId="1" applyNumberFormat="1" applyFont="1" applyBorder="1" applyAlignment="1">
      <alignment horizontal="left" wrapText="1"/>
    </xf>
    <xf numFmtId="168" fontId="16" fillId="7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3" fillId="0" borderId="0" xfId="0" applyNumberFormat="1" applyFont="1" applyFill="1"/>
    <xf numFmtId="168" fontId="0" fillId="0" borderId="0" xfId="0" applyNumberFormat="1"/>
    <xf numFmtId="168" fontId="3" fillId="0" borderId="0" xfId="0" applyNumberFormat="1" applyFont="1" applyFill="1" applyAlignment="1"/>
    <xf numFmtId="168" fontId="16" fillId="7" borderId="6" xfId="1" applyNumberFormat="1" applyFont="1" applyBorder="1" applyAlignment="1">
      <alignment horizontal="left" wrapText="1"/>
    </xf>
    <xf numFmtId="168" fontId="16" fillId="7" borderId="6" xfId="1" applyNumberFormat="1" applyFont="1" applyBorder="1" applyAlignment="1">
      <alignment horizontal="right" wrapText="1"/>
    </xf>
    <xf numFmtId="168" fontId="0" fillId="0" borderId="4" xfId="0" applyNumberFormat="1" applyFill="1" applyBorder="1"/>
    <xf numFmtId="168" fontId="3" fillId="0" borderId="4" xfId="0" applyNumberFormat="1" applyFont="1" applyBorder="1"/>
    <xf numFmtId="168" fontId="0" fillId="0" borderId="4" xfId="0" applyNumberFormat="1" applyBorder="1"/>
    <xf numFmtId="0" fontId="4" fillId="3" borderId="2" xfId="3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2" borderId="0" xfId="13" applyFont="1" applyFill="1" applyAlignment="1"/>
    <xf numFmtId="0" fontId="4" fillId="3" borderId="7" xfId="30" applyFont="1" applyFill="1" applyBorder="1" applyAlignment="1">
      <alignment horizontal="center" vertical="center"/>
    </xf>
    <xf numFmtId="0" fontId="16" fillId="7" borderId="7" xfId="1" applyFont="1" applyBorder="1" applyAlignment="1">
      <alignment horizontal="left" wrapText="1"/>
    </xf>
    <xf numFmtId="0" fontId="16" fillId="7" borderId="8" xfId="1" applyFont="1" applyBorder="1" applyAlignment="1">
      <alignment horizontal="left" wrapText="1"/>
    </xf>
    <xf numFmtId="0" fontId="3" fillId="0" borderId="9" xfId="15" applyBorder="1"/>
    <xf numFmtId="0" fontId="16" fillId="7" borderId="10" xfId="1" applyFont="1" applyBorder="1" applyAlignment="1">
      <alignment horizontal="right" wrapText="1"/>
    </xf>
    <xf numFmtId="0" fontId="16" fillId="7" borderId="11" xfId="1" applyFont="1" applyBorder="1" applyAlignment="1">
      <alignment horizontal="right" wrapText="1"/>
    </xf>
    <xf numFmtId="2" fontId="3" fillId="0" borderId="0" xfId="15" applyNumberFormat="1" applyAlignment="1">
      <alignment horizontal="center"/>
    </xf>
    <xf numFmtId="0" fontId="3" fillId="0" borderId="0" xfId="15" applyAlignment="1">
      <alignment horizontal="center"/>
    </xf>
    <xf numFmtId="1" fontId="3" fillId="0" borderId="0" xfId="15" applyNumberFormat="1" applyAlignment="1">
      <alignment horizontal="center"/>
    </xf>
    <xf numFmtId="1" fontId="3" fillId="0" borderId="0" xfId="15" applyNumberFormat="1" applyBorder="1" applyAlignment="1">
      <alignment horizontal="center"/>
    </xf>
    <xf numFmtId="0" fontId="3" fillId="0" borderId="0" xfId="15" applyBorder="1" applyAlignment="1">
      <alignment horizontal="center"/>
    </xf>
    <xf numFmtId="2" fontId="3" fillId="0" borderId="0" xfId="15" applyNumberFormat="1" applyBorder="1" applyAlignment="1">
      <alignment horizontal="center"/>
    </xf>
    <xf numFmtId="0" fontId="16" fillId="7" borderId="1" xfId="1" applyFont="1" applyBorder="1" applyAlignment="1">
      <alignment horizontal="center" wrapText="1"/>
    </xf>
    <xf numFmtId="0" fontId="16" fillId="7" borderId="2" xfId="1" applyFont="1" applyBorder="1" applyAlignment="1">
      <alignment horizontal="center" wrapText="1"/>
    </xf>
    <xf numFmtId="0" fontId="16" fillId="7" borderId="5" xfId="1" applyFont="1" applyBorder="1" applyAlignment="1">
      <alignment horizontal="center" wrapText="1"/>
    </xf>
    <xf numFmtId="0" fontId="4" fillId="3" borderId="10" xfId="3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3" borderId="2" xfId="0" applyFont="1" applyFill="1" applyBorder="1" applyAlignment="1">
      <alignment vertical="center"/>
    </xf>
    <xf numFmtId="0" fontId="3" fillId="2" borderId="0" xfId="0" applyFont="1" applyFill="1"/>
    <xf numFmtId="0" fontId="3" fillId="2" borderId="0" xfId="15" applyFill="1"/>
    <xf numFmtId="0" fontId="3" fillId="2" borderId="4" xfId="0" applyFont="1" applyFill="1" applyBorder="1"/>
    <xf numFmtId="0" fontId="3" fillId="2" borderId="4" xfId="15" applyFill="1" applyBorder="1"/>
    <xf numFmtId="0" fontId="4" fillId="3" borderId="2" xfId="0" applyFont="1" applyFill="1" applyBorder="1" applyAlignment="1">
      <alignment horizontal="center" vertical="center"/>
    </xf>
    <xf numFmtId="0" fontId="16" fillId="7" borderId="5" xfId="1" applyFont="1" applyBorder="1" applyAlignment="1">
      <alignment horizontal="left" wrapText="1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3" fillId="2" borderId="0" xfId="15" applyFill="1" applyAlignment="1">
      <alignment horizontal="center"/>
    </xf>
    <xf numFmtId="2" fontId="3" fillId="2" borderId="0" xfId="15" applyNumberFormat="1" applyFill="1" applyAlignment="1">
      <alignment horizontal="center"/>
    </xf>
    <xf numFmtId="167" fontId="3" fillId="0" borderId="0" xfId="15" applyNumberFormat="1" applyAlignment="1">
      <alignment horizontal="center"/>
    </xf>
    <xf numFmtId="0" fontId="3" fillId="0" borderId="12" xfId="15" applyBorder="1" applyAlignment="1">
      <alignment horizontal="center"/>
    </xf>
    <xf numFmtId="0" fontId="16" fillId="7" borderId="10" xfId="1" applyFont="1" applyBorder="1" applyAlignment="1">
      <alignment horizontal="center" wrapText="1"/>
    </xf>
    <xf numFmtId="0" fontId="16" fillId="7" borderId="11" xfId="1" applyFont="1" applyBorder="1" applyAlignment="1">
      <alignment horizontal="center" wrapText="1"/>
    </xf>
    <xf numFmtId="1" fontId="3" fillId="0" borderId="12" xfId="15" applyNumberFormat="1" applyBorder="1" applyAlignment="1">
      <alignment horizontal="center"/>
    </xf>
    <xf numFmtId="168" fontId="3" fillId="0" borderId="0" xfId="15" applyNumberFormat="1"/>
    <xf numFmtId="168" fontId="0" fillId="4" borderId="0" xfId="0" applyNumberFormat="1" applyFill="1"/>
    <xf numFmtId="0" fontId="0" fillId="4" borderId="0" xfId="0" applyFill="1"/>
    <xf numFmtId="168" fontId="3" fillId="4" borderId="0" xfId="0" applyNumberFormat="1" applyFont="1" applyFill="1"/>
    <xf numFmtId="9" fontId="3" fillId="0" borderId="0" xfId="37" applyFont="1" applyAlignment="1">
      <alignment horizontal="center"/>
    </xf>
    <xf numFmtId="167" fontId="3" fillId="0" borderId="0" xfId="15" applyNumberFormat="1" applyBorder="1" applyAlignment="1">
      <alignment horizontal="center"/>
    </xf>
    <xf numFmtId="2" fontId="3" fillId="5" borderId="0" xfId="15" applyNumberFormat="1" applyFill="1" applyAlignment="1">
      <alignment horizontal="center"/>
    </xf>
    <xf numFmtId="0" fontId="19" fillId="6" borderId="0" xfId="0" applyFont="1" applyFill="1"/>
    <xf numFmtId="2" fontId="3" fillId="2" borderId="4" xfId="15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9" fontId="0" fillId="0" borderId="0" xfId="0" applyNumberFormat="1" applyBorder="1"/>
    <xf numFmtId="166" fontId="3" fillId="0" borderId="0" xfId="15" applyNumberFormat="1" applyAlignment="1">
      <alignment horizontal="center"/>
    </xf>
    <xf numFmtId="0" fontId="0" fillId="0" borderId="0" xfId="0" applyFill="1" applyAlignment="1">
      <alignment horizontal="center"/>
    </xf>
    <xf numFmtId="168" fontId="3" fillId="2" borderId="0" xfId="15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wrapText="1"/>
    </xf>
    <xf numFmtId="0" fontId="0" fillId="2" borderId="0" xfId="0" applyFill="1"/>
    <xf numFmtId="0" fontId="0" fillId="2" borderId="4" xfId="0" applyFill="1" applyBorder="1"/>
    <xf numFmtId="0" fontId="3" fillId="0" borderId="0" xfId="34"/>
    <xf numFmtId="1" fontId="0" fillId="2" borderId="0" xfId="0" applyNumberFormat="1" applyFill="1" applyBorder="1" applyAlignment="1">
      <alignment horizontal="center"/>
    </xf>
    <xf numFmtId="0" fontId="3" fillId="0" borderId="9" xfId="15" applyBorder="1" applyAlignment="1">
      <alignment horizontal="center"/>
    </xf>
    <xf numFmtId="0" fontId="0" fillId="0" borderId="0" xfId="0" applyAlignment="1"/>
    <xf numFmtId="0" fontId="4" fillId="3" borderId="5" xfId="3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0" xfId="0" applyFill="1" applyAlignment="1"/>
  </cellXfs>
  <cellStyles count="58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_ELC" xfId="34" xr:uid="{00000000-0005-0000-0000-000022000000}"/>
    <cellStyle name="Normale_B2020" xfId="35" xr:uid="{00000000-0005-0000-0000-000023000000}"/>
    <cellStyle name="Note 2" xfId="36" xr:uid="{00000000-0005-0000-0000-000024000000}"/>
    <cellStyle name="Percent" xfId="37" builtinId="5"/>
    <cellStyle name="Percent 2" xfId="38" xr:uid="{00000000-0005-0000-0000-000026000000}"/>
    <cellStyle name="Percent 2 2" xfId="39" xr:uid="{00000000-0005-0000-0000-000027000000}"/>
    <cellStyle name="Percent 2 2 2" xfId="40" xr:uid="{00000000-0005-0000-0000-000028000000}"/>
    <cellStyle name="Percent 2 3" xfId="41" xr:uid="{00000000-0005-0000-0000-000029000000}"/>
    <cellStyle name="Percent 3" xfId="42" xr:uid="{00000000-0005-0000-0000-00002A000000}"/>
    <cellStyle name="Percent 3 2" xfId="43" xr:uid="{00000000-0005-0000-0000-00002B000000}"/>
    <cellStyle name="Percent 3 2 2" xfId="44" xr:uid="{00000000-0005-0000-0000-00002C000000}"/>
    <cellStyle name="Percent 3 3" xfId="45" xr:uid="{00000000-0005-0000-0000-00002D000000}"/>
    <cellStyle name="Percent 3 4" xfId="46" xr:uid="{00000000-0005-0000-0000-00002E000000}"/>
    <cellStyle name="Percent 4" xfId="47" xr:uid="{00000000-0005-0000-0000-00002F000000}"/>
    <cellStyle name="Percent 4 2" xfId="48" xr:uid="{00000000-0005-0000-0000-000030000000}"/>
    <cellStyle name="Percent 4 3" xfId="49" xr:uid="{00000000-0005-0000-0000-000031000000}"/>
    <cellStyle name="Percent 4 4" xfId="50" xr:uid="{00000000-0005-0000-0000-000032000000}"/>
    <cellStyle name="Percent 5" xfId="51" xr:uid="{00000000-0005-0000-0000-000033000000}"/>
    <cellStyle name="Percent 5 2" xfId="52" xr:uid="{00000000-0005-0000-0000-000034000000}"/>
    <cellStyle name="Percent 6" xfId="53" xr:uid="{00000000-0005-0000-0000-000035000000}"/>
    <cellStyle name="Percent 6 2" xfId="54" xr:uid="{00000000-0005-0000-0000-000036000000}"/>
    <cellStyle name="Percent 7" xfId="55" xr:uid="{00000000-0005-0000-0000-000037000000}"/>
    <cellStyle name="Percent 8" xfId="56" xr:uid="{00000000-0005-0000-0000-000038000000}"/>
    <cellStyle name="Standard_Sce_D_Extraction" xfId="57" xr:uid="{00000000-0005-0000-0000-00003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K59"/>
  <sheetViews>
    <sheetView topLeftCell="Q27" zoomScale="90" workbookViewId="0">
      <selection activeCell="AH45" sqref="AH45"/>
    </sheetView>
  </sheetViews>
  <sheetFormatPr defaultRowHeight="12.75" x14ac:dyDescent="0.2"/>
  <cols>
    <col min="1" max="1" width="3" style="14" customWidth="1"/>
    <col min="2" max="2" width="16.140625" style="14" customWidth="1"/>
    <col min="3" max="3" width="13.85546875" style="14" customWidth="1"/>
    <col min="4" max="4" width="11.28515625" style="14" bestFit="1" customWidth="1"/>
    <col min="5" max="5" width="11.42578125" style="14" bestFit="1" customWidth="1"/>
    <col min="6" max="6" width="9.85546875" style="14" customWidth="1"/>
    <col min="7" max="7" width="11.85546875" style="14" bestFit="1" customWidth="1"/>
    <col min="8" max="10" width="5.5703125" style="14" bestFit="1" customWidth="1"/>
    <col min="11" max="11" width="7.140625" style="14" bestFit="1" customWidth="1"/>
    <col min="12" max="12" width="8" style="14" customWidth="1"/>
    <col min="13" max="13" width="8.85546875" style="14" customWidth="1"/>
    <col min="14" max="14" width="8.28515625" style="14" customWidth="1"/>
    <col min="15" max="15" width="7.42578125" style="14" customWidth="1"/>
    <col min="16" max="16" width="8.42578125" style="14" customWidth="1"/>
    <col min="17" max="17" width="8.5703125" style="14" customWidth="1"/>
    <col min="18" max="18" width="8.7109375" style="14" customWidth="1"/>
    <col min="19" max="19" width="7.5703125" style="14" customWidth="1"/>
    <col min="20" max="20" width="9.28515625" style="14" customWidth="1"/>
    <col min="21" max="21" width="7.7109375" style="14" customWidth="1"/>
    <col min="22" max="22" width="6.42578125" style="14" customWidth="1"/>
    <col min="23" max="23" width="7" style="14" bestFit="1" customWidth="1"/>
    <col min="24" max="24" width="10" style="14" customWidth="1"/>
    <col min="25" max="25" width="8.5703125" style="14" customWidth="1"/>
    <col min="26" max="26" width="9" style="14" customWidth="1"/>
    <col min="27" max="27" width="10" style="14" customWidth="1"/>
    <col min="28" max="28" width="2" style="14" bestFit="1" customWidth="1"/>
    <col min="29" max="29" width="12.7109375" bestFit="1" customWidth="1"/>
    <col min="30" max="30" width="14.7109375" bestFit="1" customWidth="1"/>
    <col min="31" max="31" width="54.7109375" bestFit="1" customWidth="1"/>
    <col min="32" max="32" width="6.28515625" customWidth="1"/>
    <col min="33" max="33" width="10" bestFit="1" customWidth="1"/>
    <col min="34" max="34" width="12.28515625" customWidth="1"/>
    <col min="35" max="35" width="12.7109375" customWidth="1"/>
    <col min="36" max="36" width="7.5703125" bestFit="1" customWidth="1"/>
  </cols>
  <sheetData>
    <row r="1" spans="1:37" ht="23.25" x14ac:dyDescent="0.35">
      <c r="A1" s="1" t="s">
        <v>109</v>
      </c>
    </row>
    <row r="2" spans="1:37" x14ac:dyDescent="0.2">
      <c r="AC2" s="29"/>
      <c r="AD2" s="29"/>
      <c r="AE2" s="29"/>
      <c r="AF2" s="29"/>
      <c r="AG2" s="29"/>
      <c r="AH2" s="29"/>
      <c r="AI2" s="29"/>
      <c r="AJ2" s="29"/>
      <c r="AK2" s="26"/>
    </row>
    <row r="3" spans="1:37" ht="30" x14ac:dyDescent="0.25">
      <c r="B3" s="13" t="s">
        <v>36</v>
      </c>
      <c r="C3" s="8" t="s">
        <v>37</v>
      </c>
      <c r="D3" s="8"/>
      <c r="E3" s="13" t="s">
        <v>39</v>
      </c>
    </row>
    <row r="4" spans="1:37" ht="15.75" x14ac:dyDescent="0.25">
      <c r="B4" s="9" t="s">
        <v>40</v>
      </c>
      <c r="C4" s="9" t="s">
        <v>110</v>
      </c>
      <c r="D4" s="9"/>
      <c r="E4" s="9" t="s">
        <v>104</v>
      </c>
    </row>
    <row r="6" spans="1:37" x14ac:dyDescent="0.2">
      <c r="AC6" s="2"/>
    </row>
    <row r="7" spans="1:37" x14ac:dyDescent="0.2">
      <c r="G7" s="4" t="str">
        <f>"~FI_T: "&amp;E4</f>
        <v>~FI_T: MEuro05</v>
      </c>
      <c r="H7" s="17"/>
      <c r="I7" s="4"/>
      <c r="J7" s="4"/>
      <c r="K7" s="4"/>
      <c r="L7" s="4"/>
      <c r="M7" s="4"/>
      <c r="N7" s="4"/>
      <c r="O7" s="4"/>
      <c r="P7" s="4"/>
      <c r="T7" s="4"/>
      <c r="U7" s="5"/>
      <c r="V7" s="5"/>
      <c r="W7" s="3"/>
      <c r="X7" s="3"/>
      <c r="Y7" s="3"/>
      <c r="AB7" s="15"/>
      <c r="AC7" s="53" t="s">
        <v>17</v>
      </c>
      <c r="AD7" s="54"/>
      <c r="AE7" s="54"/>
      <c r="AF7" s="54"/>
      <c r="AG7" s="54"/>
      <c r="AH7" s="54"/>
      <c r="AI7" s="54"/>
      <c r="AJ7" s="54"/>
    </row>
    <row r="8" spans="1:37" ht="25.5" x14ac:dyDescent="0.2">
      <c r="B8" s="12" t="s">
        <v>0</v>
      </c>
      <c r="C8" s="12" t="s">
        <v>2</v>
      </c>
      <c r="D8" s="12" t="s">
        <v>98</v>
      </c>
      <c r="E8" s="12" t="s">
        <v>3</v>
      </c>
      <c r="F8" s="12" t="s">
        <v>70</v>
      </c>
      <c r="G8" s="72" t="s">
        <v>108</v>
      </c>
      <c r="H8" s="68">
        <v>2020</v>
      </c>
      <c r="I8" s="68">
        <v>2030</v>
      </c>
      <c r="J8" s="68">
        <v>2050</v>
      </c>
      <c r="K8" s="87" t="s">
        <v>14</v>
      </c>
      <c r="L8" s="37" t="s">
        <v>96</v>
      </c>
      <c r="M8" s="68" t="s">
        <v>115</v>
      </c>
      <c r="N8" s="68" t="s">
        <v>116</v>
      </c>
      <c r="O8" s="37" t="s">
        <v>162</v>
      </c>
      <c r="P8" s="37" t="s">
        <v>155</v>
      </c>
      <c r="Q8" s="68" t="s">
        <v>147</v>
      </c>
      <c r="R8" s="37" t="s">
        <v>148</v>
      </c>
      <c r="S8" s="37" t="s">
        <v>164</v>
      </c>
      <c r="T8" s="68" t="s">
        <v>32</v>
      </c>
      <c r="U8" s="68" t="s">
        <v>4</v>
      </c>
      <c r="V8" s="37" t="s">
        <v>160</v>
      </c>
      <c r="W8" s="37" t="s">
        <v>44</v>
      </c>
      <c r="X8" s="37" t="s">
        <v>66</v>
      </c>
      <c r="Y8" s="37" t="s">
        <v>146</v>
      </c>
      <c r="Z8" s="37" t="s">
        <v>93</v>
      </c>
      <c r="AA8" s="37" t="s">
        <v>45</v>
      </c>
      <c r="AB8" s="18"/>
      <c r="AC8" s="55" t="s">
        <v>15</v>
      </c>
      <c r="AD8" s="55" t="s">
        <v>0</v>
      </c>
      <c r="AE8" s="55" t="s">
        <v>1</v>
      </c>
      <c r="AF8" s="55" t="s">
        <v>18</v>
      </c>
      <c r="AG8" s="55" t="s">
        <v>19</v>
      </c>
      <c r="AH8" s="55" t="s">
        <v>20</v>
      </c>
      <c r="AI8" s="55" t="s">
        <v>21</v>
      </c>
      <c r="AJ8" s="55" t="s">
        <v>22</v>
      </c>
    </row>
    <row r="9" spans="1:37" ht="25.5" customHeight="1" x14ac:dyDescent="0.2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73"/>
      <c r="H9" s="30"/>
      <c r="I9" s="30"/>
      <c r="J9" s="30"/>
      <c r="K9" s="76"/>
      <c r="L9" s="85"/>
      <c r="M9" s="85" t="s">
        <v>30</v>
      </c>
      <c r="N9" s="85" t="s">
        <v>117</v>
      </c>
      <c r="O9" s="85" t="s">
        <v>163</v>
      </c>
      <c r="P9" s="85" t="s">
        <v>156</v>
      </c>
      <c r="Q9" s="86" t="s">
        <v>47</v>
      </c>
      <c r="R9" s="86" t="s">
        <v>149</v>
      </c>
      <c r="S9" s="86" t="s">
        <v>165</v>
      </c>
      <c r="T9" s="85" t="s">
        <v>48</v>
      </c>
      <c r="U9" s="85" t="s">
        <v>33</v>
      </c>
      <c r="V9" s="85" t="s">
        <v>161</v>
      </c>
      <c r="W9" s="85" t="s">
        <v>67</v>
      </c>
      <c r="X9" s="85" t="s">
        <v>31</v>
      </c>
      <c r="Y9" s="85" t="s">
        <v>150</v>
      </c>
      <c r="Z9" s="85" t="s">
        <v>112</v>
      </c>
      <c r="AA9" s="85" t="s">
        <v>49</v>
      </c>
      <c r="AB9" s="15"/>
      <c r="AC9" s="58" t="s">
        <v>50</v>
      </c>
      <c r="AD9" s="58" t="s">
        <v>23</v>
      </c>
      <c r="AE9" s="58" t="s">
        <v>24</v>
      </c>
      <c r="AF9" s="58" t="s">
        <v>25</v>
      </c>
      <c r="AG9" s="58" t="s">
        <v>26</v>
      </c>
      <c r="AH9" s="58" t="s">
        <v>51</v>
      </c>
      <c r="AI9" s="58" t="s">
        <v>52</v>
      </c>
      <c r="AJ9" s="58" t="s">
        <v>27</v>
      </c>
    </row>
    <row r="10" spans="1:37" ht="13.5" thickBot="1" x14ac:dyDescent="0.25">
      <c r="B10" s="10" t="s">
        <v>53</v>
      </c>
      <c r="C10" s="10"/>
      <c r="D10" s="10"/>
      <c r="E10" s="10"/>
      <c r="F10" s="10"/>
      <c r="G10" s="74"/>
      <c r="H10" s="31"/>
      <c r="I10" s="31"/>
      <c r="J10" s="31"/>
      <c r="K10" s="77"/>
      <c r="L10" s="84"/>
      <c r="M10" s="84"/>
      <c r="N10" s="84"/>
      <c r="O10" s="84"/>
      <c r="P10" s="84"/>
      <c r="Q10" s="38"/>
      <c r="R10" s="38"/>
      <c r="S10" s="38"/>
      <c r="T10" s="84"/>
      <c r="U10" s="84"/>
      <c r="V10" s="84"/>
      <c r="W10" s="84" t="s">
        <v>54</v>
      </c>
      <c r="X10" s="84"/>
      <c r="Y10" s="84"/>
      <c r="Z10" s="84"/>
      <c r="AA10" s="84"/>
      <c r="AB10" s="15"/>
      <c r="AC10" s="57" t="s">
        <v>62</v>
      </c>
      <c r="AD10" s="57"/>
      <c r="AE10" s="57"/>
      <c r="AF10" s="57"/>
      <c r="AG10" s="57"/>
      <c r="AH10" s="57"/>
      <c r="AI10" s="57"/>
      <c r="AJ10" s="57"/>
    </row>
    <row r="11" spans="1:37" x14ac:dyDescent="0.2">
      <c r="B11" s="14" t="str">
        <f>AD11</f>
        <v>ELCRNCSP1</v>
      </c>
      <c r="C11" s="14" t="s">
        <v>131</v>
      </c>
      <c r="E11" s="14" t="s">
        <v>40</v>
      </c>
      <c r="F11" s="79"/>
      <c r="G11" s="75" t="s">
        <v>32</v>
      </c>
      <c r="H11" s="79">
        <v>4000</v>
      </c>
      <c r="I11" s="79">
        <v>3500</v>
      </c>
      <c r="J11" s="80">
        <v>3000</v>
      </c>
      <c r="K11" s="101">
        <v>2015</v>
      </c>
      <c r="L11" s="82"/>
      <c r="M11" s="78">
        <v>1</v>
      </c>
      <c r="N11" s="80">
        <f>-0.02*365</f>
        <v>-7.3</v>
      </c>
      <c r="O11" s="80"/>
      <c r="P11" s="80"/>
      <c r="Q11" s="78">
        <v>0.4</v>
      </c>
      <c r="R11" s="78">
        <v>1</v>
      </c>
      <c r="S11" s="78"/>
      <c r="T11" s="79">
        <v>3000</v>
      </c>
      <c r="U11" s="79">
        <f>T11*0.03</f>
        <v>90</v>
      </c>
      <c r="V11" s="100">
        <v>2</v>
      </c>
      <c r="W11" s="79">
        <v>50</v>
      </c>
      <c r="X11" s="79">
        <v>31.536000000000001</v>
      </c>
      <c r="Y11" s="79">
        <v>1</v>
      </c>
      <c r="Z11" s="79">
        <v>1</v>
      </c>
      <c r="AA11" s="100">
        <v>1</v>
      </c>
      <c r="AC11" s="59" t="s">
        <v>76</v>
      </c>
      <c r="AD11" s="59" t="s">
        <v>140</v>
      </c>
      <c r="AE11" t="s">
        <v>141</v>
      </c>
      <c r="AF11" s="59" t="s">
        <v>41</v>
      </c>
      <c r="AG11" s="59" t="s">
        <v>42</v>
      </c>
      <c r="AH11" s="60" t="s">
        <v>90</v>
      </c>
      <c r="AI11" s="14" t="s">
        <v>40</v>
      </c>
      <c r="AJ11" s="59"/>
    </row>
    <row r="12" spans="1:37" x14ac:dyDescent="0.2">
      <c r="C12"/>
      <c r="F12" s="79" t="s">
        <v>151</v>
      </c>
      <c r="G12" s="75"/>
      <c r="H12" s="79"/>
      <c r="I12" s="79"/>
      <c r="J12" s="80"/>
      <c r="K12" s="101"/>
      <c r="L12" s="82"/>
      <c r="M12" s="78"/>
      <c r="N12" s="78"/>
      <c r="O12" s="78"/>
      <c r="P12" s="78"/>
      <c r="Q12" s="78"/>
      <c r="R12" s="78">
        <f>9/24/(1-S12)</f>
        <v>0.44117647058823528</v>
      </c>
      <c r="S12" s="78">
        <v>0.15</v>
      </c>
      <c r="T12" s="79"/>
      <c r="U12" s="79"/>
      <c r="V12" s="78"/>
      <c r="W12" s="79"/>
      <c r="X12" s="79"/>
      <c r="Y12" s="79"/>
      <c r="Z12" s="79"/>
      <c r="AA12" s="100"/>
      <c r="AC12" s="106" t="s">
        <v>62</v>
      </c>
      <c r="AD12" s="106" t="s">
        <v>62</v>
      </c>
      <c r="AE12" s="107"/>
      <c r="AF12" s="106"/>
      <c r="AG12" s="106"/>
      <c r="AH12" s="108"/>
      <c r="AI12" s="106"/>
      <c r="AJ12" s="106"/>
    </row>
    <row r="13" spans="1:37" x14ac:dyDescent="0.2">
      <c r="B13" s="14" t="str">
        <f>AD13</f>
        <v>ELCRNHYDP1</v>
      </c>
      <c r="C13" s="14" t="s">
        <v>65</v>
      </c>
      <c r="E13" s="14" t="s">
        <v>40</v>
      </c>
      <c r="F13" s="79"/>
      <c r="G13" s="75" t="s">
        <v>32</v>
      </c>
      <c r="H13" s="80">
        <v>2600</v>
      </c>
      <c r="I13" s="78"/>
      <c r="J13" s="78"/>
      <c r="K13" s="101">
        <v>2010</v>
      </c>
      <c r="L13" s="81"/>
      <c r="M13" s="78">
        <v>1</v>
      </c>
      <c r="N13" s="80"/>
      <c r="O13" s="80"/>
      <c r="P13" s="80"/>
      <c r="Q13" s="78">
        <v>0.4</v>
      </c>
      <c r="R13" s="78">
        <v>1</v>
      </c>
      <c r="S13" s="78"/>
      <c r="T13" s="79">
        <v>2500</v>
      </c>
      <c r="U13" s="81">
        <f>T13*0.015</f>
        <v>37.5</v>
      </c>
      <c r="V13" s="110">
        <v>0.1</v>
      </c>
      <c r="W13" s="79">
        <v>50</v>
      </c>
      <c r="X13" s="79">
        <v>31.536000000000001</v>
      </c>
      <c r="Y13" s="79">
        <v>1</v>
      </c>
      <c r="Z13" s="79">
        <v>1</v>
      </c>
      <c r="AA13" s="100">
        <v>1</v>
      </c>
      <c r="AC13" s="59" t="s">
        <v>76</v>
      </c>
      <c r="AD13" s="59" t="s">
        <v>79</v>
      </c>
      <c r="AE13" t="s">
        <v>75</v>
      </c>
      <c r="AF13" s="59" t="s">
        <v>41</v>
      </c>
      <c r="AG13" s="59" t="s">
        <v>42</v>
      </c>
      <c r="AH13" s="60" t="s">
        <v>90</v>
      </c>
      <c r="AI13" s="14" t="s">
        <v>40</v>
      </c>
      <c r="AJ13" s="59"/>
    </row>
    <row r="14" spans="1:37" x14ac:dyDescent="0.2">
      <c r="C14"/>
      <c r="F14" s="79" t="s">
        <v>151</v>
      </c>
      <c r="G14" s="75"/>
      <c r="H14" s="80"/>
      <c r="I14" s="78"/>
      <c r="J14" s="78"/>
      <c r="K14" s="101"/>
      <c r="L14" s="81"/>
      <c r="M14" s="78"/>
      <c r="N14" s="78"/>
      <c r="O14" s="78"/>
      <c r="P14" s="78"/>
      <c r="Q14" s="78"/>
      <c r="R14" s="78">
        <f>6/24</f>
        <v>0.25</v>
      </c>
      <c r="S14" s="78"/>
      <c r="T14" s="79"/>
      <c r="U14" s="81"/>
      <c r="V14" s="110"/>
      <c r="W14" s="79"/>
      <c r="X14" s="79"/>
      <c r="Y14" s="79"/>
      <c r="Z14" s="79"/>
      <c r="AA14" s="100"/>
      <c r="AC14" s="106" t="s">
        <v>62</v>
      </c>
      <c r="AD14" s="106" t="s">
        <v>62</v>
      </c>
      <c r="AE14" s="107"/>
      <c r="AF14" s="106"/>
      <c r="AG14" s="106"/>
      <c r="AH14" s="108"/>
      <c r="AI14" s="106"/>
      <c r="AJ14" s="106"/>
      <c r="AK14" s="129"/>
    </row>
    <row r="15" spans="1:37" x14ac:dyDescent="0.2">
      <c r="B15" s="14" t="str">
        <f>AD15</f>
        <v>ELCRNHYDR1</v>
      </c>
      <c r="C15" s="14" t="s">
        <v>65</v>
      </c>
      <c r="E15" s="14" t="s">
        <v>40</v>
      </c>
      <c r="F15" s="79" t="s">
        <v>40</v>
      </c>
      <c r="G15" s="75" t="s">
        <v>32</v>
      </c>
      <c r="H15" s="80">
        <v>3500</v>
      </c>
      <c r="I15" s="78"/>
      <c r="J15" s="78"/>
      <c r="K15" s="101">
        <v>2010</v>
      </c>
      <c r="L15" s="82"/>
      <c r="M15" s="78">
        <v>1</v>
      </c>
      <c r="N15" s="78">
        <v>0.04</v>
      </c>
      <c r="O15" s="78"/>
      <c r="P15" s="78"/>
      <c r="Q15" s="78">
        <v>0.5</v>
      </c>
      <c r="R15" s="78">
        <v>1</v>
      </c>
      <c r="S15" s="78"/>
      <c r="T15" s="82">
        <v>3500</v>
      </c>
      <c r="U15" s="81">
        <f>T15*0.015</f>
        <v>52.5</v>
      </c>
      <c r="V15" s="110">
        <v>0.1</v>
      </c>
      <c r="W15" s="79">
        <v>50</v>
      </c>
      <c r="X15" s="79">
        <v>31.536000000000001</v>
      </c>
      <c r="Y15" s="79">
        <v>1</v>
      </c>
      <c r="Z15" s="79"/>
      <c r="AA15" s="100">
        <v>1</v>
      </c>
      <c r="AC15" s="59" t="s">
        <v>77</v>
      </c>
      <c r="AD15" s="59" t="s">
        <v>80</v>
      </c>
      <c r="AE15" t="s">
        <v>74</v>
      </c>
      <c r="AF15" s="59" t="s">
        <v>41</v>
      </c>
      <c r="AG15" s="59" t="s">
        <v>42</v>
      </c>
      <c r="AH15" s="60" t="s">
        <v>90</v>
      </c>
      <c r="AI15" s="14" t="s">
        <v>244</v>
      </c>
      <c r="AJ15" s="61"/>
      <c r="AK15" s="129"/>
    </row>
    <row r="16" spans="1:37" x14ac:dyDescent="0.2">
      <c r="E16" s="14" t="s">
        <v>143</v>
      </c>
      <c r="F16" s="79" t="s">
        <v>151</v>
      </c>
      <c r="G16" s="75"/>
      <c r="H16" s="80"/>
      <c r="I16" s="78"/>
      <c r="J16" s="78"/>
      <c r="K16" s="101"/>
      <c r="L16" s="82"/>
      <c r="M16" s="78"/>
      <c r="N16" s="78"/>
      <c r="O16" s="78"/>
      <c r="P16" s="109">
        <v>0.15</v>
      </c>
      <c r="Q16" s="78"/>
      <c r="R16" s="80">
        <v>80</v>
      </c>
      <c r="S16" s="80"/>
      <c r="T16" s="82"/>
      <c r="U16" s="81"/>
      <c r="V16" s="83"/>
      <c r="W16" s="79"/>
      <c r="X16" s="79"/>
      <c r="Y16" s="79"/>
      <c r="Z16" s="79"/>
      <c r="AA16" s="100"/>
      <c r="AC16" s="106" t="s">
        <v>62</v>
      </c>
      <c r="AD16" s="106" t="s">
        <v>62</v>
      </c>
      <c r="AE16" s="107"/>
      <c r="AF16" s="106"/>
      <c r="AG16" s="106"/>
      <c r="AH16" s="108"/>
      <c r="AI16" s="106"/>
      <c r="AJ16" s="106"/>
      <c r="AK16" s="129"/>
    </row>
    <row r="17" spans="2:37" x14ac:dyDescent="0.2">
      <c r="E17" s="14" t="s">
        <v>143</v>
      </c>
      <c r="F17" s="79" t="s">
        <v>114</v>
      </c>
      <c r="G17" s="75"/>
      <c r="H17" s="78"/>
      <c r="I17" s="78"/>
      <c r="J17" s="78"/>
      <c r="K17" s="101"/>
      <c r="L17" s="82"/>
      <c r="M17" s="78"/>
      <c r="N17" s="78"/>
      <c r="O17" s="78"/>
      <c r="P17" s="109"/>
      <c r="Q17" s="78"/>
      <c r="R17" s="78">
        <v>-1</v>
      </c>
      <c r="S17" s="78"/>
      <c r="T17" s="82"/>
      <c r="U17" s="83"/>
      <c r="V17" s="83"/>
      <c r="W17" s="79"/>
      <c r="X17" s="79"/>
      <c r="Y17" s="79"/>
      <c r="Z17" s="79"/>
      <c r="AA17" s="100"/>
      <c r="AC17" s="106" t="s">
        <v>62</v>
      </c>
      <c r="AD17" s="106" t="s">
        <v>62</v>
      </c>
      <c r="AE17" s="107"/>
      <c r="AF17" s="106"/>
      <c r="AG17" s="106"/>
      <c r="AH17" s="108"/>
      <c r="AI17" s="106"/>
      <c r="AJ17" s="106"/>
      <c r="AK17" s="129"/>
    </row>
    <row r="18" spans="2:37" x14ac:dyDescent="0.2">
      <c r="B18" s="14" t="str">
        <f>AD18</f>
        <v>ELCSTPHS1</v>
      </c>
      <c r="C18" s="14" t="s">
        <v>40</v>
      </c>
      <c r="F18" s="79"/>
      <c r="G18" s="75" t="s">
        <v>32</v>
      </c>
      <c r="H18" s="79">
        <v>1500</v>
      </c>
      <c r="I18" s="79">
        <v>1300</v>
      </c>
      <c r="J18" s="80">
        <v>1200</v>
      </c>
      <c r="K18" s="101">
        <v>2010</v>
      </c>
      <c r="L18" s="82"/>
      <c r="M18" s="78">
        <v>0.8</v>
      </c>
      <c r="N18" s="78"/>
      <c r="O18" s="78"/>
      <c r="P18" s="78"/>
      <c r="Q18" s="78">
        <v>0.25</v>
      </c>
      <c r="R18" s="78">
        <v>1</v>
      </c>
      <c r="S18" s="78"/>
      <c r="T18" s="79">
        <v>1300</v>
      </c>
      <c r="U18" s="80">
        <v>10</v>
      </c>
      <c r="V18" s="100">
        <v>0</v>
      </c>
      <c r="W18" s="79">
        <v>50</v>
      </c>
      <c r="X18" s="79">
        <v>31.536000000000001</v>
      </c>
      <c r="Y18" s="79"/>
      <c r="Z18" s="79">
        <v>1</v>
      </c>
      <c r="AA18" s="100">
        <v>1</v>
      </c>
      <c r="AC18" s="59" t="s">
        <v>76</v>
      </c>
      <c r="AD18" s="59" t="s">
        <v>81</v>
      </c>
      <c r="AE18" t="s">
        <v>73</v>
      </c>
      <c r="AF18" s="59" t="s">
        <v>41</v>
      </c>
      <c r="AG18" s="59" t="s">
        <v>42</v>
      </c>
      <c r="AH18" s="60" t="s">
        <v>90</v>
      </c>
      <c r="AI18" s="14" t="s">
        <v>40</v>
      </c>
      <c r="AJ18" s="59"/>
      <c r="AK18" s="129"/>
    </row>
    <row r="19" spans="2:37" x14ac:dyDescent="0.2">
      <c r="C19"/>
      <c r="F19" s="79" t="s">
        <v>151</v>
      </c>
      <c r="G19" s="75" t="s">
        <v>152</v>
      </c>
      <c r="H19" s="79"/>
      <c r="I19" s="78">
        <f>R19</f>
        <v>0.3125</v>
      </c>
      <c r="J19" s="80"/>
      <c r="K19" s="101"/>
      <c r="L19" s="82"/>
      <c r="M19" s="78"/>
      <c r="N19" s="78"/>
      <c r="O19" s="78"/>
      <c r="P19" s="78"/>
      <c r="Q19" s="78"/>
      <c r="R19" s="78">
        <f>6/24/M18</f>
        <v>0.3125</v>
      </c>
      <c r="S19" s="78"/>
      <c r="T19" s="79"/>
      <c r="U19" s="100"/>
      <c r="V19" s="78"/>
      <c r="W19" s="79"/>
      <c r="X19" s="79"/>
      <c r="Y19" s="79"/>
      <c r="Z19" s="79"/>
      <c r="AA19" s="100"/>
      <c r="AC19" s="106" t="s">
        <v>62</v>
      </c>
      <c r="AD19" s="106" t="s">
        <v>62</v>
      </c>
      <c r="AE19" s="107"/>
      <c r="AF19" s="106"/>
      <c r="AG19" s="106"/>
      <c r="AH19" s="108"/>
      <c r="AI19" s="106"/>
      <c r="AJ19" s="106"/>
      <c r="AK19" s="129"/>
    </row>
    <row r="20" spans="2:37" x14ac:dyDescent="0.2">
      <c r="F20" s="79" t="s">
        <v>114</v>
      </c>
      <c r="G20" s="75" t="s">
        <v>152</v>
      </c>
      <c r="H20" s="79"/>
      <c r="I20" s="78">
        <f>R20</f>
        <v>0.66666666666666663</v>
      </c>
      <c r="J20" s="80"/>
      <c r="K20" s="101"/>
      <c r="L20" s="82"/>
      <c r="M20" s="78"/>
      <c r="N20" s="78"/>
      <c r="O20" s="78"/>
      <c r="P20" s="78"/>
      <c r="Q20" s="78"/>
      <c r="R20" s="78">
        <f>6/9</f>
        <v>0.66666666666666663</v>
      </c>
      <c r="S20" s="78"/>
      <c r="T20" s="79"/>
      <c r="U20" s="100"/>
      <c r="V20" s="78"/>
      <c r="W20" s="79"/>
      <c r="X20" s="79"/>
      <c r="Y20" s="79"/>
      <c r="Z20" s="79"/>
      <c r="AA20" s="100"/>
      <c r="AC20" s="106" t="s">
        <v>62</v>
      </c>
      <c r="AD20" s="106" t="s">
        <v>62</v>
      </c>
      <c r="AE20" s="107"/>
      <c r="AF20" s="106"/>
      <c r="AG20" s="106"/>
      <c r="AH20" s="108"/>
      <c r="AI20" s="106"/>
      <c r="AJ20" s="106"/>
      <c r="AK20" s="129"/>
    </row>
    <row r="21" spans="2:37" x14ac:dyDescent="0.2">
      <c r="B21" s="14" t="str">
        <f>AD21</f>
        <v>ELCSTCAES1</v>
      </c>
      <c r="C21" s="14" t="s">
        <v>40</v>
      </c>
      <c r="F21" s="79" t="s">
        <v>114</v>
      </c>
      <c r="G21" s="75" t="s">
        <v>32</v>
      </c>
      <c r="H21" s="79">
        <v>950</v>
      </c>
      <c r="I21" s="79">
        <v>860</v>
      </c>
      <c r="J21" s="79">
        <v>780</v>
      </c>
      <c r="K21" s="101">
        <v>2015</v>
      </c>
      <c r="L21" s="82"/>
      <c r="M21" s="79">
        <v>0.7</v>
      </c>
      <c r="N21" s="78">
        <f>1-0.985^12</f>
        <v>0.16586803165912289</v>
      </c>
      <c r="O21" s="78"/>
      <c r="P21" s="78"/>
      <c r="Q21" s="78"/>
      <c r="R21" s="79">
        <v>1</v>
      </c>
      <c r="S21" s="79"/>
      <c r="T21" s="79">
        <f>I21</f>
        <v>860</v>
      </c>
      <c r="U21" s="80">
        <f>T21*0.035</f>
        <v>30.1</v>
      </c>
      <c r="V21" s="100">
        <v>0</v>
      </c>
      <c r="W21" s="79">
        <v>40</v>
      </c>
      <c r="X21" s="79">
        <v>31.536000000000001</v>
      </c>
      <c r="Y21" s="79"/>
      <c r="Z21" s="79">
        <v>1</v>
      </c>
      <c r="AA21" s="100">
        <v>1</v>
      </c>
      <c r="AC21" s="59" t="s">
        <v>77</v>
      </c>
      <c r="AD21" s="59" t="s">
        <v>82</v>
      </c>
      <c r="AE21" t="s">
        <v>88</v>
      </c>
      <c r="AF21" s="59" t="s">
        <v>41</v>
      </c>
      <c r="AG21" s="59" t="s">
        <v>42</v>
      </c>
      <c r="AH21" s="60" t="s">
        <v>90</v>
      </c>
      <c r="AI21" s="14" t="s">
        <v>40</v>
      </c>
      <c r="AJ21" s="59"/>
      <c r="AK21" s="129"/>
    </row>
    <row r="22" spans="2:37" x14ac:dyDescent="0.2">
      <c r="C22"/>
      <c r="F22" s="79" t="s">
        <v>151</v>
      </c>
      <c r="G22" s="75" t="s">
        <v>97</v>
      </c>
      <c r="H22" s="79">
        <v>0.6</v>
      </c>
      <c r="I22" s="79">
        <v>0.7</v>
      </c>
      <c r="J22" s="78">
        <v>0.72</v>
      </c>
      <c r="K22" s="101"/>
      <c r="L22" s="82"/>
      <c r="M22" s="79"/>
      <c r="N22" s="78"/>
      <c r="O22" s="78"/>
      <c r="P22" s="78"/>
      <c r="Q22" s="78"/>
      <c r="R22" s="78">
        <f>10/24/I22/I23</f>
        <v>0.41666666666666674</v>
      </c>
      <c r="S22" s="78"/>
      <c r="T22" s="79"/>
      <c r="U22" s="78"/>
      <c r="V22" s="78"/>
      <c r="W22" s="79"/>
      <c r="X22" s="79"/>
      <c r="Y22" s="79"/>
      <c r="Z22" s="79"/>
      <c r="AA22" s="100"/>
      <c r="AC22" s="106" t="s">
        <v>62</v>
      </c>
      <c r="AD22" s="106" t="s">
        <v>62</v>
      </c>
      <c r="AE22" s="107"/>
      <c r="AF22" s="106"/>
      <c r="AG22" s="106"/>
      <c r="AH22" s="108"/>
      <c r="AI22" s="106"/>
      <c r="AJ22" s="106"/>
      <c r="AK22" s="129"/>
    </row>
    <row r="23" spans="2:37" x14ac:dyDescent="0.2">
      <c r="F23" s="79" t="s">
        <v>40</v>
      </c>
      <c r="G23" s="75" t="s">
        <v>71</v>
      </c>
      <c r="H23" s="78">
        <f>1/H22</f>
        <v>1.6666666666666667</v>
      </c>
      <c r="I23" s="78">
        <f>1/I22</f>
        <v>1.4285714285714286</v>
      </c>
      <c r="J23" s="78">
        <f>1/J22</f>
        <v>1.3888888888888888</v>
      </c>
      <c r="K23" s="101"/>
      <c r="L23" s="82"/>
      <c r="M23" s="79"/>
      <c r="N23" s="78"/>
      <c r="O23" s="78"/>
      <c r="P23" s="78"/>
      <c r="Q23" s="78"/>
      <c r="R23" s="78"/>
      <c r="S23" s="78"/>
      <c r="T23" s="79"/>
      <c r="U23" s="78"/>
      <c r="V23" s="78"/>
      <c r="W23" s="79"/>
      <c r="X23" s="79"/>
      <c r="Y23" s="79"/>
      <c r="Z23" s="79"/>
      <c r="AA23" s="100"/>
      <c r="AC23" s="106" t="s">
        <v>62</v>
      </c>
      <c r="AD23" s="106" t="s">
        <v>62</v>
      </c>
      <c r="AE23" s="107"/>
      <c r="AF23" s="106"/>
      <c r="AG23" s="106"/>
      <c r="AH23" s="108"/>
      <c r="AI23" s="106"/>
      <c r="AJ23" s="106"/>
      <c r="AK23" s="129"/>
    </row>
    <row r="24" spans="2:37" x14ac:dyDescent="0.2">
      <c r="B24" s="14" t="str">
        <f>AD24</f>
        <v>ELCSTCAES2</v>
      </c>
      <c r="C24" s="14" t="s">
        <v>40</v>
      </c>
      <c r="F24" s="79" t="s">
        <v>114</v>
      </c>
      <c r="G24" s="75" t="s">
        <v>32</v>
      </c>
      <c r="H24" s="79">
        <v>950</v>
      </c>
      <c r="I24" s="79">
        <v>860</v>
      </c>
      <c r="J24" s="79">
        <v>780</v>
      </c>
      <c r="K24" s="101">
        <v>2015</v>
      </c>
      <c r="M24" s="78">
        <f>I25</f>
        <v>1.4577259475218658</v>
      </c>
      <c r="N24" s="78">
        <f>1-0.985^12</f>
        <v>0.16586803165912289</v>
      </c>
      <c r="O24" s="78"/>
      <c r="P24" s="80"/>
      <c r="Q24" s="78"/>
      <c r="R24" s="78">
        <v>1</v>
      </c>
      <c r="S24" s="78"/>
      <c r="T24" s="79">
        <f>I24</f>
        <v>860</v>
      </c>
      <c r="U24" s="80">
        <f>T24*0.035</f>
        <v>30.1</v>
      </c>
      <c r="V24" s="100">
        <v>0</v>
      </c>
      <c r="W24" s="79">
        <v>40</v>
      </c>
      <c r="X24" s="79">
        <v>31.536000000000001</v>
      </c>
      <c r="Y24" s="79"/>
      <c r="Z24" s="79">
        <v>1</v>
      </c>
      <c r="AA24" s="100">
        <v>1</v>
      </c>
      <c r="AC24" s="59" t="s">
        <v>77</v>
      </c>
      <c r="AD24" s="59" t="s">
        <v>87</v>
      </c>
      <c r="AE24" t="s">
        <v>89</v>
      </c>
      <c r="AF24" s="59" t="s">
        <v>41</v>
      </c>
      <c r="AG24" s="59" t="s">
        <v>42</v>
      </c>
      <c r="AH24" s="60" t="s">
        <v>90</v>
      </c>
      <c r="AI24" s="14" t="s">
        <v>40</v>
      </c>
      <c r="AJ24" s="59"/>
      <c r="AK24" s="129"/>
    </row>
    <row r="25" spans="2:37" ht="13.5" customHeight="1" x14ac:dyDescent="0.2">
      <c r="C25"/>
      <c r="F25" s="79" t="s">
        <v>151</v>
      </c>
      <c r="G25" s="75" t="s">
        <v>97</v>
      </c>
      <c r="H25" s="78">
        <f>1/0.7</f>
        <v>1.4285714285714286</v>
      </c>
      <c r="I25" s="78">
        <f>1/0.686</f>
        <v>1.4577259475218658</v>
      </c>
      <c r="J25" s="78">
        <f>1/0.68</f>
        <v>1.4705882352941175</v>
      </c>
      <c r="K25" s="101"/>
      <c r="L25" s="82"/>
      <c r="M25" s="78"/>
      <c r="N25" s="78"/>
      <c r="O25" s="78"/>
      <c r="P25" s="78"/>
      <c r="Q25" s="78"/>
      <c r="R25" s="78">
        <f>10/24/I25/I26</f>
        <v>0.41666666666666669</v>
      </c>
      <c r="S25" s="78"/>
      <c r="T25" s="79"/>
      <c r="U25" s="78"/>
      <c r="V25" s="78"/>
      <c r="W25" s="79"/>
      <c r="X25" s="79"/>
      <c r="Y25" s="79"/>
      <c r="Z25" s="79"/>
      <c r="AA25" s="100"/>
      <c r="AC25" s="106" t="s">
        <v>62</v>
      </c>
      <c r="AD25" s="106" t="s">
        <v>62</v>
      </c>
      <c r="AE25" s="107"/>
      <c r="AF25" s="106"/>
      <c r="AG25" s="106"/>
      <c r="AH25" s="108"/>
      <c r="AI25" s="106"/>
      <c r="AJ25" s="106"/>
      <c r="AK25" s="129"/>
    </row>
    <row r="26" spans="2:37" ht="13.5" customHeight="1" x14ac:dyDescent="0.2">
      <c r="D26" s="14" t="s">
        <v>145</v>
      </c>
      <c r="F26" s="79" t="s">
        <v>40</v>
      </c>
      <c r="G26" s="75" t="s">
        <v>71</v>
      </c>
      <c r="H26" s="78">
        <f>1/H25</f>
        <v>0.7</v>
      </c>
      <c r="I26" s="78">
        <f>1/I25</f>
        <v>0.68600000000000005</v>
      </c>
      <c r="J26" s="78">
        <f>1/J25</f>
        <v>0.68</v>
      </c>
      <c r="K26" s="101"/>
      <c r="L26" s="83">
        <f>1.1/0.686</f>
        <v>1.6034985422740524</v>
      </c>
      <c r="M26" s="78"/>
      <c r="N26" s="78"/>
      <c r="O26" s="78"/>
      <c r="P26" s="78"/>
      <c r="Q26" s="78"/>
      <c r="R26" s="79">
        <v>1</v>
      </c>
      <c r="S26" s="79"/>
      <c r="T26" s="79"/>
      <c r="U26" s="78"/>
      <c r="V26" s="78"/>
      <c r="W26" s="79"/>
      <c r="X26" s="79"/>
      <c r="Y26" s="79"/>
      <c r="Z26" s="79"/>
      <c r="AA26" s="100"/>
      <c r="AC26" s="106" t="s">
        <v>62</v>
      </c>
      <c r="AD26" s="106" t="s">
        <v>62</v>
      </c>
      <c r="AE26" s="107"/>
      <c r="AF26" s="106"/>
      <c r="AG26" s="106"/>
      <c r="AH26" s="108"/>
      <c r="AI26" s="106"/>
      <c r="AJ26" s="106"/>
      <c r="AK26" s="129"/>
    </row>
    <row r="27" spans="2:37" ht="13.5" customHeight="1" x14ac:dyDescent="0.2">
      <c r="B27" s="14" t="str">
        <f>AD27</f>
        <v>ELCSTBATT1</v>
      </c>
      <c r="C27" s="16" t="s">
        <v>40</v>
      </c>
      <c r="E27" s="16"/>
      <c r="F27" s="79" t="s">
        <v>114</v>
      </c>
      <c r="G27" s="75" t="s">
        <v>32</v>
      </c>
      <c r="H27" s="79">
        <v>402</v>
      </c>
      <c r="I27" s="79">
        <v>243</v>
      </c>
      <c r="J27" s="80">
        <v>204.92</v>
      </c>
      <c r="K27" s="101">
        <v>2015</v>
      </c>
      <c r="L27" s="82"/>
      <c r="M27" s="79">
        <v>0.92</v>
      </c>
      <c r="N27" s="78"/>
      <c r="O27" s="80">
        <v>30000</v>
      </c>
      <c r="P27" s="80">
        <v>1</v>
      </c>
      <c r="Q27" s="78"/>
      <c r="R27" s="78">
        <v>4</v>
      </c>
      <c r="S27" s="111"/>
      <c r="T27" s="79">
        <v>250</v>
      </c>
      <c r="U27" s="100">
        <f>T27*0.014</f>
        <v>3.5</v>
      </c>
      <c r="V27" s="100">
        <v>0.5</v>
      </c>
      <c r="W27" s="79">
        <v>25</v>
      </c>
      <c r="X27" s="79">
        <f>3.6*8.76/24</f>
        <v>1.3140000000000001</v>
      </c>
      <c r="Y27" s="79"/>
      <c r="Z27" s="79">
        <v>1</v>
      </c>
      <c r="AA27" s="100">
        <v>1</v>
      </c>
      <c r="AC27" s="59" t="s">
        <v>76</v>
      </c>
      <c r="AD27" s="59" t="s">
        <v>83</v>
      </c>
      <c r="AE27" t="s">
        <v>159</v>
      </c>
      <c r="AF27" s="59" t="s">
        <v>41</v>
      </c>
      <c r="AG27" s="59" t="s">
        <v>42</v>
      </c>
      <c r="AH27" s="60" t="s">
        <v>90</v>
      </c>
      <c r="AI27" s="14" t="s">
        <v>40</v>
      </c>
      <c r="AJ27" s="59"/>
      <c r="AK27" s="129"/>
    </row>
    <row r="28" spans="2:37" x14ac:dyDescent="0.2">
      <c r="C28"/>
      <c r="F28" s="79" t="s">
        <v>151</v>
      </c>
      <c r="G28" s="75" t="s">
        <v>97</v>
      </c>
      <c r="H28" s="79">
        <v>0.91</v>
      </c>
      <c r="I28" s="79">
        <v>0.92</v>
      </c>
      <c r="J28" s="78">
        <v>0.92</v>
      </c>
      <c r="K28" s="101"/>
      <c r="L28" s="82"/>
      <c r="M28" s="78"/>
      <c r="N28" s="78"/>
      <c r="O28" s="78"/>
      <c r="P28" s="80"/>
      <c r="Q28" s="78"/>
      <c r="R28" s="78">
        <v>1</v>
      </c>
      <c r="S28" s="78"/>
      <c r="T28" s="79"/>
      <c r="U28" s="79"/>
      <c r="V28" s="78"/>
      <c r="W28" s="79"/>
      <c r="X28" s="79"/>
      <c r="Y28" s="79"/>
      <c r="Z28" s="79"/>
      <c r="AA28" s="100"/>
      <c r="AC28" s="106" t="s">
        <v>62</v>
      </c>
      <c r="AD28" s="106" t="s">
        <v>62</v>
      </c>
      <c r="AE28" s="107"/>
      <c r="AF28" s="106"/>
      <c r="AG28" s="106"/>
      <c r="AH28" s="108"/>
      <c r="AI28" s="106"/>
      <c r="AJ28" s="106"/>
      <c r="AK28" s="129"/>
    </row>
    <row r="29" spans="2:37" x14ac:dyDescent="0.2">
      <c r="B29" s="105" t="str">
        <f>AD29</f>
        <v>ELCSTBATT2</v>
      </c>
      <c r="C29" s="16" t="s">
        <v>40</v>
      </c>
      <c r="F29" s="79" t="s">
        <v>114</v>
      </c>
      <c r="G29" s="75" t="s">
        <v>32</v>
      </c>
      <c r="H29" s="79">
        <f>H27*6</f>
        <v>2412</v>
      </c>
      <c r="I29" s="79">
        <f>I27*6</f>
        <v>1458</v>
      </c>
      <c r="J29" s="80">
        <f>J27*6</f>
        <v>1229.52</v>
      </c>
      <c r="K29" s="101">
        <v>2015</v>
      </c>
      <c r="L29" s="82"/>
      <c r="M29" s="79">
        <v>0.92</v>
      </c>
      <c r="N29" s="78"/>
      <c r="O29" s="80">
        <v>30000</v>
      </c>
      <c r="P29" s="80">
        <v>1</v>
      </c>
      <c r="Q29" s="78"/>
      <c r="R29" s="78">
        <v>1</v>
      </c>
      <c r="S29" s="111"/>
      <c r="T29" s="79">
        <f>I29</f>
        <v>1458</v>
      </c>
      <c r="U29" s="100">
        <f>U27*8</f>
        <v>28</v>
      </c>
      <c r="V29" s="100">
        <v>0.5</v>
      </c>
      <c r="W29" s="79">
        <v>25</v>
      </c>
      <c r="X29" s="79">
        <v>31.536000000000001</v>
      </c>
      <c r="Y29" s="79"/>
      <c r="Z29" s="79">
        <v>1</v>
      </c>
      <c r="AA29" s="100">
        <v>1</v>
      </c>
      <c r="AC29" s="59" t="s">
        <v>76</v>
      </c>
      <c r="AD29" s="59" t="s">
        <v>153</v>
      </c>
      <c r="AE29" t="s">
        <v>154</v>
      </c>
      <c r="AF29" s="59" t="s">
        <v>41</v>
      </c>
      <c r="AG29" s="59" t="s">
        <v>42</v>
      </c>
      <c r="AH29" s="60" t="s">
        <v>90</v>
      </c>
      <c r="AI29" s="14" t="s">
        <v>40</v>
      </c>
      <c r="AJ29" s="59"/>
      <c r="AK29" s="129"/>
    </row>
    <row r="30" spans="2:37" x14ac:dyDescent="0.2">
      <c r="C30"/>
      <c r="F30" s="79" t="s">
        <v>151</v>
      </c>
      <c r="G30" s="75" t="s">
        <v>97</v>
      </c>
      <c r="H30" s="79">
        <v>0.91</v>
      </c>
      <c r="I30" s="79">
        <v>0.92</v>
      </c>
      <c r="J30" s="78">
        <v>0.92</v>
      </c>
      <c r="K30" s="101"/>
      <c r="L30" s="82"/>
      <c r="M30" s="79"/>
      <c r="N30" s="78"/>
      <c r="O30" s="78"/>
      <c r="P30" s="78"/>
      <c r="Q30" s="78"/>
      <c r="R30" s="78">
        <f>1/4</f>
        <v>0.25</v>
      </c>
      <c r="S30" s="78"/>
      <c r="T30" s="79"/>
      <c r="U30" s="79"/>
      <c r="V30" s="78"/>
      <c r="W30" s="79"/>
      <c r="X30" s="79"/>
      <c r="Y30" s="79"/>
      <c r="Z30" s="79"/>
      <c r="AA30" s="100"/>
      <c r="AC30" s="106" t="s">
        <v>62</v>
      </c>
      <c r="AD30" s="106" t="s">
        <v>62</v>
      </c>
      <c r="AE30" s="107"/>
      <c r="AF30" s="106"/>
      <c r="AG30" s="106"/>
      <c r="AH30" s="108"/>
      <c r="AI30" s="106"/>
      <c r="AJ30" s="106"/>
      <c r="AK30" s="129"/>
    </row>
    <row r="31" spans="2:37" x14ac:dyDescent="0.2">
      <c r="B31" s="105" t="str">
        <f>AD31</f>
        <v>ELCSTBATT3</v>
      </c>
      <c r="C31" s="16" t="s">
        <v>40</v>
      </c>
      <c r="F31" s="79" t="s">
        <v>114</v>
      </c>
      <c r="G31" s="75" t="s">
        <v>32</v>
      </c>
      <c r="H31" s="79">
        <v>260</v>
      </c>
      <c r="I31" s="79">
        <v>160</v>
      </c>
      <c r="J31" s="80">
        <v>130</v>
      </c>
      <c r="K31" s="101"/>
      <c r="L31" s="82"/>
      <c r="M31" s="79">
        <v>0.93</v>
      </c>
      <c r="N31" s="100">
        <f>-0.015*365</f>
        <v>-5.4749999999999996</v>
      </c>
      <c r="O31" s="80">
        <v>30000</v>
      </c>
      <c r="P31" s="78"/>
      <c r="Q31" s="78"/>
      <c r="R31" s="78">
        <f>24/(7*24)</f>
        <v>0.14285714285714285</v>
      </c>
      <c r="S31" s="111"/>
      <c r="T31" s="79">
        <v>150</v>
      </c>
      <c r="U31" s="79">
        <f>T31*0.012</f>
        <v>1.8</v>
      </c>
      <c r="V31" s="100">
        <v>0.4</v>
      </c>
      <c r="W31" s="79">
        <v>25</v>
      </c>
      <c r="X31" s="79">
        <f>3.6*8.76/24</f>
        <v>1.3140000000000001</v>
      </c>
      <c r="Y31" s="79"/>
      <c r="Z31" s="79"/>
      <c r="AA31" s="100"/>
      <c r="AC31" s="59" t="s">
        <v>77</v>
      </c>
      <c r="AD31" s="59" t="s">
        <v>157</v>
      </c>
      <c r="AE31" t="s">
        <v>158</v>
      </c>
      <c r="AF31" s="59" t="s">
        <v>41</v>
      </c>
      <c r="AG31" s="59" t="s">
        <v>42</v>
      </c>
      <c r="AH31" s="60" t="s">
        <v>90</v>
      </c>
      <c r="AI31" s="14" t="s">
        <v>40</v>
      </c>
      <c r="AJ31" s="59"/>
      <c r="AK31" s="129"/>
    </row>
    <row r="32" spans="2:37" x14ac:dyDescent="0.2">
      <c r="C32"/>
      <c r="F32" s="79" t="s">
        <v>151</v>
      </c>
      <c r="G32" s="75" t="s">
        <v>97</v>
      </c>
      <c r="H32" s="79">
        <v>0.92</v>
      </c>
      <c r="I32" s="79">
        <v>0.93</v>
      </c>
      <c r="J32" s="78">
        <v>0.94</v>
      </c>
      <c r="K32" s="101"/>
      <c r="L32" s="82"/>
      <c r="M32" s="79"/>
      <c r="N32" s="78"/>
      <c r="O32" s="78"/>
      <c r="P32" s="78"/>
      <c r="Q32" s="78"/>
      <c r="R32" s="78">
        <v>1</v>
      </c>
      <c r="S32" s="78"/>
      <c r="T32" s="79"/>
      <c r="U32" s="79"/>
      <c r="V32" s="78"/>
      <c r="W32" s="79"/>
      <c r="X32" s="79"/>
      <c r="Y32" s="79"/>
      <c r="Z32" s="79"/>
      <c r="AA32" s="100"/>
      <c r="AC32" s="106" t="s">
        <v>62</v>
      </c>
      <c r="AD32" s="106" t="s">
        <v>62</v>
      </c>
      <c r="AE32" s="107"/>
      <c r="AF32" s="106"/>
      <c r="AG32" s="106"/>
      <c r="AH32" s="108"/>
      <c r="AI32" s="106"/>
      <c r="AJ32" s="106"/>
      <c r="AK32" s="129"/>
    </row>
    <row r="33" spans="2:36" x14ac:dyDescent="0.2">
      <c r="B33" s="14" t="str">
        <f>AD33</f>
        <v>UPSSTHET1</v>
      </c>
      <c r="C33" s="14" t="s">
        <v>92</v>
      </c>
      <c r="F33" s="79"/>
      <c r="G33" s="75" t="s">
        <v>32</v>
      </c>
      <c r="H33" s="80">
        <v>579.55555555555566</v>
      </c>
      <c r="I33" s="80">
        <v>544.44444444444434</v>
      </c>
      <c r="J33" s="80">
        <v>466.66666666666669</v>
      </c>
      <c r="K33" s="101">
        <v>2015</v>
      </c>
      <c r="M33" s="79">
        <v>0.74</v>
      </c>
      <c r="N33" s="79">
        <v>0.2</v>
      </c>
      <c r="O33" s="79"/>
      <c r="P33" s="80">
        <v>1</v>
      </c>
      <c r="T33" s="79">
        <v>500</v>
      </c>
      <c r="U33" s="79">
        <v>3</v>
      </c>
      <c r="V33" s="100">
        <v>0</v>
      </c>
      <c r="W33" s="79">
        <v>25</v>
      </c>
      <c r="X33" s="79">
        <v>3.6</v>
      </c>
      <c r="Z33" s="79">
        <v>1</v>
      </c>
      <c r="AA33" s="100">
        <v>1</v>
      </c>
      <c r="AC33" s="59" t="s">
        <v>245</v>
      </c>
      <c r="AD33" s="59" t="s">
        <v>85</v>
      </c>
      <c r="AE33" t="s">
        <v>72</v>
      </c>
      <c r="AF33" s="59" t="s">
        <v>41</v>
      </c>
      <c r="AG33" s="59" t="s">
        <v>42</v>
      </c>
      <c r="AH33" s="60" t="s">
        <v>263</v>
      </c>
      <c r="AI33" s="59" t="s">
        <v>92</v>
      </c>
      <c r="AJ33" s="59"/>
    </row>
    <row r="34" spans="2:36" x14ac:dyDescent="0.2">
      <c r="B34" s="16"/>
      <c r="AC34" s="59"/>
      <c r="AD34" s="59"/>
      <c r="AF34" s="59"/>
      <c r="AG34" s="59"/>
      <c r="AH34" s="60"/>
      <c r="AI34" s="59"/>
      <c r="AJ34" s="59"/>
    </row>
    <row r="35" spans="2:36" x14ac:dyDescent="0.2">
      <c r="B35" s="1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V35" s="19"/>
      <c r="AA35" s="19"/>
      <c r="AC35" s="6"/>
      <c r="AD35" s="6"/>
      <c r="AE35" s="6"/>
      <c r="AF35" s="6"/>
      <c r="AG35" s="6"/>
      <c r="AH35" s="6"/>
      <c r="AI35" s="6"/>
      <c r="AJ35" s="6"/>
    </row>
    <row r="36" spans="2:36" x14ac:dyDescent="0.2">
      <c r="B36" s="16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V36" s="19"/>
      <c r="AA36" s="19"/>
      <c r="AC36" s="6"/>
      <c r="AD36" s="16"/>
      <c r="AE36" s="14"/>
      <c r="AF36" s="6"/>
      <c r="AG36" s="6"/>
      <c r="AH36" s="6"/>
      <c r="AI36" s="6"/>
      <c r="AJ36" s="6"/>
    </row>
    <row r="40" spans="2:36" x14ac:dyDescent="0.2">
      <c r="C40" s="88" t="s">
        <v>277</v>
      </c>
      <c r="D40"/>
      <c r="E40"/>
      <c r="F40"/>
      <c r="G40"/>
      <c r="AC40" s="53" t="s">
        <v>6</v>
      </c>
      <c r="AD40" s="54"/>
      <c r="AE40" s="54"/>
      <c r="AF40" s="54"/>
      <c r="AG40" s="54"/>
      <c r="AH40" s="54"/>
      <c r="AI40" s="54"/>
      <c r="AJ40" s="54"/>
    </row>
    <row r="41" spans="2:36" x14ac:dyDescent="0.2">
      <c r="B41" s="89" t="s">
        <v>5</v>
      </c>
      <c r="C41" s="89" t="s">
        <v>139</v>
      </c>
      <c r="D41" s="94">
        <v>2020</v>
      </c>
      <c r="E41"/>
      <c r="F41"/>
      <c r="G41"/>
      <c r="AC41" s="56" t="s">
        <v>7</v>
      </c>
      <c r="AD41" s="56" t="s">
        <v>5</v>
      </c>
      <c r="AE41" s="56" t="s">
        <v>8</v>
      </c>
      <c r="AF41" s="56" t="s">
        <v>9</v>
      </c>
      <c r="AG41" s="56" t="s">
        <v>10</v>
      </c>
      <c r="AH41" s="56" t="s">
        <v>11</v>
      </c>
      <c r="AI41" s="56" t="s">
        <v>12</v>
      </c>
      <c r="AJ41" s="56" t="s">
        <v>13</v>
      </c>
    </row>
    <row r="42" spans="2:36" x14ac:dyDescent="0.2">
      <c r="B42" s="95" t="s">
        <v>130</v>
      </c>
      <c r="C42" s="95"/>
      <c r="D42" s="95"/>
      <c r="E42"/>
      <c r="F42"/>
      <c r="G42"/>
      <c r="AC42" s="125" t="s">
        <v>114</v>
      </c>
      <c r="AD42" s="125" t="s">
        <v>239</v>
      </c>
      <c r="AE42" s="126" t="s">
        <v>225</v>
      </c>
      <c r="AF42" s="125" t="s">
        <v>41</v>
      </c>
      <c r="AG42" s="125"/>
      <c r="AH42" s="125" t="s">
        <v>142</v>
      </c>
      <c r="AI42" s="125"/>
      <c r="AJ42" s="125"/>
    </row>
    <row r="43" spans="2:36" x14ac:dyDescent="0.2">
      <c r="B43" s="90" t="s">
        <v>65</v>
      </c>
      <c r="C43" s="91" t="s">
        <v>126</v>
      </c>
      <c r="D43" s="96">
        <v>0.7</v>
      </c>
      <c r="E43"/>
      <c r="F43"/>
      <c r="G43"/>
      <c r="AC43" s="125" t="s">
        <v>114</v>
      </c>
      <c r="AD43" s="125" t="s">
        <v>240</v>
      </c>
      <c r="AE43" s="126" t="s">
        <v>226</v>
      </c>
      <c r="AF43" s="125" t="s">
        <v>41</v>
      </c>
      <c r="AG43" s="125"/>
      <c r="AH43" s="125" t="s">
        <v>142</v>
      </c>
      <c r="AI43" s="125"/>
      <c r="AJ43" s="125"/>
    </row>
    <row r="44" spans="2:36" x14ac:dyDescent="0.2">
      <c r="B44" s="90" t="s">
        <v>65</v>
      </c>
      <c r="C44" s="91" t="s">
        <v>127</v>
      </c>
      <c r="D44" s="96">
        <v>0.13</v>
      </c>
      <c r="E44"/>
      <c r="F44"/>
      <c r="G44"/>
      <c r="AC44" s="125" t="s">
        <v>114</v>
      </c>
      <c r="AD44" s="127" t="s">
        <v>143</v>
      </c>
      <c r="AE44" s="127" t="s">
        <v>144</v>
      </c>
      <c r="AF44" s="125" t="s">
        <v>41</v>
      </c>
      <c r="AG44" s="122" t="s">
        <v>43</v>
      </c>
      <c r="AH44" s="125" t="s">
        <v>90</v>
      </c>
      <c r="AI44" s="127"/>
      <c r="AJ44" s="127"/>
    </row>
    <row r="45" spans="2:36" x14ac:dyDescent="0.2">
      <c r="B45" s="90" t="s">
        <v>65</v>
      </c>
      <c r="C45" s="91" t="s">
        <v>128</v>
      </c>
      <c r="D45" s="96">
        <v>0.11</v>
      </c>
      <c r="E45"/>
      <c r="F45"/>
      <c r="G45"/>
      <c r="AC45" s="125" t="s">
        <v>114</v>
      </c>
      <c r="AD45" s="127" t="s">
        <v>40</v>
      </c>
      <c r="AE45" s="127" t="s">
        <v>227</v>
      </c>
      <c r="AF45" s="125" t="s">
        <v>41</v>
      </c>
      <c r="AG45" s="127"/>
      <c r="AH45" s="125" t="s">
        <v>278</v>
      </c>
      <c r="AI45" s="127"/>
      <c r="AJ45" s="127" t="s">
        <v>40</v>
      </c>
    </row>
    <row r="46" spans="2:36" x14ac:dyDescent="0.2">
      <c r="B46" s="92" t="s">
        <v>65</v>
      </c>
      <c r="C46" s="93" t="s">
        <v>129</v>
      </c>
      <c r="D46" s="97">
        <v>0.06</v>
      </c>
      <c r="E46" s="33"/>
      <c r="F46"/>
      <c r="G46"/>
      <c r="AC46" s="125" t="s">
        <v>114</v>
      </c>
      <c r="AD46" s="127" t="s">
        <v>92</v>
      </c>
      <c r="AE46" s="127" t="s">
        <v>228</v>
      </c>
      <c r="AF46" s="125" t="s">
        <v>41</v>
      </c>
      <c r="AG46" s="127"/>
      <c r="AH46" s="125" t="s">
        <v>90</v>
      </c>
      <c r="AI46" s="127"/>
      <c r="AJ46" s="127" t="s">
        <v>229</v>
      </c>
    </row>
    <row r="47" spans="2:36" x14ac:dyDescent="0.2">
      <c r="B47" s="90" t="s">
        <v>131</v>
      </c>
      <c r="C47" s="91" t="s">
        <v>121</v>
      </c>
      <c r="D47" s="99">
        <v>0.16905957273366545</v>
      </c>
      <c r="E47"/>
      <c r="F47"/>
      <c r="G47"/>
      <c r="AC47" s="125" t="s">
        <v>114</v>
      </c>
      <c r="AD47" s="127" t="s">
        <v>145</v>
      </c>
      <c r="AE47" s="127" t="s">
        <v>222</v>
      </c>
      <c r="AF47" s="125" t="s">
        <v>41</v>
      </c>
      <c r="AG47" s="127"/>
      <c r="AH47" s="125" t="s">
        <v>142</v>
      </c>
      <c r="AI47" s="127"/>
      <c r="AJ47" s="127"/>
    </row>
    <row r="48" spans="2:36" x14ac:dyDescent="0.2">
      <c r="B48" s="90" t="s">
        <v>131</v>
      </c>
      <c r="C48" s="91" t="s">
        <v>122</v>
      </c>
      <c r="D48" s="99">
        <v>1.420814583571905E-2</v>
      </c>
      <c r="F48"/>
      <c r="AC48" s="125" t="s">
        <v>114</v>
      </c>
      <c r="AD48" s="127" t="s">
        <v>65</v>
      </c>
      <c r="AE48" s="127" t="s">
        <v>223</v>
      </c>
      <c r="AF48" s="125" t="s">
        <v>41</v>
      </c>
      <c r="AG48" s="127"/>
      <c r="AH48" s="125" t="s">
        <v>142</v>
      </c>
      <c r="AI48" s="127"/>
      <c r="AJ48" s="127"/>
    </row>
    <row r="49" spans="2:36" x14ac:dyDescent="0.2">
      <c r="B49" s="90" t="s">
        <v>131</v>
      </c>
      <c r="C49" s="91" t="s">
        <v>123</v>
      </c>
      <c r="D49" s="99">
        <v>6.7616017513258894E-2</v>
      </c>
      <c r="F49"/>
      <c r="AC49" s="125" t="s">
        <v>114</v>
      </c>
      <c r="AD49" s="127" t="s">
        <v>131</v>
      </c>
      <c r="AE49" s="127" t="s">
        <v>224</v>
      </c>
      <c r="AF49" s="125" t="s">
        <v>41</v>
      </c>
      <c r="AG49" s="127"/>
      <c r="AH49" s="125" t="s">
        <v>142</v>
      </c>
      <c r="AI49" s="127"/>
      <c r="AJ49" s="127"/>
    </row>
    <row r="50" spans="2:36" x14ac:dyDescent="0.2">
      <c r="B50" s="90" t="s">
        <v>131</v>
      </c>
      <c r="C50" s="91" t="s">
        <v>124</v>
      </c>
      <c r="D50" s="99">
        <v>0.28599999999999998</v>
      </c>
    </row>
    <row r="51" spans="2:36" x14ac:dyDescent="0.2">
      <c r="B51" s="90" t="s">
        <v>131</v>
      </c>
      <c r="C51" s="91" t="s">
        <v>125</v>
      </c>
      <c r="D51" s="98">
        <v>0.05</v>
      </c>
    </row>
    <row r="52" spans="2:36" x14ac:dyDescent="0.2">
      <c r="B52" s="90" t="s">
        <v>131</v>
      </c>
      <c r="C52" s="91" t="s">
        <v>132</v>
      </c>
      <c r="D52" s="98">
        <v>0.15</v>
      </c>
    </row>
    <row r="53" spans="2:36" x14ac:dyDescent="0.2">
      <c r="B53" s="90" t="s">
        <v>131</v>
      </c>
      <c r="C53" s="91" t="s">
        <v>133</v>
      </c>
      <c r="D53" s="99">
        <v>0.12836312880727049</v>
      </c>
    </row>
    <row r="54" spans="2:36" x14ac:dyDescent="0.2">
      <c r="B54" s="90" t="s">
        <v>131</v>
      </c>
      <c r="C54" s="91" t="s">
        <v>134</v>
      </c>
      <c r="D54" s="99">
        <v>7.3503971836282583E-3</v>
      </c>
    </row>
    <row r="55" spans="2:36" x14ac:dyDescent="0.2">
      <c r="B55" s="90" t="s">
        <v>131</v>
      </c>
      <c r="C55" s="91" t="s">
        <v>135</v>
      </c>
      <c r="D55" s="99">
        <v>4.4544046283794082E-2</v>
      </c>
    </row>
    <row r="56" spans="2:36" x14ac:dyDescent="0.2">
      <c r="B56" s="90" t="s">
        <v>131</v>
      </c>
      <c r="C56" s="91" t="s">
        <v>136</v>
      </c>
      <c r="D56" s="99">
        <v>5.8346876730577493E-2</v>
      </c>
    </row>
    <row r="57" spans="2:36" x14ac:dyDescent="0.2">
      <c r="B57" s="90" t="s">
        <v>131</v>
      </c>
      <c r="C57" s="91" t="s">
        <v>137</v>
      </c>
      <c r="D57" s="98">
        <v>0</v>
      </c>
    </row>
    <row r="58" spans="2:36" x14ac:dyDescent="0.2">
      <c r="B58" s="90" t="s">
        <v>131</v>
      </c>
      <c r="C58" s="91" t="s">
        <v>138</v>
      </c>
      <c r="D58" s="99">
        <v>2.4511814912086205E-2</v>
      </c>
    </row>
    <row r="59" spans="2:36" x14ac:dyDescent="0.2">
      <c r="D59" s="7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tabSelected="1" topLeftCell="K1" zoomScale="90" workbookViewId="0">
      <selection activeCell="Z29" sqref="Z29"/>
    </sheetView>
  </sheetViews>
  <sheetFormatPr defaultRowHeight="12.75" x14ac:dyDescent="0.2"/>
  <cols>
    <col min="1" max="1" width="3" style="14" customWidth="1"/>
    <col min="2" max="2" width="16.5703125" style="14" customWidth="1"/>
    <col min="3" max="3" width="10" style="14" customWidth="1"/>
    <col min="4" max="4" width="11.140625" style="14" customWidth="1"/>
    <col min="5" max="5" width="11.85546875" style="14" bestFit="1" customWidth="1"/>
    <col min="6" max="6" width="10.7109375" style="14" customWidth="1"/>
    <col min="7" max="7" width="15" style="14" bestFit="1" customWidth="1"/>
    <col min="8" max="10" width="8.140625" style="14" customWidth="1"/>
    <col min="11" max="11" width="7.5703125" style="14" customWidth="1"/>
    <col min="12" max="16" width="9" style="14" customWidth="1"/>
    <col min="17" max="17" width="9.7109375" style="14" customWidth="1"/>
    <col min="18" max="18" width="7.7109375" style="14" customWidth="1"/>
    <col min="19" max="19" width="8.28515625" style="14" customWidth="1"/>
    <col min="20" max="20" width="7" style="14" bestFit="1" customWidth="1"/>
    <col min="21" max="21" width="10" style="14" customWidth="1"/>
    <col min="22" max="22" width="6.42578125" style="14" customWidth="1"/>
    <col min="23" max="23" width="2" style="14" bestFit="1" customWidth="1"/>
    <col min="24" max="24" width="10.140625" customWidth="1"/>
    <col min="25" max="25" width="14.7109375" bestFit="1" customWidth="1"/>
    <col min="26" max="26" width="37.42578125" customWidth="1"/>
    <col min="27" max="27" width="5.7109375" customWidth="1"/>
    <col min="28" max="28" width="10" bestFit="1" customWidth="1"/>
    <col min="29" max="29" width="12.28515625" customWidth="1"/>
    <col min="30" max="30" width="12.7109375" customWidth="1"/>
    <col min="31" max="31" width="7.5703125" bestFit="1" customWidth="1"/>
  </cols>
  <sheetData>
    <row r="1" spans="1:32" ht="23.25" x14ac:dyDescent="0.35">
      <c r="A1" s="1" t="s">
        <v>35</v>
      </c>
    </row>
    <row r="2" spans="1:32" x14ac:dyDescent="0.2">
      <c r="X2" s="29"/>
      <c r="Y2" s="29"/>
      <c r="Z2" s="29"/>
      <c r="AA2" s="29"/>
      <c r="AB2" s="29"/>
      <c r="AC2" s="29"/>
      <c r="AD2" s="29"/>
      <c r="AE2" s="29"/>
      <c r="AF2" s="26"/>
    </row>
    <row r="3" spans="1:32" ht="30" x14ac:dyDescent="0.25">
      <c r="B3" s="13" t="s">
        <v>36</v>
      </c>
      <c r="C3" s="8" t="s">
        <v>37</v>
      </c>
      <c r="D3" s="8" t="s">
        <v>38</v>
      </c>
      <c r="E3" s="13" t="s">
        <v>39</v>
      </c>
    </row>
    <row r="4" spans="1:32" ht="15.75" x14ac:dyDescent="0.25">
      <c r="B4" s="9" t="s">
        <v>105</v>
      </c>
      <c r="C4" s="9" t="s">
        <v>106</v>
      </c>
      <c r="D4" s="71" t="s">
        <v>107</v>
      </c>
      <c r="E4" s="9" t="s">
        <v>104</v>
      </c>
    </row>
    <row r="6" spans="1:32" ht="15.75" x14ac:dyDescent="0.25">
      <c r="A6" s="15"/>
      <c r="P6" s="25"/>
      <c r="Q6" s="15"/>
      <c r="S6" s="15"/>
      <c r="T6" s="15"/>
      <c r="U6" s="15"/>
      <c r="V6" s="15"/>
      <c r="W6" s="15"/>
      <c r="X6" s="7"/>
      <c r="Y6" s="7"/>
      <c r="Z6" s="7"/>
      <c r="AA6" s="7"/>
      <c r="AB6" s="7"/>
      <c r="AC6" s="7"/>
      <c r="AD6" s="7"/>
      <c r="AE6" s="7"/>
    </row>
    <row r="7" spans="1:32" x14ac:dyDescent="0.2">
      <c r="X7" s="2"/>
    </row>
    <row r="8" spans="1:32" x14ac:dyDescent="0.2">
      <c r="G8" s="4" t="str">
        <f>"~FI_T: "&amp;E4</f>
        <v>~FI_T: MEuro05</v>
      </c>
      <c r="H8" s="17"/>
      <c r="I8" s="4"/>
      <c r="J8" s="4"/>
      <c r="K8" s="4"/>
      <c r="L8" s="4"/>
      <c r="M8" s="4"/>
      <c r="N8" s="4"/>
      <c r="O8" s="4"/>
      <c r="Q8" s="4"/>
      <c r="R8" s="5"/>
      <c r="S8" s="5"/>
      <c r="T8" s="3"/>
      <c r="U8" s="3"/>
      <c r="W8" s="15"/>
      <c r="X8" s="53" t="s">
        <v>17</v>
      </c>
      <c r="Y8" s="54"/>
      <c r="Z8" s="54"/>
      <c r="AA8" s="54"/>
      <c r="AB8" s="54"/>
      <c r="AC8" s="54"/>
      <c r="AD8" s="54"/>
      <c r="AE8" s="54"/>
    </row>
    <row r="9" spans="1:32" ht="38.25" x14ac:dyDescent="0.2">
      <c r="B9" s="12" t="s">
        <v>0</v>
      </c>
      <c r="C9" s="12" t="s">
        <v>2</v>
      </c>
      <c r="D9" s="12" t="s">
        <v>98</v>
      </c>
      <c r="E9" s="12" t="s">
        <v>3</v>
      </c>
      <c r="F9" s="12" t="s">
        <v>70</v>
      </c>
      <c r="G9" s="72" t="s">
        <v>108</v>
      </c>
      <c r="H9" s="68">
        <v>2020</v>
      </c>
      <c r="I9" s="68">
        <v>2030</v>
      </c>
      <c r="J9" s="68">
        <v>2050</v>
      </c>
      <c r="K9" s="87" t="s">
        <v>14</v>
      </c>
      <c r="L9" s="37" t="s">
        <v>269</v>
      </c>
      <c r="M9" s="68" t="s">
        <v>16</v>
      </c>
      <c r="N9" s="68" t="s">
        <v>115</v>
      </c>
      <c r="O9" s="68" t="s">
        <v>116</v>
      </c>
      <c r="P9" s="68" t="s">
        <v>28</v>
      </c>
      <c r="Q9" s="68" t="s">
        <v>32</v>
      </c>
      <c r="R9" s="68" t="s">
        <v>4</v>
      </c>
      <c r="S9" s="68" t="s">
        <v>29</v>
      </c>
      <c r="T9" s="37" t="s">
        <v>44</v>
      </c>
      <c r="U9" s="37" t="s">
        <v>66</v>
      </c>
      <c r="V9" s="37" t="s">
        <v>96</v>
      </c>
      <c r="W9" s="18"/>
      <c r="X9" s="55" t="s">
        <v>15</v>
      </c>
      <c r="Y9" s="55" t="s">
        <v>0</v>
      </c>
      <c r="Z9" s="55" t="s">
        <v>1</v>
      </c>
      <c r="AA9" s="55" t="s">
        <v>18</v>
      </c>
      <c r="AB9" s="55" t="s">
        <v>19</v>
      </c>
      <c r="AC9" s="55" t="s">
        <v>20</v>
      </c>
      <c r="AD9" s="55" t="s">
        <v>21</v>
      </c>
      <c r="AE9" s="55" t="s">
        <v>22</v>
      </c>
    </row>
    <row r="10" spans="1:32" ht="25.5" customHeight="1" x14ac:dyDescent="0.2">
      <c r="B10" s="11" t="s">
        <v>46</v>
      </c>
      <c r="C10" s="11" t="s">
        <v>94</v>
      </c>
      <c r="D10" s="11" t="s">
        <v>111</v>
      </c>
      <c r="E10" s="11" t="s">
        <v>95</v>
      </c>
      <c r="F10" s="11"/>
      <c r="G10" s="73"/>
      <c r="H10" s="30"/>
      <c r="I10" s="30"/>
      <c r="J10" s="30"/>
      <c r="K10" s="102"/>
      <c r="L10" s="85"/>
      <c r="M10" s="85" t="s">
        <v>30</v>
      </c>
      <c r="N10" s="85" t="s">
        <v>30</v>
      </c>
      <c r="O10" s="85" t="s">
        <v>117</v>
      </c>
      <c r="P10" s="86" t="s">
        <v>47</v>
      </c>
      <c r="Q10" s="85" t="s">
        <v>48</v>
      </c>
      <c r="R10" s="85" t="s">
        <v>33</v>
      </c>
      <c r="S10" s="85" t="s">
        <v>34</v>
      </c>
      <c r="T10" s="85" t="s">
        <v>67</v>
      </c>
      <c r="U10" s="85" t="s">
        <v>31</v>
      </c>
      <c r="V10" s="85"/>
      <c r="W10" s="15"/>
      <c r="X10" s="58" t="s">
        <v>50</v>
      </c>
      <c r="Y10" s="58" t="s">
        <v>23</v>
      </c>
      <c r="Z10" s="58" t="s">
        <v>24</v>
      </c>
      <c r="AA10" s="58" t="s">
        <v>25</v>
      </c>
      <c r="AB10" s="58" t="s">
        <v>26</v>
      </c>
      <c r="AC10" s="58" t="s">
        <v>51</v>
      </c>
      <c r="AD10" s="58" t="s">
        <v>52</v>
      </c>
      <c r="AE10" s="58" t="s">
        <v>27</v>
      </c>
    </row>
    <row r="11" spans="1:32" ht="13.5" thickBot="1" x14ac:dyDescent="0.25">
      <c r="B11" s="10" t="s">
        <v>53</v>
      </c>
      <c r="C11" s="10"/>
      <c r="D11" s="10"/>
      <c r="E11" s="10"/>
      <c r="F11" s="10"/>
      <c r="G11" s="74"/>
      <c r="H11" s="31"/>
      <c r="I11" s="31"/>
      <c r="J11" s="31"/>
      <c r="K11" s="103"/>
      <c r="L11" s="84"/>
      <c r="M11" s="84"/>
      <c r="N11" s="84"/>
      <c r="O11" s="84"/>
      <c r="P11" s="38"/>
      <c r="Q11" s="84"/>
      <c r="R11" s="84"/>
      <c r="S11" s="84"/>
      <c r="T11" s="84" t="s">
        <v>54</v>
      </c>
      <c r="U11" s="84"/>
      <c r="V11" s="84"/>
      <c r="W11" s="15"/>
      <c r="X11" s="57" t="s">
        <v>62</v>
      </c>
      <c r="Y11" s="57"/>
      <c r="Z11" s="57"/>
      <c r="AA11" s="57"/>
      <c r="AB11" s="57"/>
      <c r="AC11" s="57"/>
      <c r="AD11" s="57"/>
      <c r="AE11" s="57"/>
    </row>
    <row r="12" spans="1:32" x14ac:dyDescent="0.2">
      <c r="B12" s="14" t="str">
        <f>Y12</f>
        <v>FTE-UPSELC</v>
      </c>
      <c r="C12" s="14" t="s">
        <v>40</v>
      </c>
      <c r="E12" s="14" t="s">
        <v>120</v>
      </c>
      <c r="G12" s="75" t="s">
        <v>103</v>
      </c>
      <c r="H12" s="80"/>
      <c r="I12" s="80">
        <v>1</v>
      </c>
      <c r="J12" s="80"/>
      <c r="K12" s="104"/>
      <c r="L12" s="81"/>
      <c r="M12" s="78"/>
      <c r="N12" s="78"/>
      <c r="O12" s="78"/>
      <c r="P12" s="78"/>
      <c r="Q12" s="80"/>
      <c r="R12" s="80"/>
      <c r="S12" s="78">
        <v>0.5</v>
      </c>
      <c r="T12" s="79"/>
      <c r="U12" s="79">
        <v>1</v>
      </c>
      <c r="V12" s="79"/>
      <c r="X12" s="59" t="s">
        <v>99</v>
      </c>
      <c r="Y12" s="59" t="s">
        <v>231</v>
      </c>
      <c r="Z12" t="s">
        <v>230</v>
      </c>
      <c r="AA12" s="59" t="s">
        <v>41</v>
      </c>
      <c r="AB12" s="59" t="s">
        <v>58</v>
      </c>
      <c r="AC12" s="60" t="s">
        <v>263</v>
      </c>
      <c r="AD12" s="59" t="s">
        <v>120</v>
      </c>
      <c r="AE12" s="59"/>
    </row>
    <row r="13" spans="1:32" x14ac:dyDescent="0.2">
      <c r="B13" s="14" t="str">
        <f>Y13</f>
        <v>UPSHYDLYZ1</v>
      </c>
      <c r="C13" s="14" t="s">
        <v>120</v>
      </c>
      <c r="E13" s="14" t="s">
        <v>102</v>
      </c>
      <c r="G13" s="75" t="s">
        <v>32</v>
      </c>
      <c r="H13" s="80">
        <v>943.39622641509425</v>
      </c>
      <c r="I13" s="80">
        <v>770.00616004928031</v>
      </c>
      <c r="J13" s="80">
        <v>625</v>
      </c>
      <c r="K13" s="104">
        <v>2020</v>
      </c>
      <c r="L13" s="81"/>
      <c r="M13" s="78"/>
      <c r="N13" s="78"/>
      <c r="O13" s="78"/>
      <c r="P13" s="78">
        <v>0.85</v>
      </c>
      <c r="Q13" s="80">
        <f>I13</f>
        <v>770.00616004928031</v>
      </c>
      <c r="R13" s="80">
        <f>Q13*0.05</f>
        <v>38.500308002464017</v>
      </c>
      <c r="S13" s="78">
        <v>0.1</v>
      </c>
      <c r="T13" s="79">
        <v>20</v>
      </c>
      <c r="U13" s="79">
        <v>31.536000000000001</v>
      </c>
      <c r="V13" s="79"/>
      <c r="X13" s="59" t="s">
        <v>99</v>
      </c>
      <c r="Y13" s="59" t="s">
        <v>100</v>
      </c>
      <c r="Z13" t="s">
        <v>101</v>
      </c>
      <c r="AA13" s="59" t="s">
        <v>41</v>
      </c>
      <c r="AB13" s="59" t="s">
        <v>42</v>
      </c>
      <c r="AC13" s="60" t="s">
        <v>263</v>
      </c>
      <c r="AD13" s="59" t="s">
        <v>102</v>
      </c>
      <c r="AE13" s="59"/>
    </row>
    <row r="14" spans="1:32" x14ac:dyDescent="0.2">
      <c r="C14" s="14" t="s">
        <v>120</v>
      </c>
      <c r="G14" s="75" t="s">
        <v>103</v>
      </c>
      <c r="H14" s="78">
        <v>1.4285714285714286</v>
      </c>
      <c r="I14" s="78">
        <v>1.3333333333333333</v>
      </c>
      <c r="J14" s="78">
        <v>1.25</v>
      </c>
      <c r="K14" s="104"/>
      <c r="L14" s="81"/>
      <c r="M14" s="78"/>
      <c r="N14" s="78"/>
      <c r="O14" s="78"/>
      <c r="P14" s="78"/>
      <c r="Q14" s="79"/>
      <c r="R14" s="78"/>
      <c r="S14" s="78"/>
      <c r="T14" s="79"/>
      <c r="U14" s="79"/>
      <c r="V14" s="79"/>
      <c r="X14" s="106" t="s">
        <v>62</v>
      </c>
      <c r="Y14" s="106" t="s">
        <v>62</v>
      </c>
      <c r="Z14" s="107"/>
      <c r="AA14" s="106"/>
      <c r="AB14" s="106"/>
      <c r="AC14" s="108"/>
      <c r="AD14" s="106"/>
      <c r="AE14" s="106"/>
    </row>
    <row r="15" spans="1:32" x14ac:dyDescent="0.2">
      <c r="B15" s="14" t="str">
        <f>Y15</f>
        <v>UPSHYDL2G</v>
      </c>
      <c r="C15" s="14" t="s">
        <v>91</v>
      </c>
      <c r="E15" s="14" t="s">
        <v>102</v>
      </c>
      <c r="G15" s="75" t="s">
        <v>103</v>
      </c>
      <c r="H15" s="78">
        <v>1.02</v>
      </c>
      <c r="I15" s="78">
        <v>1.01</v>
      </c>
      <c r="J15" s="78">
        <v>1.004</v>
      </c>
      <c r="K15" s="104">
        <v>2020</v>
      </c>
      <c r="L15" s="81"/>
      <c r="M15" s="78"/>
      <c r="N15" s="78"/>
      <c r="O15" s="78"/>
      <c r="P15" s="78"/>
      <c r="Q15" s="79"/>
      <c r="R15" s="78"/>
      <c r="S15" s="78">
        <v>0.1</v>
      </c>
      <c r="T15" s="79"/>
      <c r="U15" s="79">
        <v>1</v>
      </c>
      <c r="V15" s="79"/>
      <c r="X15" s="59" t="s">
        <v>99</v>
      </c>
      <c r="Y15" s="59" t="s">
        <v>118</v>
      </c>
      <c r="Z15" t="s">
        <v>119</v>
      </c>
      <c r="AA15" s="59" t="s">
        <v>41</v>
      </c>
      <c r="AB15" s="59" t="s">
        <v>58</v>
      </c>
      <c r="AC15" s="60" t="s">
        <v>263</v>
      </c>
      <c r="AD15" s="59" t="s">
        <v>102</v>
      </c>
      <c r="AE15" s="59"/>
    </row>
    <row r="16" spans="1:32" x14ac:dyDescent="0.2">
      <c r="B16" s="14" t="str">
        <f>Y16</f>
        <v>UPSSTH2L1</v>
      </c>
      <c r="C16" s="14" t="s">
        <v>102</v>
      </c>
      <c r="E16" s="14" t="s">
        <v>91</v>
      </c>
      <c r="G16" s="75" t="s">
        <v>32</v>
      </c>
      <c r="H16" s="80">
        <v>300</v>
      </c>
      <c r="I16" s="80">
        <v>180</v>
      </c>
      <c r="J16" s="80">
        <v>110</v>
      </c>
      <c r="K16" s="104">
        <v>2020</v>
      </c>
      <c r="L16" s="82"/>
      <c r="M16" s="78"/>
      <c r="N16" s="78"/>
      <c r="O16" s="78">
        <v>0.1</v>
      </c>
      <c r="P16" s="78"/>
      <c r="Q16" s="80">
        <f>H16</f>
        <v>300</v>
      </c>
      <c r="R16" s="78">
        <v>0.7</v>
      </c>
      <c r="S16" s="83"/>
      <c r="T16" s="79">
        <v>20</v>
      </c>
      <c r="U16" s="79">
        <v>1</v>
      </c>
      <c r="V16" s="79"/>
      <c r="X16" s="59" t="s">
        <v>245</v>
      </c>
      <c r="Y16" s="59" t="s">
        <v>84</v>
      </c>
      <c r="Z16" t="s">
        <v>86</v>
      </c>
      <c r="AA16" s="59" t="s">
        <v>41</v>
      </c>
      <c r="AB16" s="59" t="s">
        <v>42</v>
      </c>
      <c r="AC16" s="60" t="s">
        <v>263</v>
      </c>
      <c r="AD16" s="14" t="s">
        <v>102</v>
      </c>
      <c r="AE16" s="59"/>
    </row>
    <row r="17" spans="2:31" x14ac:dyDescent="0.2">
      <c r="D17" s="14" t="s">
        <v>120</v>
      </c>
      <c r="F17" s="14" t="s">
        <v>102</v>
      </c>
      <c r="G17" s="75" t="s">
        <v>97</v>
      </c>
      <c r="H17" s="79">
        <v>0.96</v>
      </c>
      <c r="I17" s="79">
        <v>0.97</v>
      </c>
      <c r="J17" s="78">
        <v>0.98</v>
      </c>
      <c r="K17" s="101"/>
      <c r="L17" s="82"/>
      <c r="M17" s="78"/>
      <c r="N17" s="78"/>
      <c r="O17" s="78"/>
      <c r="P17" s="78"/>
      <c r="Q17" s="79"/>
      <c r="R17" s="78"/>
      <c r="S17" s="78"/>
      <c r="T17" s="79"/>
      <c r="U17" s="79"/>
      <c r="V17" s="78">
        <v>0.23599999999999999</v>
      </c>
      <c r="X17" s="106" t="s">
        <v>62</v>
      </c>
      <c r="Y17" s="106" t="s">
        <v>62</v>
      </c>
      <c r="Z17" s="107"/>
      <c r="AA17" s="106"/>
      <c r="AB17" s="106"/>
      <c r="AC17" s="108"/>
      <c r="AD17" s="106"/>
      <c r="AE17" s="106"/>
    </row>
    <row r="18" spans="2:31" x14ac:dyDescent="0.2">
      <c r="B18" s="14" t="str">
        <f>Y18</f>
        <v>UPSSTCOA1</v>
      </c>
      <c r="C18" s="14" t="s">
        <v>265</v>
      </c>
      <c r="E18" s="14" t="s">
        <v>266</v>
      </c>
      <c r="G18" s="75" t="s">
        <v>71</v>
      </c>
      <c r="H18" s="79"/>
      <c r="I18" s="78">
        <f>$O18*94</f>
        <v>1.363</v>
      </c>
      <c r="J18" s="78"/>
      <c r="K18" s="101"/>
      <c r="L18" s="82">
        <v>150</v>
      </c>
      <c r="M18" s="78"/>
      <c r="N18" s="78"/>
      <c r="O18" s="119">
        <v>1.4500000000000001E-2</v>
      </c>
      <c r="P18" s="78"/>
      <c r="Q18" s="79">
        <v>5</v>
      </c>
      <c r="R18" s="100">
        <v>0.1</v>
      </c>
      <c r="S18" s="78"/>
      <c r="T18" s="79">
        <v>25</v>
      </c>
      <c r="U18" s="79">
        <v>1</v>
      </c>
      <c r="V18" s="79"/>
      <c r="X18" t="s">
        <v>267</v>
      </c>
      <c r="Y18" s="14" t="s">
        <v>264</v>
      </c>
      <c r="Z18" t="s">
        <v>268</v>
      </c>
      <c r="AA18" s="59" t="s">
        <v>41</v>
      </c>
      <c r="AB18" s="59" t="s">
        <v>58</v>
      </c>
      <c r="AC18" s="60" t="s">
        <v>142</v>
      </c>
      <c r="AD18" s="59" t="s">
        <v>265</v>
      </c>
      <c r="AE18" s="59"/>
    </row>
    <row r="19" spans="2:31" x14ac:dyDescent="0.2">
      <c r="E19" s="14" t="s">
        <v>265</v>
      </c>
      <c r="G19" s="75"/>
      <c r="H19" s="79"/>
      <c r="I19" s="79"/>
      <c r="J19" s="78"/>
      <c r="K19" s="101"/>
      <c r="L19" s="82"/>
      <c r="M19" s="78"/>
      <c r="N19" s="78"/>
      <c r="O19" s="78"/>
      <c r="P19" s="78"/>
      <c r="Q19" s="79"/>
      <c r="R19" s="78"/>
      <c r="S19" s="78"/>
      <c r="T19" s="79"/>
      <c r="U19" s="79"/>
      <c r="V19" s="79"/>
    </row>
    <row r="20" spans="2:31" x14ac:dyDescent="0.2">
      <c r="N20" s="78"/>
      <c r="O20" s="78"/>
      <c r="P20" s="78"/>
      <c r="Q20" s="79"/>
      <c r="R20" s="78"/>
      <c r="S20" s="78"/>
      <c r="T20" s="79"/>
      <c r="U20" s="79"/>
      <c r="V20" s="79"/>
    </row>
    <row r="21" spans="2:31" x14ac:dyDescent="0.2">
      <c r="E21" s="16"/>
      <c r="N21" s="78"/>
      <c r="O21" s="78"/>
      <c r="P21" s="78"/>
      <c r="Q21" s="79"/>
      <c r="R21" s="79"/>
      <c r="S21" s="78"/>
      <c r="T21" s="79"/>
      <c r="U21" s="79"/>
      <c r="V21" s="79"/>
    </row>
    <row r="22" spans="2:31" x14ac:dyDescent="0.2">
      <c r="N22" s="78"/>
      <c r="O22" s="78"/>
      <c r="P22" s="78"/>
      <c r="Q22" s="79"/>
      <c r="R22" s="79"/>
      <c r="S22" s="78"/>
      <c r="T22" s="79"/>
      <c r="U22" s="79"/>
      <c r="V22" s="79"/>
    </row>
    <row r="23" spans="2:31" x14ac:dyDescent="0.2">
      <c r="N23" s="78"/>
      <c r="O23" s="78"/>
      <c r="P23" s="78"/>
      <c r="Q23" s="79"/>
      <c r="R23" s="79"/>
      <c r="S23" s="78"/>
      <c r="T23" s="79"/>
      <c r="U23" s="79"/>
      <c r="V23" s="79"/>
    </row>
    <row r="24" spans="2:31" x14ac:dyDescent="0.2">
      <c r="B24" s="16"/>
    </row>
    <row r="25" spans="2:31" x14ac:dyDescent="0.2">
      <c r="B25" s="16"/>
      <c r="X25" s="53" t="s">
        <v>6</v>
      </c>
      <c r="Y25" s="54"/>
      <c r="Z25" s="54"/>
      <c r="AA25" s="54"/>
      <c r="AB25" s="54"/>
      <c r="AC25" s="54"/>
      <c r="AD25" s="54"/>
      <c r="AE25" s="54"/>
    </row>
    <row r="26" spans="2:31" x14ac:dyDescent="0.2">
      <c r="X26" s="55" t="s">
        <v>7</v>
      </c>
      <c r="Y26" s="55" t="s">
        <v>5</v>
      </c>
      <c r="Z26" s="55" t="s">
        <v>8</v>
      </c>
      <c r="AA26" s="55" t="s">
        <v>9</v>
      </c>
      <c r="AB26" s="55" t="s">
        <v>10</v>
      </c>
      <c r="AC26" s="55" t="s">
        <v>11</v>
      </c>
      <c r="AD26" s="55" t="s">
        <v>12</v>
      </c>
      <c r="AE26" s="55" t="s">
        <v>13</v>
      </c>
    </row>
    <row r="27" spans="2:31" x14ac:dyDescent="0.2">
      <c r="X27" s="127" t="s">
        <v>114</v>
      </c>
      <c r="Y27" s="91" t="s">
        <v>102</v>
      </c>
      <c r="Z27" s="127" t="s">
        <v>221</v>
      </c>
      <c r="AA27" s="125" t="s">
        <v>41</v>
      </c>
      <c r="AB27" s="127"/>
      <c r="AC27" s="127" t="s">
        <v>263</v>
      </c>
      <c r="AD27" s="127"/>
      <c r="AE27" s="127"/>
    </row>
    <row r="28" spans="2:31" x14ac:dyDescent="0.2">
      <c r="X28" s="127" t="s">
        <v>114</v>
      </c>
      <c r="Y28" s="91" t="s">
        <v>91</v>
      </c>
      <c r="Z28" s="127" t="s">
        <v>279</v>
      </c>
      <c r="AA28" s="125" t="s">
        <v>41</v>
      </c>
      <c r="AB28" s="127"/>
      <c r="AC28" s="127" t="s">
        <v>263</v>
      </c>
      <c r="AD28" s="127"/>
      <c r="AE28" s="127"/>
    </row>
    <row r="29" spans="2:31" x14ac:dyDescent="0.2">
      <c r="X29" s="127" t="s">
        <v>114</v>
      </c>
      <c r="Y29" s="91" t="s">
        <v>120</v>
      </c>
      <c r="Z29" s="127" t="s">
        <v>230</v>
      </c>
      <c r="AA29" s="125" t="s">
        <v>41</v>
      </c>
      <c r="AB29" s="127"/>
      <c r="AC29" s="127" t="s">
        <v>263</v>
      </c>
      <c r="AD29" s="127"/>
      <c r="AE29" s="127" t="s">
        <v>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"/>
  <sheetViews>
    <sheetView zoomScale="90" zoomScaleNormal="90" workbookViewId="0"/>
  </sheetViews>
  <sheetFormatPr defaultRowHeight="12.75" x14ac:dyDescent="0.2"/>
  <cols>
    <col min="1" max="1" width="3" customWidth="1"/>
    <col min="2" max="2" width="13.7109375" customWidth="1"/>
    <col min="3" max="3" width="11.42578125" customWidth="1"/>
    <col min="4" max="4" width="10.85546875" customWidth="1"/>
    <col min="5" max="5" width="10.28515625" customWidth="1"/>
    <col min="6" max="6" width="14.140625" customWidth="1"/>
    <col min="7" max="7" width="5" customWidth="1"/>
    <col min="8" max="10" width="7.85546875" customWidth="1"/>
    <col min="11" max="11" width="8" customWidth="1"/>
    <col min="12" max="12" width="10.7109375" customWidth="1"/>
    <col min="13" max="20" width="9.7109375" customWidth="1"/>
    <col min="21" max="22" width="8.85546875" customWidth="1"/>
    <col min="23" max="23" width="2" customWidth="1"/>
    <col min="24" max="24" width="9.28515625" customWidth="1"/>
    <col min="25" max="25" width="11.85546875" customWidth="1"/>
    <col min="26" max="26" width="69.42578125" customWidth="1"/>
    <col min="27" max="27" width="6.85546875" customWidth="1"/>
    <col min="28" max="28" width="6.42578125" customWidth="1"/>
    <col min="29" max="29" width="11.140625" customWidth="1"/>
    <col min="30" max="30" width="13.5703125" customWidth="1"/>
    <col min="31" max="31" width="13.85546875" customWidth="1"/>
  </cols>
  <sheetData>
    <row r="1" spans="1:31" ht="23.25" x14ac:dyDescent="0.35">
      <c r="A1" s="1" t="s">
        <v>35</v>
      </c>
    </row>
    <row r="3" spans="1:31" ht="15" x14ac:dyDescent="0.25">
      <c r="B3" s="8" t="s">
        <v>36</v>
      </c>
      <c r="C3" s="8" t="s">
        <v>37</v>
      </c>
      <c r="D3" s="8" t="s">
        <v>38</v>
      </c>
      <c r="E3" s="8" t="s">
        <v>39</v>
      </c>
    </row>
    <row r="4" spans="1:31" ht="15.75" x14ac:dyDescent="0.25">
      <c r="B4" s="9" t="s">
        <v>195</v>
      </c>
      <c r="C4" s="9" t="s">
        <v>55</v>
      </c>
      <c r="D4" s="71" t="s">
        <v>56</v>
      </c>
      <c r="E4" s="9" t="s">
        <v>104</v>
      </c>
    </row>
    <row r="7" spans="1:31" x14ac:dyDescent="0.2">
      <c r="B7" s="14"/>
      <c r="C7" s="14"/>
      <c r="D7" s="14"/>
      <c r="E7" s="14"/>
      <c r="F7" s="14"/>
      <c r="G7" s="4" t="str">
        <f>"~FI_T: "&amp;E4</f>
        <v>~FI_T: MEuro05</v>
      </c>
      <c r="H7" s="17"/>
      <c r="I7" s="4"/>
      <c r="J7" s="4"/>
      <c r="K7" s="4"/>
      <c r="L7" s="4"/>
      <c r="M7" s="4"/>
      <c r="N7" s="4"/>
      <c r="O7" s="14"/>
      <c r="P7" s="14"/>
      <c r="Q7" s="14"/>
      <c r="R7" s="4"/>
      <c r="S7" s="5"/>
      <c r="T7" s="3"/>
      <c r="U7" s="3"/>
      <c r="V7" s="3"/>
      <c r="X7" s="53" t="s">
        <v>17</v>
      </c>
      <c r="Y7" s="61"/>
      <c r="Z7" s="61"/>
      <c r="AA7" s="61"/>
      <c r="AB7" s="61"/>
      <c r="AC7" s="61"/>
      <c r="AD7" s="61"/>
      <c r="AE7" s="61"/>
    </row>
    <row r="8" spans="1:31" ht="25.5" x14ac:dyDescent="0.2">
      <c r="B8" s="12" t="s">
        <v>0</v>
      </c>
      <c r="C8" s="12" t="s">
        <v>2</v>
      </c>
      <c r="D8" s="12" t="s">
        <v>3</v>
      </c>
      <c r="E8" s="12" t="s">
        <v>70</v>
      </c>
      <c r="F8" s="72" t="s">
        <v>108</v>
      </c>
      <c r="G8" s="72" t="s">
        <v>257</v>
      </c>
      <c r="H8" s="68">
        <v>2020</v>
      </c>
      <c r="I8" s="68">
        <v>2030</v>
      </c>
      <c r="J8" s="68">
        <v>2050</v>
      </c>
      <c r="K8" s="87" t="s">
        <v>14</v>
      </c>
      <c r="L8" s="37" t="s">
        <v>255</v>
      </c>
      <c r="M8" s="37" t="s">
        <v>71</v>
      </c>
      <c r="N8" s="37" t="s">
        <v>174</v>
      </c>
      <c r="O8" s="68" t="s">
        <v>147</v>
      </c>
      <c r="P8" s="37" t="s">
        <v>148</v>
      </c>
      <c r="Q8" s="68" t="s">
        <v>32</v>
      </c>
      <c r="R8" s="68" t="s">
        <v>4</v>
      </c>
      <c r="S8" s="37" t="s">
        <v>160</v>
      </c>
      <c r="T8" s="37" t="s">
        <v>44</v>
      </c>
      <c r="U8" s="37" t="s">
        <v>66</v>
      </c>
      <c r="V8" s="37" t="s">
        <v>146</v>
      </c>
      <c r="X8" s="55" t="s">
        <v>15</v>
      </c>
      <c r="Y8" s="55" t="s">
        <v>0</v>
      </c>
      <c r="Z8" s="55" t="s">
        <v>1</v>
      </c>
      <c r="AA8" s="55" t="s">
        <v>18</v>
      </c>
      <c r="AB8" s="55" t="s">
        <v>19</v>
      </c>
      <c r="AC8" s="55" t="s">
        <v>20</v>
      </c>
      <c r="AD8" s="55" t="s">
        <v>21</v>
      </c>
      <c r="AE8" s="55" t="s">
        <v>22</v>
      </c>
    </row>
    <row r="9" spans="1:31" ht="34.5" thickBot="1" x14ac:dyDescent="0.25">
      <c r="B9" s="11" t="s">
        <v>46</v>
      </c>
      <c r="C9" s="11" t="s">
        <v>94</v>
      </c>
      <c r="D9" s="11" t="s">
        <v>95</v>
      </c>
      <c r="E9" s="11"/>
      <c r="F9" s="73"/>
      <c r="G9" s="73"/>
      <c r="H9" s="30"/>
      <c r="I9" s="30"/>
      <c r="J9" s="30"/>
      <c r="K9" s="76"/>
      <c r="L9" s="85"/>
      <c r="M9" s="85" t="s">
        <v>156</v>
      </c>
      <c r="N9" s="86" t="s">
        <v>47</v>
      </c>
      <c r="O9" s="86" t="s">
        <v>149</v>
      </c>
      <c r="P9" s="86" t="s">
        <v>149</v>
      </c>
      <c r="Q9" s="85" t="s">
        <v>48</v>
      </c>
      <c r="R9" s="85" t="s">
        <v>33</v>
      </c>
      <c r="S9" s="85" t="s">
        <v>161</v>
      </c>
      <c r="T9" s="85" t="s">
        <v>67</v>
      </c>
      <c r="U9" s="85" t="s">
        <v>31</v>
      </c>
      <c r="V9" s="85" t="s">
        <v>150</v>
      </c>
      <c r="X9" s="57" t="s">
        <v>50</v>
      </c>
      <c r="Y9" s="57" t="s">
        <v>23</v>
      </c>
      <c r="Z9" s="57" t="s">
        <v>24</v>
      </c>
      <c r="AA9" s="57" t="s">
        <v>25</v>
      </c>
      <c r="AB9" s="57" t="s">
        <v>26</v>
      </c>
      <c r="AC9" s="57" t="s">
        <v>51</v>
      </c>
      <c r="AD9" s="57" t="s">
        <v>52</v>
      </c>
      <c r="AE9" s="57" t="s">
        <v>27</v>
      </c>
    </row>
    <row r="10" spans="1:31" ht="13.5" thickBot="1" x14ac:dyDescent="0.25">
      <c r="B10" s="10" t="s">
        <v>53</v>
      </c>
      <c r="C10" s="10"/>
      <c r="D10" s="10"/>
      <c r="E10" s="10"/>
      <c r="F10" s="74"/>
      <c r="G10" s="74"/>
      <c r="H10" s="31"/>
      <c r="I10" s="31"/>
      <c r="J10" s="31"/>
      <c r="K10" s="77"/>
      <c r="L10" s="84"/>
      <c r="M10" s="84"/>
      <c r="N10" s="38"/>
      <c r="O10" s="38"/>
      <c r="P10" s="38"/>
      <c r="Q10" s="84"/>
      <c r="R10" s="84"/>
      <c r="S10" s="84"/>
      <c r="T10" s="84" t="s">
        <v>54</v>
      </c>
      <c r="U10" s="84"/>
      <c r="V10" s="84"/>
      <c r="X10" s="57" t="s">
        <v>62</v>
      </c>
      <c r="Y10" s="57"/>
      <c r="Z10" s="57"/>
      <c r="AA10" s="57"/>
      <c r="AB10" s="57"/>
      <c r="AC10" s="57"/>
      <c r="AD10" s="57"/>
      <c r="AE10" s="57"/>
    </row>
    <row r="11" spans="1:31" x14ac:dyDescent="0.2">
      <c r="B11" s="105" t="str">
        <f>$Y11</f>
        <v>RSOLPV1</v>
      </c>
      <c r="C11" s="14" t="s">
        <v>196</v>
      </c>
      <c r="D11" s="14" t="s">
        <v>202</v>
      </c>
      <c r="E11" s="79"/>
      <c r="F11" s="75" t="s">
        <v>32</v>
      </c>
      <c r="G11" s="75"/>
      <c r="H11" s="79">
        <v>900</v>
      </c>
      <c r="I11" s="79">
        <v>800</v>
      </c>
      <c r="J11" s="80">
        <v>700</v>
      </c>
      <c r="K11" s="101">
        <v>2015</v>
      </c>
      <c r="L11" s="82"/>
      <c r="M11" s="80">
        <v>1</v>
      </c>
      <c r="N11" s="78">
        <v>0.15</v>
      </c>
      <c r="O11" s="78"/>
      <c r="P11" s="78"/>
      <c r="Q11" s="79">
        <f>I11</f>
        <v>800</v>
      </c>
      <c r="R11" s="79">
        <f>Q11*0.015</f>
        <v>12</v>
      </c>
      <c r="S11" s="100"/>
      <c r="T11" s="79">
        <v>30</v>
      </c>
      <c r="U11" s="79">
        <v>31.536000000000001</v>
      </c>
      <c r="V11" s="79"/>
      <c r="X11" s="60" t="s">
        <v>198</v>
      </c>
      <c r="Y11" s="59" t="s">
        <v>197</v>
      </c>
      <c r="Z11" s="62" t="s">
        <v>205</v>
      </c>
      <c r="AA11" s="59" t="s">
        <v>41</v>
      </c>
      <c r="AB11" s="59" t="s">
        <v>42</v>
      </c>
      <c r="AC11" s="59" t="s">
        <v>142</v>
      </c>
      <c r="AD11" s="59" t="s">
        <v>196</v>
      </c>
      <c r="AE11" s="59"/>
    </row>
    <row r="12" spans="1:31" x14ac:dyDescent="0.2">
      <c r="B12" s="105" t="str">
        <f>$Y12</f>
        <v>RSTGBAT1</v>
      </c>
      <c r="C12" s="14" t="s">
        <v>202</v>
      </c>
      <c r="D12" s="14" t="s">
        <v>202</v>
      </c>
      <c r="E12" s="79" t="s">
        <v>114</v>
      </c>
      <c r="F12" s="75" t="s">
        <v>32</v>
      </c>
      <c r="G12" s="75"/>
      <c r="H12" s="79">
        <v>440</v>
      </c>
      <c r="I12" s="79">
        <v>250</v>
      </c>
      <c r="J12" s="80">
        <v>220</v>
      </c>
      <c r="K12" s="101">
        <v>2015</v>
      </c>
      <c r="L12" s="82"/>
      <c r="M12" s="80"/>
      <c r="N12" s="78"/>
      <c r="O12" s="78"/>
      <c r="P12" s="100">
        <f>P13*6</f>
        <v>6</v>
      </c>
      <c r="Q12" s="79">
        <f>I12</f>
        <v>250</v>
      </c>
      <c r="R12" s="79">
        <f>Q12*0.014</f>
        <v>3.5</v>
      </c>
      <c r="S12" s="100"/>
      <c r="T12" s="79">
        <v>25</v>
      </c>
      <c r="U12" s="79">
        <f>U11/24</f>
        <v>1.3140000000000001</v>
      </c>
      <c r="V12" s="79"/>
      <c r="X12" t="s">
        <v>78</v>
      </c>
      <c r="Y12" s="59" t="s">
        <v>207</v>
      </c>
      <c r="Z12" s="62" t="s">
        <v>208</v>
      </c>
      <c r="AA12" s="59" t="s">
        <v>41</v>
      </c>
      <c r="AB12" s="59" t="s">
        <v>42</v>
      </c>
      <c r="AC12" s="60" t="s">
        <v>90</v>
      </c>
      <c r="AD12" s="14" t="s">
        <v>202</v>
      </c>
      <c r="AE12" s="59"/>
    </row>
    <row r="13" spans="1:31" x14ac:dyDescent="0.2">
      <c r="B13" s="105"/>
      <c r="C13" s="14"/>
      <c r="D13" s="14"/>
      <c r="E13" s="79" t="s">
        <v>151</v>
      </c>
      <c r="F13" s="75" t="s">
        <v>97</v>
      </c>
      <c r="G13" s="75"/>
      <c r="H13" s="79">
        <v>0.91</v>
      </c>
      <c r="I13" s="79">
        <v>0.92</v>
      </c>
      <c r="J13" s="78">
        <v>0.92</v>
      </c>
      <c r="K13" s="101"/>
      <c r="L13" s="82"/>
      <c r="M13" s="80"/>
      <c r="N13" s="78"/>
      <c r="O13" s="78"/>
      <c r="P13" s="100">
        <v>1</v>
      </c>
      <c r="Q13" s="79"/>
      <c r="R13" s="79"/>
      <c r="T13" s="79"/>
      <c r="U13" s="79"/>
      <c r="V13" s="79"/>
      <c r="X13" s="106" t="s">
        <v>62</v>
      </c>
      <c r="Y13" s="106" t="s">
        <v>62</v>
      </c>
      <c r="Z13" s="107"/>
      <c r="AA13" s="106"/>
      <c r="AB13" s="106"/>
      <c r="AC13" s="108"/>
      <c r="AD13" s="106"/>
      <c r="AE13" s="106"/>
    </row>
    <row r="14" spans="1:31" x14ac:dyDescent="0.2">
      <c r="B14" s="105"/>
      <c r="C14" s="14"/>
      <c r="D14" s="14" t="s">
        <v>40</v>
      </c>
      <c r="E14" s="79"/>
      <c r="F14" s="75"/>
      <c r="G14" s="75"/>
      <c r="H14" s="79"/>
      <c r="I14" s="79"/>
      <c r="J14" s="78"/>
      <c r="K14" s="101"/>
      <c r="L14" s="82"/>
      <c r="M14" s="78">
        <v>0.95</v>
      </c>
      <c r="N14" s="78"/>
      <c r="O14" s="78"/>
      <c r="P14" s="100"/>
      <c r="Q14" s="79"/>
      <c r="R14" s="79"/>
      <c r="S14" s="100">
        <v>6</v>
      </c>
      <c r="T14" s="79"/>
      <c r="U14" s="79"/>
      <c r="V14" s="79"/>
      <c r="X14" s="106" t="s">
        <v>62</v>
      </c>
      <c r="Y14" s="106" t="s">
        <v>62</v>
      </c>
      <c r="Z14" s="107"/>
      <c r="AA14" s="106"/>
      <c r="AB14" s="106"/>
      <c r="AC14" s="108"/>
      <c r="AD14" s="106"/>
      <c r="AE14" s="106"/>
    </row>
    <row r="15" spans="1:31" x14ac:dyDescent="0.2">
      <c r="B15" s="105" t="str">
        <f>$Y15</f>
        <v>RSOLPV2</v>
      </c>
      <c r="C15" s="14" t="s">
        <v>196</v>
      </c>
      <c r="D15" s="14" t="s">
        <v>202</v>
      </c>
      <c r="E15" s="79" t="s">
        <v>202</v>
      </c>
      <c r="F15" s="75" t="s">
        <v>32</v>
      </c>
      <c r="G15" s="75"/>
      <c r="H15" s="79">
        <f>H11+H12*24/$P12*0.7</f>
        <v>2132</v>
      </c>
      <c r="I15" s="79">
        <f>I11+I12*24/$P12*0.7</f>
        <v>1500</v>
      </c>
      <c r="J15" s="79">
        <f>J11+J12*24/$P12*0.7</f>
        <v>1316</v>
      </c>
      <c r="K15" s="101">
        <v>2015</v>
      </c>
      <c r="L15" s="82"/>
      <c r="M15" s="21"/>
      <c r="N15" s="21"/>
      <c r="O15" s="78"/>
      <c r="P15" s="78">
        <v>1</v>
      </c>
      <c r="Q15" s="115">
        <f>I15</f>
        <v>1500</v>
      </c>
      <c r="R15" s="79">
        <f>I15*0.015</f>
        <v>22.5</v>
      </c>
      <c r="S15" s="21"/>
      <c r="T15" s="79">
        <v>30</v>
      </c>
      <c r="U15" s="79">
        <v>31.536000000000001</v>
      </c>
      <c r="V15" s="120">
        <v>1</v>
      </c>
      <c r="X15" s="60" t="s">
        <v>203</v>
      </c>
      <c r="Y15" s="59" t="s">
        <v>204</v>
      </c>
      <c r="Z15" s="62" t="s">
        <v>249</v>
      </c>
      <c r="AA15" s="59" t="s">
        <v>41</v>
      </c>
      <c r="AB15" s="59" t="s">
        <v>42</v>
      </c>
      <c r="AC15" s="60" t="s">
        <v>90</v>
      </c>
      <c r="AD15" s="14" t="s">
        <v>202</v>
      </c>
      <c r="AE15" s="59"/>
    </row>
    <row r="16" spans="1:31" x14ac:dyDescent="0.2">
      <c r="B16" s="105"/>
      <c r="C16" s="14"/>
      <c r="D16" s="21"/>
      <c r="E16" s="114" t="s">
        <v>151</v>
      </c>
      <c r="F16" s="75" t="s">
        <v>97</v>
      </c>
      <c r="G16" s="75"/>
      <c r="H16" s="79">
        <v>0.91</v>
      </c>
      <c r="I16" s="79">
        <v>0.92</v>
      </c>
      <c r="J16" s="78">
        <v>0.93</v>
      </c>
      <c r="K16" s="101"/>
      <c r="L16" s="82"/>
      <c r="M16" s="21"/>
      <c r="N16" s="21"/>
      <c r="O16" s="21"/>
      <c r="P16" s="119">
        <f>4/24</f>
        <v>0.16666666666666666</v>
      </c>
      <c r="Q16" s="21"/>
      <c r="R16" s="21"/>
      <c r="S16" s="21"/>
      <c r="T16" s="21"/>
      <c r="U16" s="6"/>
      <c r="V16" s="6"/>
      <c r="X16" s="106" t="s">
        <v>62</v>
      </c>
      <c r="Y16" s="106" t="s">
        <v>62</v>
      </c>
      <c r="Z16" s="107"/>
      <c r="AA16" s="106"/>
      <c r="AB16" s="106"/>
      <c r="AC16" s="108"/>
      <c r="AD16" s="106"/>
      <c r="AE16" s="106"/>
    </row>
    <row r="17" spans="2:31" x14ac:dyDescent="0.2">
      <c r="B17" s="105"/>
      <c r="C17" s="14" t="s">
        <v>196</v>
      </c>
      <c r="D17" s="21"/>
      <c r="E17" s="114" t="s">
        <v>114</v>
      </c>
      <c r="F17" s="75"/>
      <c r="G17" s="75"/>
      <c r="H17" s="79"/>
      <c r="I17" s="79"/>
      <c r="J17" s="78"/>
      <c r="K17" s="101"/>
      <c r="L17" s="82"/>
      <c r="M17" s="21"/>
      <c r="N17" s="21"/>
      <c r="O17" s="78">
        <f>N11</f>
        <v>0.15</v>
      </c>
      <c r="Q17" s="21"/>
      <c r="R17" s="21"/>
      <c r="S17" s="21"/>
      <c r="T17" s="21"/>
      <c r="U17" s="6"/>
      <c r="V17" s="6"/>
      <c r="X17" s="106" t="s">
        <v>62</v>
      </c>
      <c r="Y17" s="106" t="s">
        <v>62</v>
      </c>
      <c r="Z17" s="107"/>
      <c r="AA17" s="106"/>
      <c r="AB17" s="106"/>
      <c r="AC17" s="108"/>
      <c r="AD17" s="106"/>
      <c r="AE17" s="106"/>
    </row>
    <row r="18" spans="2:31" x14ac:dyDescent="0.2">
      <c r="B18" s="105" t="str">
        <f>$Y18</f>
        <v>RCASIFTELC1</v>
      </c>
      <c r="C18" s="14"/>
      <c r="D18" s="14" t="s">
        <v>202</v>
      </c>
      <c r="E18" s="114"/>
      <c r="F18" s="75" t="s">
        <v>169</v>
      </c>
      <c r="G18" s="75"/>
      <c r="H18" s="79">
        <v>0.25</v>
      </c>
      <c r="I18" s="79">
        <v>0.28000000000000003</v>
      </c>
      <c r="J18" s="78">
        <v>0.33</v>
      </c>
      <c r="K18" s="101">
        <v>2025</v>
      </c>
      <c r="L18" s="82">
        <v>3</v>
      </c>
      <c r="M18" s="21"/>
      <c r="N18" s="21"/>
      <c r="O18" s="78"/>
      <c r="Q18" s="21"/>
      <c r="R18" s="115">
        <v>80</v>
      </c>
      <c r="S18" s="21"/>
      <c r="T18" s="115">
        <v>5</v>
      </c>
      <c r="U18" s="79">
        <v>31.536000000000001</v>
      </c>
      <c r="V18" s="6"/>
      <c r="X18" s="59" t="s">
        <v>78</v>
      </c>
      <c r="Y18" s="54" t="s">
        <v>273</v>
      </c>
      <c r="Z18" s="54" t="s">
        <v>272</v>
      </c>
      <c r="AA18" s="61" t="s">
        <v>41</v>
      </c>
      <c r="AB18" s="61" t="s">
        <v>172</v>
      </c>
      <c r="AC18" s="60" t="s">
        <v>90</v>
      </c>
      <c r="AD18" s="60" t="s">
        <v>114</v>
      </c>
      <c r="AE18" s="59"/>
    </row>
    <row r="19" spans="2:31" x14ac:dyDescent="0.2">
      <c r="B19" s="105"/>
      <c r="D19" s="21"/>
      <c r="E19" s="114"/>
      <c r="F19" s="75" t="s">
        <v>169</v>
      </c>
      <c r="G19" s="75"/>
      <c r="H19" s="79">
        <v>0.09</v>
      </c>
      <c r="I19" s="79">
        <v>0.11</v>
      </c>
      <c r="J19" s="100">
        <v>0.14000000000000001</v>
      </c>
      <c r="K19" s="101"/>
      <c r="L19" s="82"/>
      <c r="M19" s="21"/>
      <c r="N19" s="21"/>
      <c r="O19" s="78"/>
      <c r="Q19" s="21"/>
      <c r="R19" s="21"/>
      <c r="S19" s="21"/>
      <c r="T19" s="21"/>
      <c r="U19" s="6"/>
      <c r="V19" s="6"/>
      <c r="X19" s="106" t="s">
        <v>62</v>
      </c>
      <c r="Y19" s="106" t="s">
        <v>62</v>
      </c>
      <c r="Z19" s="107"/>
      <c r="AA19" s="106"/>
      <c r="AB19" s="106"/>
      <c r="AC19" s="108"/>
      <c r="AD19" s="106"/>
      <c r="AE19" s="106"/>
    </row>
    <row r="20" spans="2:31" x14ac:dyDescent="0.2">
      <c r="B20" s="105"/>
      <c r="D20" s="21"/>
      <c r="E20" s="114"/>
      <c r="F20" s="75" t="s">
        <v>256</v>
      </c>
      <c r="G20" s="131" t="s">
        <v>258</v>
      </c>
      <c r="H20" s="79"/>
      <c r="I20" s="79">
        <v>0.25</v>
      </c>
      <c r="J20" s="100">
        <v>0.2</v>
      </c>
      <c r="K20" s="101"/>
      <c r="L20" s="82"/>
      <c r="M20" s="21"/>
      <c r="N20" s="21"/>
      <c r="O20" s="78"/>
      <c r="Q20" s="21"/>
      <c r="R20" s="21"/>
      <c r="S20" s="21"/>
      <c r="T20" s="21"/>
      <c r="U20" s="6"/>
      <c r="V20" s="6"/>
      <c r="X20" s="106" t="s">
        <v>62</v>
      </c>
      <c r="Y20" s="106" t="s">
        <v>62</v>
      </c>
      <c r="Z20" s="107"/>
      <c r="AA20" s="106"/>
      <c r="AB20" s="106"/>
      <c r="AC20" s="108"/>
      <c r="AD20" s="106"/>
      <c r="AE20" s="106"/>
    </row>
    <row r="21" spans="2:31" x14ac:dyDescent="0.2">
      <c r="B21" s="105"/>
      <c r="D21" s="21"/>
      <c r="E21" s="114"/>
      <c r="F21" s="75" t="s">
        <v>256</v>
      </c>
      <c r="G21" s="131" t="s">
        <v>259</v>
      </c>
      <c r="H21" s="79"/>
      <c r="I21" s="79">
        <v>0.25</v>
      </c>
      <c r="J21" s="100">
        <v>0.2</v>
      </c>
      <c r="K21" s="101"/>
      <c r="L21" s="82"/>
      <c r="M21" s="21"/>
      <c r="N21" s="21"/>
      <c r="O21" s="78"/>
      <c r="Q21" s="21"/>
      <c r="R21" s="21"/>
      <c r="S21" s="21"/>
      <c r="T21" s="21"/>
      <c r="U21" s="6"/>
      <c r="V21" s="6"/>
      <c r="X21" s="106" t="s">
        <v>62</v>
      </c>
      <c r="Y21" s="106" t="s">
        <v>62</v>
      </c>
      <c r="Z21" s="107"/>
      <c r="AA21" s="106"/>
      <c r="AB21" s="106"/>
      <c r="AC21" s="108"/>
      <c r="AD21" s="106"/>
      <c r="AE21" s="106"/>
    </row>
    <row r="22" spans="2:31" x14ac:dyDescent="0.2">
      <c r="B22" s="105" t="str">
        <f>$Y22</f>
        <v>RSHNELC3</v>
      </c>
      <c r="C22" s="14" t="s">
        <v>202</v>
      </c>
      <c r="D22" s="21" t="s">
        <v>210</v>
      </c>
      <c r="E22" s="70" t="s">
        <v>114</v>
      </c>
      <c r="F22" s="75" t="s">
        <v>113</v>
      </c>
      <c r="G22" s="75"/>
      <c r="H22" s="79">
        <v>0.95</v>
      </c>
      <c r="I22" s="79">
        <v>0.96</v>
      </c>
      <c r="J22" s="78">
        <v>0.97</v>
      </c>
      <c r="K22" s="101">
        <v>2015</v>
      </c>
      <c r="L22" s="82"/>
      <c r="M22" s="21"/>
      <c r="N22" s="69">
        <v>0.3</v>
      </c>
      <c r="O22" s="21"/>
      <c r="P22" s="116"/>
      <c r="Q22" s="115">
        <v>800</v>
      </c>
      <c r="R22" s="115">
        <f>Q22*0.02</f>
        <v>16</v>
      </c>
      <c r="S22" s="21"/>
      <c r="T22" s="21"/>
      <c r="U22" s="79">
        <v>31.536000000000001</v>
      </c>
      <c r="V22" s="6"/>
      <c r="X22" s="59" t="s">
        <v>211</v>
      </c>
      <c r="Y22" s="59" t="s">
        <v>200</v>
      </c>
      <c r="Z22" s="62" t="s">
        <v>201</v>
      </c>
      <c r="AA22" s="59" t="s">
        <v>41</v>
      </c>
      <c r="AB22" s="59" t="s">
        <v>58</v>
      </c>
      <c r="AC22" s="59" t="s">
        <v>142</v>
      </c>
      <c r="AD22" s="59" t="s">
        <v>206</v>
      </c>
      <c r="AE22" s="59"/>
    </row>
    <row r="23" spans="2:31" x14ac:dyDescent="0.2">
      <c r="B23" s="105" t="str">
        <f>$Y23</f>
        <v>RSHNSOL3</v>
      </c>
      <c r="C23" s="14" t="s">
        <v>202</v>
      </c>
      <c r="D23" s="21" t="s">
        <v>210</v>
      </c>
      <c r="E23" s="70" t="s">
        <v>114</v>
      </c>
      <c r="F23" s="75" t="s">
        <v>113</v>
      </c>
      <c r="G23" s="75"/>
      <c r="H23" s="79">
        <v>0.95</v>
      </c>
      <c r="I23" s="79">
        <v>0.96</v>
      </c>
      <c r="J23" s="78">
        <v>0.97</v>
      </c>
      <c r="K23" s="101">
        <v>2015</v>
      </c>
      <c r="L23" s="82"/>
      <c r="M23" s="21"/>
      <c r="N23" s="69">
        <v>0.3</v>
      </c>
      <c r="O23" s="21"/>
      <c r="P23" s="114"/>
      <c r="Q23" s="115">
        <v>1100</v>
      </c>
      <c r="R23" s="115">
        <f>Q23*0.02</f>
        <v>22</v>
      </c>
      <c r="S23" s="21"/>
      <c r="T23" s="21"/>
      <c r="U23" s="120">
        <f>U12*24</f>
        <v>31.536000000000001</v>
      </c>
      <c r="V23" s="6"/>
      <c r="X23" s="59" t="s">
        <v>211</v>
      </c>
      <c r="Y23" s="59" t="s">
        <v>199</v>
      </c>
      <c r="Z23" s="62" t="s">
        <v>218</v>
      </c>
      <c r="AA23" s="59" t="s">
        <v>41</v>
      </c>
      <c r="AB23" s="59" t="s">
        <v>58</v>
      </c>
      <c r="AC23" s="59" t="s">
        <v>142</v>
      </c>
      <c r="AD23" s="59" t="s">
        <v>206</v>
      </c>
      <c r="AE23" s="59"/>
    </row>
    <row r="24" spans="2:31" x14ac:dyDescent="0.2">
      <c r="C24" s="14" t="s">
        <v>196</v>
      </c>
      <c r="D24" t="s">
        <v>209</v>
      </c>
      <c r="F24" s="75"/>
      <c r="G24" s="75"/>
      <c r="H24" s="79"/>
      <c r="I24" s="79"/>
      <c r="J24" s="78"/>
      <c r="K24" s="101"/>
      <c r="L24" s="82"/>
      <c r="N24" s="69"/>
    </row>
    <row r="25" spans="2:31" x14ac:dyDescent="0.2">
      <c r="B25" s="20"/>
      <c r="C25" s="14"/>
      <c r="F25" s="75"/>
      <c r="G25" s="75"/>
      <c r="H25" s="79"/>
      <c r="I25" s="79"/>
      <c r="J25" s="78"/>
      <c r="K25" s="101"/>
      <c r="L25" s="82"/>
      <c r="M25" s="21"/>
      <c r="N25" s="21"/>
      <c r="O25" s="21"/>
      <c r="P25" s="117"/>
      <c r="Q25" s="118"/>
      <c r="R25" s="21"/>
      <c r="S25" s="21"/>
      <c r="T25" s="21"/>
      <c r="U25" s="6"/>
      <c r="V25" s="6"/>
      <c r="X25" s="59"/>
      <c r="Y25" s="59"/>
      <c r="Z25" s="62"/>
      <c r="AA25" s="59"/>
      <c r="AB25" s="59"/>
      <c r="AC25" s="59"/>
      <c r="AD25" s="59"/>
      <c r="AE25" s="59"/>
    </row>
    <row r="26" spans="2:31" x14ac:dyDescent="0.2">
      <c r="B26" s="40"/>
      <c r="C26" s="40"/>
      <c r="D26" s="40"/>
      <c r="E26" s="46"/>
      <c r="F26" s="40"/>
      <c r="G26" s="42"/>
      <c r="H26" s="42"/>
      <c r="I26" s="5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4"/>
      <c r="V26" s="44"/>
      <c r="X26" s="59"/>
      <c r="Y26" s="59"/>
      <c r="Z26" s="62"/>
      <c r="AA26" s="59"/>
      <c r="AB26" s="59"/>
      <c r="AC26" s="59"/>
      <c r="AD26" s="59"/>
      <c r="AE26" s="59"/>
    </row>
    <row r="27" spans="2:31" x14ac:dyDescent="0.2">
      <c r="B27" s="20"/>
      <c r="E27" s="21"/>
      <c r="F27" s="22"/>
      <c r="G27" s="41"/>
      <c r="H27" s="41"/>
      <c r="I27" s="4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6"/>
      <c r="V27" s="6"/>
      <c r="X27" s="59"/>
      <c r="Y27" s="59"/>
      <c r="Z27" s="62"/>
      <c r="AA27" s="59"/>
      <c r="AB27" s="59"/>
      <c r="AC27" s="59"/>
      <c r="AD27" s="59"/>
      <c r="AE27" s="59"/>
    </row>
    <row r="28" spans="2:31" x14ac:dyDescent="0.2">
      <c r="B28" s="26"/>
      <c r="C28" s="26"/>
      <c r="D28" s="26"/>
      <c r="E28" s="45"/>
      <c r="F28" s="43"/>
      <c r="G28" s="43"/>
      <c r="H28" s="43"/>
      <c r="I28" s="28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2:31" x14ac:dyDescent="0.2">
      <c r="B29" s="112" t="s">
        <v>216</v>
      </c>
      <c r="C29" s="112"/>
      <c r="D29" s="112"/>
      <c r="E29" s="45"/>
      <c r="F29" s="43"/>
      <c r="L29" s="112" t="s">
        <v>217</v>
      </c>
      <c r="M29" s="112"/>
      <c r="N29" s="112"/>
      <c r="O29" s="112"/>
      <c r="P29" s="112"/>
      <c r="Q29" s="26"/>
      <c r="R29" s="26"/>
      <c r="S29" s="26"/>
      <c r="T29" s="26"/>
      <c r="U29" s="26"/>
      <c r="V29" s="26"/>
      <c r="W29" s="26"/>
    </row>
    <row r="30" spans="2:31" x14ac:dyDescent="0.2">
      <c r="E30" s="45"/>
      <c r="F30" s="43"/>
      <c r="L30" s="43"/>
      <c r="M30" s="43"/>
      <c r="N30" s="28"/>
      <c r="O30" s="26"/>
      <c r="P30" s="26"/>
      <c r="Q30" s="26"/>
      <c r="R30" s="26"/>
      <c r="S30" s="26"/>
      <c r="T30" s="26"/>
      <c r="U30" s="26"/>
      <c r="V30" s="26"/>
      <c r="W30" s="26"/>
      <c r="X30" s="53" t="s">
        <v>6</v>
      </c>
      <c r="Y30" s="54"/>
      <c r="Z30" s="54"/>
      <c r="AA30" s="54"/>
      <c r="AB30" s="54"/>
      <c r="AC30" s="54"/>
      <c r="AD30" s="54"/>
      <c r="AE30" s="54"/>
    </row>
    <row r="31" spans="2:31" x14ac:dyDescent="0.2">
      <c r="C31" s="88" t="s">
        <v>277</v>
      </c>
      <c r="E31" s="45"/>
      <c r="F31" s="43"/>
      <c r="M31" s="43"/>
      <c r="N31" s="28"/>
      <c r="O31" s="88" t="s">
        <v>277</v>
      </c>
      <c r="P31" s="26"/>
      <c r="Q31" s="26"/>
      <c r="R31" s="26"/>
      <c r="S31" s="26"/>
      <c r="T31" s="26"/>
      <c r="U31" s="26"/>
      <c r="V31" s="26"/>
      <c r="W31" s="26"/>
      <c r="X31" s="55" t="s">
        <v>7</v>
      </c>
      <c r="Y31" s="55" t="s">
        <v>5</v>
      </c>
      <c r="Z31" s="55" t="s">
        <v>8</v>
      </c>
      <c r="AA31" s="55" t="s">
        <v>9</v>
      </c>
      <c r="AB31" s="55" t="s">
        <v>10</v>
      </c>
      <c r="AC31" s="55" t="s">
        <v>11</v>
      </c>
      <c r="AD31" s="55" t="s">
        <v>12</v>
      </c>
      <c r="AE31" s="55" t="s">
        <v>13</v>
      </c>
    </row>
    <row r="32" spans="2:31" x14ac:dyDescent="0.2">
      <c r="B32" s="89" t="s">
        <v>5</v>
      </c>
      <c r="C32" s="89" t="s">
        <v>139</v>
      </c>
      <c r="D32" s="94">
        <v>2020</v>
      </c>
      <c r="E32" s="45"/>
      <c r="F32" s="43"/>
      <c r="L32" s="12" t="s">
        <v>0</v>
      </c>
      <c r="M32" s="89" t="s">
        <v>5</v>
      </c>
      <c r="N32" s="12" t="s">
        <v>70</v>
      </c>
      <c r="O32" s="12" t="s">
        <v>139</v>
      </c>
      <c r="P32" s="68">
        <v>2020</v>
      </c>
      <c r="Q32" s="68">
        <v>0</v>
      </c>
      <c r="R32" s="26"/>
      <c r="S32" s="26"/>
      <c r="T32" s="26"/>
      <c r="U32" s="26"/>
      <c r="V32" s="26"/>
      <c r="W32" s="26"/>
      <c r="X32" s="127" t="s">
        <v>219</v>
      </c>
      <c r="Y32" s="127" t="s">
        <v>209</v>
      </c>
      <c r="Z32" s="127" t="s">
        <v>220</v>
      </c>
      <c r="AA32" s="125" t="s">
        <v>41</v>
      </c>
      <c r="AB32" s="122" t="s">
        <v>43</v>
      </c>
      <c r="AC32" s="127" t="s">
        <v>142</v>
      </c>
      <c r="AD32" s="127"/>
      <c r="AE32" s="127"/>
    </row>
    <row r="33" spans="2:31" x14ac:dyDescent="0.2">
      <c r="B33" s="95" t="s">
        <v>212</v>
      </c>
      <c r="C33" s="95"/>
      <c r="D33" s="95"/>
      <c r="E33" s="45"/>
      <c r="F33" s="43"/>
      <c r="L33" s="95" t="s">
        <v>213</v>
      </c>
      <c r="M33" s="95" t="s">
        <v>214</v>
      </c>
      <c r="N33" s="95" t="s">
        <v>215</v>
      </c>
      <c r="O33" s="95"/>
      <c r="P33" s="95"/>
      <c r="Q33" s="95"/>
      <c r="R33" s="26"/>
      <c r="S33" s="26"/>
      <c r="T33" s="26"/>
      <c r="U33" s="26"/>
      <c r="V33" s="26"/>
      <c r="W33" s="26"/>
      <c r="X33" s="127" t="s">
        <v>114</v>
      </c>
      <c r="Y33" s="127" t="s">
        <v>196</v>
      </c>
      <c r="Z33" s="127" t="s">
        <v>232</v>
      </c>
      <c r="AA33" s="127" t="s">
        <v>41</v>
      </c>
      <c r="AB33" s="127"/>
      <c r="AC33" s="127"/>
      <c r="AD33" s="127"/>
      <c r="AE33" s="127"/>
    </row>
    <row r="34" spans="2:31" x14ac:dyDescent="0.2">
      <c r="B34" s="127" t="s">
        <v>196</v>
      </c>
      <c r="C34" s="91" t="s">
        <v>121</v>
      </c>
      <c r="D34" s="99">
        <v>0.16905957273366545</v>
      </c>
      <c r="E34" s="45"/>
      <c r="F34" s="43"/>
      <c r="L34" s="121" t="s">
        <v>199</v>
      </c>
      <c r="M34" s="91" t="s">
        <v>202</v>
      </c>
      <c r="N34" s="91" t="s">
        <v>202</v>
      </c>
      <c r="O34" s="122" t="s">
        <v>126</v>
      </c>
      <c r="P34" s="123">
        <v>0.55000000000000004</v>
      </c>
      <c r="Q34" s="123">
        <v>3</v>
      </c>
      <c r="R34" s="26"/>
      <c r="S34" s="26"/>
      <c r="T34" s="26"/>
      <c r="U34" s="26"/>
      <c r="V34" s="26"/>
      <c r="W34" s="26"/>
      <c r="X34" s="127" t="s">
        <v>114</v>
      </c>
      <c r="Y34" s="127" t="s">
        <v>202</v>
      </c>
      <c r="Z34" s="127" t="s">
        <v>232</v>
      </c>
      <c r="AA34" s="127" t="s">
        <v>41</v>
      </c>
      <c r="AB34" s="127"/>
      <c r="AC34" s="127" t="s">
        <v>90</v>
      </c>
      <c r="AD34" s="127"/>
      <c r="AE34" s="127" t="s">
        <v>40</v>
      </c>
    </row>
    <row r="35" spans="2:31" x14ac:dyDescent="0.2">
      <c r="B35" s="127" t="s">
        <v>196</v>
      </c>
      <c r="C35" s="91" t="s">
        <v>122</v>
      </c>
      <c r="D35" s="99">
        <v>1.420814583571905E-2</v>
      </c>
      <c r="E35" s="45"/>
      <c r="F35" s="43"/>
      <c r="L35" s="121" t="s">
        <v>199</v>
      </c>
      <c r="M35" s="91" t="s">
        <v>202</v>
      </c>
      <c r="N35" s="91" t="s">
        <v>202</v>
      </c>
      <c r="O35" s="123" t="s">
        <v>127</v>
      </c>
      <c r="P35" s="124">
        <v>0.15</v>
      </c>
      <c r="Q35" s="130">
        <v>3</v>
      </c>
      <c r="R35" s="26"/>
      <c r="S35" s="26"/>
      <c r="T35" s="26"/>
      <c r="U35" s="26"/>
      <c r="V35" s="26"/>
      <c r="W35" s="26"/>
      <c r="X35" s="127" t="s">
        <v>206</v>
      </c>
      <c r="Y35" s="127" t="s">
        <v>210</v>
      </c>
      <c r="Z35" s="127" t="s">
        <v>237</v>
      </c>
      <c r="AA35" s="127" t="s">
        <v>41</v>
      </c>
      <c r="AB35" s="127"/>
      <c r="AC35" s="127"/>
      <c r="AD35" s="127"/>
      <c r="AE35" s="127"/>
    </row>
    <row r="36" spans="2:31" x14ac:dyDescent="0.2">
      <c r="B36" s="127" t="s">
        <v>196</v>
      </c>
      <c r="C36" s="91" t="s">
        <v>123</v>
      </c>
      <c r="D36" s="99">
        <v>6.7616017513258894E-2</v>
      </c>
      <c r="L36" s="121" t="s">
        <v>199</v>
      </c>
      <c r="M36" s="91" t="s">
        <v>202</v>
      </c>
      <c r="N36" s="91" t="s">
        <v>202</v>
      </c>
      <c r="O36" s="123" t="s">
        <v>128</v>
      </c>
      <c r="P36" s="123">
        <v>0.65</v>
      </c>
      <c r="Q36" s="123">
        <v>3</v>
      </c>
      <c r="X36" s="127" t="s">
        <v>206</v>
      </c>
      <c r="Y36" s="127" t="s">
        <v>251</v>
      </c>
      <c r="Z36" s="127" t="s">
        <v>253</v>
      </c>
      <c r="AA36" s="127" t="s">
        <v>41</v>
      </c>
      <c r="AB36" s="127"/>
      <c r="AC36" s="127"/>
      <c r="AD36" s="127"/>
      <c r="AE36" s="127"/>
    </row>
    <row r="37" spans="2:31" x14ac:dyDescent="0.2">
      <c r="B37" s="127" t="s">
        <v>196</v>
      </c>
      <c r="C37" s="91" t="s">
        <v>124</v>
      </c>
      <c r="D37" s="99">
        <v>0.28599999999999998</v>
      </c>
      <c r="L37" s="121" t="s">
        <v>199</v>
      </c>
      <c r="M37" s="91" t="s">
        <v>202</v>
      </c>
      <c r="N37" s="91" t="s">
        <v>202</v>
      </c>
      <c r="O37" s="123" t="s">
        <v>129</v>
      </c>
      <c r="P37" s="122">
        <v>0.95</v>
      </c>
      <c r="Q37" s="122">
        <v>3</v>
      </c>
      <c r="X37" s="127" t="s">
        <v>206</v>
      </c>
      <c r="Y37" s="127" t="s">
        <v>252</v>
      </c>
      <c r="Z37" s="127" t="s">
        <v>254</v>
      </c>
      <c r="AA37" s="127" t="s">
        <v>41</v>
      </c>
      <c r="AB37" s="127"/>
      <c r="AC37" s="127"/>
      <c r="AD37" s="127"/>
      <c r="AE37" s="127"/>
    </row>
    <row r="38" spans="2:31" x14ac:dyDescent="0.2">
      <c r="B38" s="127" t="s">
        <v>196</v>
      </c>
      <c r="C38" s="91" t="s">
        <v>125</v>
      </c>
      <c r="D38" s="98">
        <v>0.05</v>
      </c>
      <c r="L38" s="121" t="s">
        <v>199</v>
      </c>
      <c r="M38" s="91" t="s">
        <v>196</v>
      </c>
      <c r="N38" s="91" t="s">
        <v>209</v>
      </c>
      <c r="O38" s="123" t="s">
        <v>142</v>
      </c>
      <c r="P38" s="122">
        <v>1</v>
      </c>
      <c r="Q38" s="122">
        <v>3</v>
      </c>
    </row>
    <row r="39" spans="2:31" x14ac:dyDescent="0.2">
      <c r="B39" s="127" t="s">
        <v>196</v>
      </c>
      <c r="C39" s="91" t="s">
        <v>132</v>
      </c>
      <c r="D39" s="98">
        <v>0.15</v>
      </c>
    </row>
    <row r="40" spans="2:31" x14ac:dyDescent="0.2">
      <c r="B40" s="127" t="s">
        <v>196</v>
      </c>
      <c r="C40" s="91" t="s">
        <v>133</v>
      </c>
      <c r="D40" s="99">
        <v>0.12836312880727049</v>
      </c>
    </row>
    <row r="41" spans="2:31" x14ac:dyDescent="0.2">
      <c r="B41" s="127" t="s">
        <v>196</v>
      </c>
      <c r="C41" s="91" t="s">
        <v>134</v>
      </c>
      <c r="D41" s="99">
        <v>7.3503971836282583E-3</v>
      </c>
    </row>
    <row r="42" spans="2:31" x14ac:dyDescent="0.2">
      <c r="B42" s="127" t="s">
        <v>196</v>
      </c>
      <c r="C42" s="91" t="s">
        <v>135</v>
      </c>
      <c r="D42" s="99">
        <v>4.4544046283794082E-2</v>
      </c>
    </row>
    <row r="43" spans="2:31" x14ac:dyDescent="0.2">
      <c r="B43" s="127" t="s">
        <v>196</v>
      </c>
      <c r="C43" s="91" t="s">
        <v>136</v>
      </c>
      <c r="D43" s="99">
        <v>5.8346876730577493E-2</v>
      </c>
    </row>
    <row r="44" spans="2:31" x14ac:dyDescent="0.2">
      <c r="B44" s="127" t="s">
        <v>196</v>
      </c>
      <c r="C44" s="91" t="s">
        <v>137</v>
      </c>
      <c r="D44" s="98">
        <v>0</v>
      </c>
    </row>
    <row r="45" spans="2:31" x14ac:dyDescent="0.2">
      <c r="B45" s="128" t="s">
        <v>196</v>
      </c>
      <c r="C45" s="93" t="s">
        <v>138</v>
      </c>
      <c r="D45" s="113">
        <v>2.4511814912086205E-2</v>
      </c>
    </row>
    <row r="46" spans="2:31" x14ac:dyDescent="0.2">
      <c r="B46" s="127" t="s">
        <v>209</v>
      </c>
      <c r="C46" s="91" t="s">
        <v>121</v>
      </c>
      <c r="D46" s="99">
        <v>0.16905957273366545</v>
      </c>
    </row>
    <row r="47" spans="2:31" x14ac:dyDescent="0.2">
      <c r="B47" s="127" t="s">
        <v>209</v>
      </c>
      <c r="C47" s="91" t="s">
        <v>122</v>
      </c>
      <c r="D47" s="99">
        <v>1.420814583571905E-2</v>
      </c>
    </row>
    <row r="48" spans="2:31" x14ac:dyDescent="0.2">
      <c r="B48" s="127" t="s">
        <v>209</v>
      </c>
      <c r="C48" s="91" t="s">
        <v>123</v>
      </c>
      <c r="D48" s="99">
        <v>6.7616017513258894E-2</v>
      </c>
    </row>
    <row r="49" spans="2:4" x14ac:dyDescent="0.2">
      <c r="B49" s="127" t="s">
        <v>209</v>
      </c>
      <c r="C49" s="91" t="s">
        <v>124</v>
      </c>
      <c r="D49" s="99">
        <v>0.28599999999999998</v>
      </c>
    </row>
    <row r="50" spans="2:4" x14ac:dyDescent="0.2">
      <c r="B50" s="127" t="s">
        <v>209</v>
      </c>
      <c r="C50" s="91" t="s">
        <v>125</v>
      </c>
      <c r="D50" s="98">
        <v>0.05</v>
      </c>
    </row>
    <row r="51" spans="2:4" x14ac:dyDescent="0.2">
      <c r="B51" s="127" t="s">
        <v>209</v>
      </c>
      <c r="C51" s="91" t="s">
        <v>132</v>
      </c>
      <c r="D51" s="98">
        <v>0.15</v>
      </c>
    </row>
    <row r="52" spans="2:4" x14ac:dyDescent="0.2">
      <c r="B52" s="127" t="s">
        <v>209</v>
      </c>
      <c r="C52" s="91" t="s">
        <v>133</v>
      </c>
      <c r="D52" s="99">
        <v>0.12836312880727049</v>
      </c>
    </row>
    <row r="53" spans="2:4" x14ac:dyDescent="0.2">
      <c r="B53" s="127" t="s">
        <v>209</v>
      </c>
      <c r="C53" s="91" t="s">
        <v>134</v>
      </c>
      <c r="D53" s="99">
        <v>7.3503971836282583E-3</v>
      </c>
    </row>
    <row r="54" spans="2:4" x14ac:dyDescent="0.2">
      <c r="B54" s="127" t="s">
        <v>209</v>
      </c>
      <c r="C54" s="91" t="s">
        <v>135</v>
      </c>
      <c r="D54" s="99">
        <v>4.4544046283794082E-2</v>
      </c>
    </row>
    <row r="55" spans="2:4" x14ac:dyDescent="0.2">
      <c r="B55" s="127" t="s">
        <v>209</v>
      </c>
      <c r="C55" s="91" t="s">
        <v>136</v>
      </c>
      <c r="D55" s="99">
        <v>5.8346876730577493E-2</v>
      </c>
    </row>
    <row r="56" spans="2:4" x14ac:dyDescent="0.2">
      <c r="B56" s="127" t="s">
        <v>209</v>
      </c>
      <c r="C56" s="91" t="s">
        <v>137</v>
      </c>
      <c r="D56" s="98">
        <v>0</v>
      </c>
    </row>
    <row r="57" spans="2:4" x14ac:dyDescent="0.2">
      <c r="B57" s="128" t="s">
        <v>209</v>
      </c>
      <c r="C57" s="93" t="s">
        <v>138</v>
      </c>
      <c r="D57" s="113">
        <v>2.4511814912086205E-2</v>
      </c>
    </row>
  </sheetData>
  <phoneticPr fontId="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66"/>
  <sheetViews>
    <sheetView zoomScale="90" zoomScaleNormal="90" workbookViewId="0">
      <selection activeCell="C29" sqref="C29"/>
    </sheetView>
  </sheetViews>
  <sheetFormatPr defaultRowHeight="12.75" x14ac:dyDescent="0.2"/>
  <cols>
    <col min="1" max="1" width="4.28515625" customWidth="1"/>
    <col min="2" max="2" width="15.42578125" customWidth="1"/>
    <col min="3" max="3" width="10.42578125" customWidth="1"/>
    <col min="4" max="4" width="11.7109375" customWidth="1"/>
    <col min="5" max="5" width="11.140625" customWidth="1"/>
    <col min="6" max="6" width="9.85546875" customWidth="1"/>
    <col min="7" max="7" width="10.85546875" customWidth="1"/>
    <col min="8" max="8" width="4.7109375" customWidth="1"/>
    <col min="9" max="9" width="8.140625" customWidth="1"/>
    <col min="10" max="10" width="12.140625" bestFit="1" customWidth="1"/>
    <col min="11" max="11" width="8.140625" customWidth="1"/>
    <col min="13" max="13" width="10.28515625" customWidth="1"/>
    <col min="14" max="14" width="9.7109375" customWidth="1"/>
    <col min="18" max="18" width="7.42578125" customWidth="1"/>
    <col min="19" max="19" width="8.28515625" customWidth="1"/>
    <col min="22" max="22" width="12" customWidth="1"/>
    <col min="23" max="23" width="10.5703125" customWidth="1"/>
    <col min="25" max="25" width="9.7109375" customWidth="1"/>
    <col min="26" max="26" width="2" style="26" bestFit="1" customWidth="1"/>
    <col min="27" max="27" width="8" customWidth="1"/>
    <col min="28" max="28" width="15.28515625" customWidth="1"/>
    <col min="29" max="29" width="71.7109375" customWidth="1"/>
    <col min="30" max="30" width="5.7109375" customWidth="1"/>
    <col min="31" max="31" width="10.42578125" bestFit="1" customWidth="1"/>
    <col min="32" max="32" width="12.85546875" bestFit="1" customWidth="1"/>
    <col min="33" max="33" width="13.28515625" bestFit="1" customWidth="1"/>
    <col min="34" max="34" width="8" bestFit="1" customWidth="1"/>
  </cols>
  <sheetData>
    <row r="1" spans="2:34" ht="15" x14ac:dyDescent="0.25">
      <c r="I1" s="27"/>
    </row>
    <row r="2" spans="2:34" ht="15.75" x14ac:dyDescent="0.25">
      <c r="B2" s="8" t="s">
        <v>36</v>
      </c>
      <c r="C2" s="8" t="s">
        <v>37</v>
      </c>
      <c r="D2" s="8" t="s">
        <v>38</v>
      </c>
      <c r="E2" s="8" t="s">
        <v>39</v>
      </c>
      <c r="I2" s="25"/>
    </row>
    <row r="3" spans="2:34" ht="27.75" customHeight="1" x14ac:dyDescent="0.25">
      <c r="B3" s="9" t="s">
        <v>59</v>
      </c>
      <c r="C3" s="9" t="s">
        <v>60</v>
      </c>
      <c r="D3" s="24" t="s">
        <v>56</v>
      </c>
      <c r="E3" s="9" t="s">
        <v>104</v>
      </c>
    </row>
    <row r="4" spans="2:34" s="6" customFormat="1" ht="15.75" x14ac:dyDescent="0.25">
      <c r="B4" s="25"/>
      <c r="C4" s="25"/>
      <c r="D4" s="25"/>
      <c r="E4" s="25"/>
      <c r="F4" s="25"/>
      <c r="Z4" s="26"/>
      <c r="AA4" s="7"/>
      <c r="AB4" s="7"/>
      <c r="AC4" s="7"/>
      <c r="AD4" s="7"/>
      <c r="AE4" s="7"/>
      <c r="AF4" s="7"/>
      <c r="AG4" s="7"/>
      <c r="AH4" s="7"/>
    </row>
    <row r="7" spans="2:34" x14ac:dyDescent="0.2">
      <c r="B7" s="14"/>
      <c r="C7" s="14"/>
      <c r="D7" s="14"/>
      <c r="E7" s="14"/>
      <c r="F7" s="14"/>
      <c r="G7" s="4" t="str">
        <f>"~FI_T: "&amp;E3</f>
        <v>~FI_T: MEuro05</v>
      </c>
      <c r="H7" s="4"/>
      <c r="I7" s="17"/>
      <c r="J7" s="4"/>
      <c r="K7" s="4"/>
      <c r="L7" s="4"/>
      <c r="M7" s="4"/>
      <c r="N7" s="4"/>
      <c r="O7" s="4"/>
      <c r="P7" s="4"/>
      <c r="Q7" s="14"/>
      <c r="R7" s="14"/>
      <c r="S7" s="14"/>
      <c r="T7" s="14"/>
      <c r="U7" s="4"/>
      <c r="V7" s="5"/>
      <c r="W7" s="5"/>
      <c r="X7" s="3"/>
      <c r="Y7" s="3"/>
      <c r="Z7"/>
      <c r="AA7" s="53" t="s">
        <v>17</v>
      </c>
      <c r="AB7" s="61"/>
      <c r="AC7" s="61"/>
      <c r="AD7" s="61"/>
      <c r="AE7" s="61"/>
      <c r="AF7" s="61"/>
      <c r="AG7" s="61"/>
      <c r="AH7" s="61"/>
    </row>
    <row r="8" spans="2:34" ht="25.5" x14ac:dyDescent="0.2">
      <c r="B8" s="12" t="s">
        <v>0</v>
      </c>
      <c r="C8" s="12" t="s">
        <v>2</v>
      </c>
      <c r="D8" s="12" t="s">
        <v>5</v>
      </c>
      <c r="E8" s="12" t="s">
        <v>3</v>
      </c>
      <c r="F8" s="12" t="s">
        <v>70</v>
      </c>
      <c r="G8" s="72" t="s">
        <v>108</v>
      </c>
      <c r="H8" s="72" t="s">
        <v>271</v>
      </c>
      <c r="I8" s="68">
        <v>2020</v>
      </c>
      <c r="J8" s="68">
        <v>2030</v>
      </c>
      <c r="K8" s="68">
        <v>2050</v>
      </c>
      <c r="L8" s="87" t="s">
        <v>14</v>
      </c>
      <c r="M8" s="37" t="s">
        <v>96</v>
      </c>
      <c r="N8" s="37" t="s">
        <v>250</v>
      </c>
      <c r="O8" s="37" t="s">
        <v>71</v>
      </c>
      <c r="P8" s="37" t="s">
        <v>174</v>
      </c>
      <c r="Q8" s="37" t="s">
        <v>69</v>
      </c>
      <c r="R8" s="37" t="s">
        <v>147</v>
      </c>
      <c r="S8" s="37" t="s">
        <v>148</v>
      </c>
      <c r="T8" s="68" t="s">
        <v>32</v>
      </c>
      <c r="U8" s="68" t="s">
        <v>4</v>
      </c>
      <c r="V8" s="37" t="s">
        <v>167</v>
      </c>
      <c r="W8" s="37" t="s">
        <v>160</v>
      </c>
      <c r="X8" s="37" t="s">
        <v>44</v>
      </c>
      <c r="Y8" s="37" t="s">
        <v>66</v>
      </c>
      <c r="Z8" s="18"/>
      <c r="AA8" s="55" t="s">
        <v>15</v>
      </c>
      <c r="AB8" s="55" t="s">
        <v>0</v>
      </c>
      <c r="AC8" s="55" t="s">
        <v>1</v>
      </c>
      <c r="AD8" s="55" t="s">
        <v>18</v>
      </c>
      <c r="AE8" s="55" t="s">
        <v>19</v>
      </c>
      <c r="AF8" s="55" t="s">
        <v>20</v>
      </c>
      <c r="AG8" s="55" t="s">
        <v>21</v>
      </c>
      <c r="AH8" s="55" t="s">
        <v>22</v>
      </c>
    </row>
    <row r="9" spans="2:34" ht="34.5" thickBot="1" x14ac:dyDescent="0.25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73"/>
      <c r="H9" s="73"/>
      <c r="I9" s="11"/>
      <c r="J9" s="30"/>
      <c r="K9" s="30"/>
      <c r="L9" s="76"/>
      <c r="M9" s="30"/>
      <c r="N9" s="85"/>
      <c r="O9" s="85" t="s">
        <v>156</v>
      </c>
      <c r="P9" s="86" t="s">
        <v>47</v>
      </c>
      <c r="Q9" s="86" t="s">
        <v>149</v>
      </c>
      <c r="R9" s="86"/>
      <c r="S9" s="86" t="s">
        <v>149</v>
      </c>
      <c r="T9" s="85" t="s">
        <v>48</v>
      </c>
      <c r="U9" s="85" t="s">
        <v>33</v>
      </c>
      <c r="V9" s="85" t="s">
        <v>33</v>
      </c>
      <c r="W9" s="85" t="s">
        <v>161</v>
      </c>
      <c r="X9" s="85" t="s">
        <v>67</v>
      </c>
      <c r="Y9" s="85" t="s">
        <v>31</v>
      </c>
      <c r="Z9" s="34"/>
      <c r="AA9" s="57" t="s">
        <v>166</v>
      </c>
      <c r="AB9" s="57" t="s">
        <v>23</v>
      </c>
      <c r="AC9" s="57" t="s">
        <v>24</v>
      </c>
      <c r="AD9" s="57" t="s">
        <v>25</v>
      </c>
      <c r="AE9" s="57" t="s">
        <v>26</v>
      </c>
      <c r="AF9" s="57" t="s">
        <v>51</v>
      </c>
      <c r="AG9" s="57" t="s">
        <v>52</v>
      </c>
      <c r="AH9" s="57" t="s">
        <v>27</v>
      </c>
    </row>
    <row r="10" spans="2:34" ht="13.5" thickBot="1" x14ac:dyDescent="0.25">
      <c r="B10" s="10" t="s">
        <v>53</v>
      </c>
      <c r="C10" s="10"/>
      <c r="D10" s="10"/>
      <c r="E10" s="10"/>
      <c r="F10" s="10"/>
      <c r="G10" s="74"/>
      <c r="H10" s="74"/>
      <c r="I10" s="10"/>
      <c r="J10" s="31"/>
      <c r="K10" s="31"/>
      <c r="L10" s="77"/>
      <c r="M10" s="31"/>
      <c r="N10" s="84"/>
      <c r="O10" s="84"/>
      <c r="P10" s="38"/>
      <c r="Q10" s="38"/>
      <c r="R10" s="38"/>
      <c r="S10" s="38"/>
      <c r="T10" s="84"/>
      <c r="U10" s="84"/>
      <c r="V10" s="84"/>
      <c r="W10" s="84"/>
      <c r="X10" s="84" t="s">
        <v>54</v>
      </c>
      <c r="Y10" s="84"/>
      <c r="Z10" s="34"/>
      <c r="AA10" s="63" t="s">
        <v>62</v>
      </c>
      <c r="AB10" s="64"/>
      <c r="AC10" s="64"/>
      <c r="AD10" s="64"/>
      <c r="AE10" s="64"/>
      <c r="AF10" s="64"/>
      <c r="AG10" s="64"/>
      <c r="AH10" s="64"/>
    </row>
    <row r="11" spans="2:34" x14ac:dyDescent="0.2">
      <c r="B11" s="105" t="str">
        <f>AB11</f>
        <v>FTE-TRDHH2</v>
      </c>
      <c r="C11" s="14" t="s">
        <v>91</v>
      </c>
      <c r="D11" s="14"/>
      <c r="E11" s="14" t="s">
        <v>179</v>
      </c>
      <c r="F11" s="79"/>
      <c r="G11" s="75" t="s">
        <v>103</v>
      </c>
      <c r="H11" s="75"/>
      <c r="I11" s="16"/>
      <c r="J11" s="79">
        <v>1</v>
      </c>
      <c r="K11" s="80"/>
      <c r="L11" s="101"/>
      <c r="M11" s="82"/>
      <c r="N11" s="82"/>
      <c r="O11" s="80"/>
      <c r="P11" s="78"/>
      <c r="Q11" s="79">
        <v>1</v>
      </c>
      <c r="R11" s="79"/>
      <c r="S11" s="79"/>
      <c r="T11" s="79"/>
      <c r="U11" s="79"/>
      <c r="V11" s="79"/>
      <c r="W11" s="100">
        <v>3.4</v>
      </c>
      <c r="X11" s="79">
        <v>20</v>
      </c>
      <c r="Y11" s="79">
        <v>1</v>
      </c>
      <c r="Z11"/>
      <c r="AA11" s="60" t="s">
        <v>99</v>
      </c>
      <c r="AB11" s="54" t="s">
        <v>178</v>
      </c>
      <c r="AC11" s="54" t="s">
        <v>177</v>
      </c>
      <c r="AD11" s="61" t="s">
        <v>41</v>
      </c>
      <c r="AE11" s="61" t="s">
        <v>172</v>
      </c>
      <c r="AF11" s="61" t="s">
        <v>142</v>
      </c>
      <c r="AG11" s="61" t="s">
        <v>179</v>
      </c>
      <c r="AH11" s="59" t="s">
        <v>173</v>
      </c>
    </row>
    <row r="12" spans="2:34" x14ac:dyDescent="0.2">
      <c r="B12" s="105" t="str">
        <f>AB12</f>
        <v>TRAFASTELC1</v>
      </c>
      <c r="C12" t="s">
        <v>182</v>
      </c>
      <c r="D12" s="14"/>
      <c r="E12" s="14" t="s">
        <v>183</v>
      </c>
      <c r="F12" s="79"/>
      <c r="G12" s="75" t="s">
        <v>103</v>
      </c>
      <c r="H12" s="75"/>
      <c r="I12" s="16"/>
      <c r="J12" s="79">
        <v>1</v>
      </c>
      <c r="K12" s="80"/>
      <c r="L12" s="101">
        <v>2015</v>
      </c>
      <c r="M12" s="82"/>
      <c r="N12" s="82"/>
      <c r="O12" s="80"/>
      <c r="P12" s="78"/>
      <c r="Q12" s="79">
        <v>1</v>
      </c>
      <c r="R12" s="79"/>
      <c r="S12" s="79"/>
      <c r="T12" s="79"/>
      <c r="U12" s="79"/>
      <c r="V12" s="79"/>
      <c r="W12" s="100">
        <v>2</v>
      </c>
      <c r="X12" s="79">
        <v>20</v>
      </c>
      <c r="Y12" s="79">
        <v>31.536000000000001</v>
      </c>
      <c r="Z12"/>
      <c r="AA12" s="60" t="s">
        <v>99</v>
      </c>
      <c r="AB12" s="54" t="s">
        <v>241</v>
      </c>
      <c r="AC12" s="54" t="s">
        <v>184</v>
      </c>
      <c r="AD12" s="61" t="s">
        <v>41</v>
      </c>
      <c r="AE12" s="61" t="s">
        <v>172</v>
      </c>
      <c r="AF12" s="61" t="s">
        <v>142</v>
      </c>
      <c r="AG12" s="61" t="s">
        <v>183</v>
      </c>
      <c r="AH12" s="59" t="s">
        <v>173</v>
      </c>
    </row>
    <row r="13" spans="2:34" x14ac:dyDescent="0.2">
      <c r="B13" s="105" t="str">
        <f>AB13</f>
        <v>TRASLOWELC1</v>
      </c>
      <c r="C13" t="s">
        <v>182</v>
      </c>
      <c r="D13" s="14"/>
      <c r="E13" s="14" t="s">
        <v>186</v>
      </c>
      <c r="F13" s="79"/>
      <c r="G13" s="75" t="s">
        <v>103</v>
      </c>
      <c r="H13" s="75"/>
      <c r="I13" s="16"/>
      <c r="J13" s="79">
        <v>1</v>
      </c>
      <c r="K13" s="80"/>
      <c r="L13" s="101"/>
      <c r="M13" s="82"/>
      <c r="N13" s="82"/>
      <c r="O13" s="80"/>
      <c r="P13" s="78"/>
      <c r="Q13" s="79">
        <v>1</v>
      </c>
      <c r="R13" s="79"/>
      <c r="S13" s="79"/>
      <c r="T13" s="79"/>
      <c r="U13" s="79"/>
      <c r="V13" s="79"/>
      <c r="W13" s="100"/>
      <c r="X13" s="79"/>
      <c r="Y13" s="79">
        <v>31.536000000000001</v>
      </c>
      <c r="Z13"/>
      <c r="AA13" s="60" t="s">
        <v>99</v>
      </c>
      <c r="AB13" s="54" t="s">
        <v>242</v>
      </c>
      <c r="AC13" s="54" t="s">
        <v>185</v>
      </c>
      <c r="AD13" s="61" t="s">
        <v>41</v>
      </c>
      <c r="AE13" s="61" t="s">
        <v>172</v>
      </c>
      <c r="AF13" s="61"/>
      <c r="AG13" s="61" t="s">
        <v>186</v>
      </c>
      <c r="AH13" s="59" t="s">
        <v>173</v>
      </c>
    </row>
    <row r="14" spans="2:34" x14ac:dyDescent="0.2">
      <c r="B14" s="105" t="str">
        <f>AB14</f>
        <v>TRASIFTELC1</v>
      </c>
      <c r="C14" t="s">
        <v>182</v>
      </c>
      <c r="D14" s="14"/>
      <c r="E14" s="14" t="s">
        <v>183</v>
      </c>
      <c r="F14" s="79"/>
      <c r="G14" s="75" t="s">
        <v>169</v>
      </c>
      <c r="H14" s="75"/>
      <c r="I14" s="82">
        <v>0.2</v>
      </c>
      <c r="J14" s="79">
        <v>0.3</v>
      </c>
      <c r="K14" s="100">
        <v>0.4</v>
      </c>
      <c r="L14" s="101">
        <v>2020</v>
      </c>
      <c r="M14" s="82"/>
      <c r="N14" s="82"/>
      <c r="O14" s="78"/>
      <c r="P14" s="78"/>
      <c r="Q14" s="79">
        <v>1</v>
      </c>
      <c r="R14" s="79"/>
      <c r="S14" s="79"/>
      <c r="T14" s="79"/>
      <c r="U14" s="79"/>
      <c r="V14" s="79"/>
      <c r="W14" s="78"/>
      <c r="X14" s="79">
        <v>20</v>
      </c>
      <c r="Y14" s="79">
        <v>31.536000000000001</v>
      </c>
      <c r="Z14"/>
      <c r="AA14" s="60" t="s">
        <v>192</v>
      </c>
      <c r="AB14" s="54" t="s">
        <v>243</v>
      </c>
      <c r="AC14" s="54" t="s">
        <v>246</v>
      </c>
      <c r="AD14" s="61" t="s">
        <v>41</v>
      </c>
      <c r="AE14" s="61" t="s">
        <v>172</v>
      </c>
      <c r="AF14" s="61" t="s">
        <v>90</v>
      </c>
      <c r="AG14" s="61" t="s">
        <v>114</v>
      </c>
      <c r="AH14" s="59" t="s">
        <v>173</v>
      </c>
    </row>
    <row r="15" spans="2:34" x14ac:dyDescent="0.2">
      <c r="B15" s="105"/>
      <c r="D15" s="14"/>
      <c r="E15" s="14" t="s">
        <v>186</v>
      </c>
      <c r="F15" s="79"/>
      <c r="G15" s="75" t="s">
        <v>169</v>
      </c>
      <c r="H15" s="75"/>
      <c r="I15" s="82">
        <v>0.3</v>
      </c>
      <c r="J15" s="79">
        <v>0.4</v>
      </c>
      <c r="K15" s="100">
        <v>0.6</v>
      </c>
      <c r="L15" s="101"/>
      <c r="M15" s="82"/>
      <c r="N15" s="82"/>
      <c r="O15" s="78"/>
      <c r="P15" s="78"/>
      <c r="Q15" s="79"/>
      <c r="R15" s="79"/>
      <c r="S15" s="79"/>
      <c r="T15" s="79"/>
      <c r="U15" s="79"/>
      <c r="V15" s="79"/>
      <c r="W15" s="78"/>
      <c r="X15" s="79"/>
      <c r="Y15" s="79"/>
      <c r="Z15"/>
      <c r="AA15" s="108" t="s">
        <v>62</v>
      </c>
      <c r="AB15" s="108" t="s">
        <v>62</v>
      </c>
      <c r="AC15" s="108"/>
      <c r="AD15" s="106"/>
      <c r="AE15" s="106"/>
      <c r="AF15" s="106"/>
      <c r="AG15" s="106"/>
      <c r="AH15" s="106"/>
    </row>
    <row r="16" spans="2:34" x14ac:dyDescent="0.2">
      <c r="B16" s="105"/>
      <c r="D16" s="79" t="s">
        <v>151</v>
      </c>
      <c r="E16" s="14"/>
      <c r="F16" s="79"/>
      <c r="G16" s="75" t="s">
        <v>169</v>
      </c>
      <c r="H16" s="75"/>
      <c r="I16" s="82">
        <v>0.15</v>
      </c>
      <c r="J16" s="79">
        <v>0.2</v>
      </c>
      <c r="K16" s="100">
        <v>0.25</v>
      </c>
      <c r="L16" s="101"/>
      <c r="M16" s="82"/>
      <c r="N16" s="82"/>
      <c r="O16" s="78"/>
      <c r="P16" s="78"/>
      <c r="Q16" s="79"/>
      <c r="R16" s="79"/>
      <c r="S16" s="79"/>
      <c r="T16" s="79"/>
      <c r="U16" s="79"/>
      <c r="V16" s="79"/>
      <c r="W16" s="78"/>
      <c r="X16" s="79"/>
      <c r="Y16" s="79"/>
      <c r="Z16"/>
      <c r="AA16" s="108" t="s">
        <v>62</v>
      </c>
      <c r="AB16" s="108" t="s">
        <v>62</v>
      </c>
      <c r="AC16" s="108"/>
      <c r="AD16" s="106"/>
      <c r="AE16" s="106"/>
      <c r="AF16" s="106"/>
      <c r="AG16" s="106"/>
      <c r="AH16" s="106"/>
    </row>
    <row r="17" spans="2:34" x14ac:dyDescent="0.2">
      <c r="B17" s="105"/>
      <c r="C17" s="14"/>
      <c r="D17" s="14"/>
      <c r="E17" s="14" t="s">
        <v>183</v>
      </c>
      <c r="F17" s="79"/>
      <c r="G17" s="75" t="s">
        <v>170</v>
      </c>
      <c r="H17" s="75"/>
      <c r="I17" s="82">
        <v>0.1</v>
      </c>
      <c r="J17" s="79">
        <v>0.2</v>
      </c>
      <c r="K17" s="100">
        <v>0.3</v>
      </c>
      <c r="L17" s="101"/>
      <c r="M17" s="82"/>
      <c r="N17" s="82"/>
      <c r="O17" s="78"/>
      <c r="P17" s="78"/>
      <c r="Q17" s="79"/>
      <c r="R17" s="79"/>
      <c r="S17" s="79"/>
      <c r="T17" s="79"/>
      <c r="U17" s="79"/>
      <c r="V17" s="79"/>
      <c r="W17" s="100">
        <v>6.4</v>
      </c>
      <c r="X17" s="79"/>
      <c r="Y17" s="79"/>
      <c r="Z17"/>
      <c r="AA17" s="108" t="s">
        <v>62</v>
      </c>
      <c r="AB17" s="108" t="s">
        <v>62</v>
      </c>
      <c r="AC17" s="108"/>
      <c r="AD17" s="106"/>
      <c r="AE17" s="106"/>
      <c r="AF17" s="106"/>
      <c r="AG17" s="106"/>
      <c r="AH17" s="106"/>
    </row>
    <row r="18" spans="2:34" x14ac:dyDescent="0.2">
      <c r="B18" s="105"/>
      <c r="C18" s="14"/>
      <c r="D18" s="14"/>
      <c r="E18" s="14" t="s">
        <v>186</v>
      </c>
      <c r="F18" s="79"/>
      <c r="G18" s="75" t="s">
        <v>170</v>
      </c>
      <c r="H18" s="75"/>
      <c r="I18" s="82">
        <v>0.2</v>
      </c>
      <c r="J18" s="79">
        <v>0.3</v>
      </c>
      <c r="K18" s="100">
        <v>0.35</v>
      </c>
      <c r="L18" s="101"/>
      <c r="M18" s="82"/>
      <c r="N18" s="82"/>
      <c r="O18" s="78"/>
      <c r="P18" s="78"/>
      <c r="Q18" s="79"/>
      <c r="R18" s="79"/>
      <c r="S18" s="79"/>
      <c r="T18" s="79"/>
      <c r="U18" s="79"/>
      <c r="V18" s="79"/>
      <c r="W18" s="100">
        <v>6.4</v>
      </c>
      <c r="X18" s="79"/>
      <c r="Y18" s="79"/>
      <c r="Z18"/>
      <c r="AA18" s="108" t="s">
        <v>62</v>
      </c>
      <c r="AB18" s="108" t="s">
        <v>62</v>
      </c>
      <c r="AC18" s="108"/>
      <c r="AD18" s="106"/>
      <c r="AE18" s="106"/>
      <c r="AF18" s="106"/>
      <c r="AG18" s="106"/>
      <c r="AH18" s="106"/>
    </row>
    <row r="19" spans="2:34" x14ac:dyDescent="0.2">
      <c r="B19" s="105"/>
      <c r="C19" t="s">
        <v>182</v>
      </c>
      <c r="D19" s="14"/>
      <c r="E19" s="14"/>
      <c r="F19" s="79"/>
      <c r="G19" s="75" t="s">
        <v>171</v>
      </c>
      <c r="H19" s="75"/>
      <c r="I19" s="82">
        <v>2</v>
      </c>
      <c r="J19" s="79">
        <v>1.5</v>
      </c>
      <c r="K19" s="100">
        <v>1</v>
      </c>
      <c r="L19" s="101"/>
      <c r="M19" s="82"/>
      <c r="N19" s="82"/>
      <c r="O19" s="78"/>
      <c r="P19" s="78"/>
      <c r="Q19" s="79"/>
      <c r="R19" s="79"/>
      <c r="S19" s="79"/>
      <c r="T19" s="79"/>
      <c r="U19" s="79"/>
      <c r="V19" s="79">
        <v>2</v>
      </c>
      <c r="W19" s="100"/>
      <c r="X19" s="79"/>
      <c r="Y19" s="79"/>
      <c r="Z19"/>
      <c r="AA19" s="108" t="s">
        <v>62</v>
      </c>
      <c r="AB19" s="108" t="s">
        <v>62</v>
      </c>
      <c r="AC19" s="108"/>
      <c r="AD19" s="106"/>
      <c r="AE19" s="106"/>
      <c r="AF19" s="106"/>
      <c r="AG19" s="106"/>
      <c r="AH19" s="106"/>
    </row>
    <row r="20" spans="2:34" x14ac:dyDescent="0.2">
      <c r="B20" s="105"/>
      <c r="C20" t="s">
        <v>40</v>
      </c>
      <c r="D20" s="14"/>
      <c r="E20" t="s">
        <v>40</v>
      </c>
      <c r="F20" s="79"/>
      <c r="G20" s="75" t="s">
        <v>160</v>
      </c>
      <c r="H20" s="75"/>
      <c r="I20" s="82">
        <v>5.4</v>
      </c>
      <c r="J20" s="100">
        <v>4.8</v>
      </c>
      <c r="K20" s="100">
        <v>4</v>
      </c>
      <c r="L20" s="101"/>
      <c r="M20" s="82"/>
      <c r="N20" s="82">
        <v>2</v>
      </c>
      <c r="O20" s="78">
        <v>0.95</v>
      </c>
      <c r="P20" s="78"/>
      <c r="Q20" s="79"/>
      <c r="R20" s="79"/>
      <c r="S20" s="79"/>
      <c r="T20" s="79"/>
      <c r="U20" s="79"/>
      <c r="V20" s="79"/>
      <c r="W20" s="100"/>
      <c r="X20" s="79"/>
      <c r="Y20" s="79"/>
      <c r="Z20"/>
      <c r="AA20" s="108" t="s">
        <v>62</v>
      </c>
      <c r="AB20" s="108" t="s">
        <v>62</v>
      </c>
      <c r="AC20" s="108"/>
      <c r="AD20" s="106"/>
      <c r="AE20" s="106"/>
      <c r="AF20" s="106"/>
      <c r="AG20" s="106"/>
      <c r="AH20" s="106"/>
    </row>
    <row r="21" spans="2:34" x14ac:dyDescent="0.2">
      <c r="B21" s="105" t="str">
        <f>AB21</f>
        <v>TRARAGGELC1</v>
      </c>
      <c r="C21" s="14" t="s">
        <v>183</v>
      </c>
      <c r="D21" s="14"/>
      <c r="E21" t="s">
        <v>168</v>
      </c>
      <c r="F21" s="79" t="s">
        <v>114</v>
      </c>
      <c r="G21" s="75" t="s">
        <v>113</v>
      </c>
      <c r="H21" s="75"/>
      <c r="I21" s="82"/>
      <c r="J21" s="79">
        <v>1</v>
      </c>
      <c r="K21" s="100"/>
      <c r="L21" s="101"/>
      <c r="M21" s="82"/>
      <c r="N21" s="82"/>
      <c r="O21" s="78"/>
      <c r="P21" s="78"/>
      <c r="Q21" s="79">
        <v>1</v>
      </c>
      <c r="R21" s="79"/>
      <c r="S21" s="79"/>
      <c r="T21" s="79"/>
      <c r="U21" s="79"/>
      <c r="V21" s="79"/>
      <c r="W21" s="100"/>
      <c r="X21" s="79"/>
      <c r="Y21" s="79"/>
      <c r="Z21"/>
      <c r="AA21" s="60" t="s">
        <v>99</v>
      </c>
      <c r="AB21" s="105" t="s">
        <v>247</v>
      </c>
      <c r="AC21" s="54" t="s">
        <v>191</v>
      </c>
      <c r="AD21" s="61" t="s">
        <v>41</v>
      </c>
      <c r="AE21" s="61" t="s">
        <v>172</v>
      </c>
      <c r="AF21" s="61" t="s">
        <v>142</v>
      </c>
      <c r="AG21" s="61" t="s">
        <v>168</v>
      </c>
      <c r="AH21" s="59" t="s">
        <v>173</v>
      </c>
    </row>
    <row r="22" spans="2:34" x14ac:dyDescent="0.2">
      <c r="B22" s="105"/>
      <c r="C22" s="14" t="s">
        <v>186</v>
      </c>
      <c r="D22" s="14"/>
      <c r="E22" s="14"/>
      <c r="F22" s="79" t="s">
        <v>114</v>
      </c>
      <c r="G22" s="75" t="s">
        <v>189</v>
      </c>
      <c r="H22" s="75"/>
      <c r="I22" s="82">
        <v>0.85</v>
      </c>
      <c r="J22" s="79">
        <v>0.8</v>
      </c>
      <c r="K22" s="78">
        <v>0.75</v>
      </c>
      <c r="L22" s="101"/>
      <c r="M22" s="82"/>
      <c r="N22" s="82"/>
      <c r="O22" s="78"/>
      <c r="P22" s="78"/>
      <c r="Q22" s="79"/>
      <c r="R22" s="79"/>
      <c r="S22" s="79"/>
      <c r="T22" s="79"/>
      <c r="U22" s="79"/>
      <c r="V22" s="79"/>
      <c r="W22" s="100"/>
      <c r="X22" s="79"/>
      <c r="Y22" s="79"/>
      <c r="Z22"/>
      <c r="AA22" s="108" t="s">
        <v>62</v>
      </c>
      <c r="AB22" s="108" t="s">
        <v>62</v>
      </c>
      <c r="AC22" s="108"/>
      <c r="AD22" s="106"/>
      <c r="AE22" s="106"/>
      <c r="AF22" s="106"/>
      <c r="AG22" s="106"/>
      <c r="AH22" s="106"/>
    </row>
    <row r="23" spans="2:34" x14ac:dyDescent="0.2">
      <c r="B23" s="105" t="str">
        <f>AB23</f>
        <v>TCANELC3</v>
      </c>
      <c r="C23" s="14" t="s">
        <v>168</v>
      </c>
      <c r="D23" s="14"/>
      <c r="E23" s="14" t="s">
        <v>64</v>
      </c>
      <c r="F23" s="79" t="s">
        <v>151</v>
      </c>
      <c r="G23" s="75" t="s">
        <v>113</v>
      </c>
      <c r="H23" s="75"/>
      <c r="I23" s="82">
        <v>1.8</v>
      </c>
      <c r="J23" s="79">
        <v>1.9</v>
      </c>
      <c r="K23" s="100">
        <v>2.1</v>
      </c>
      <c r="L23" s="101">
        <v>2020</v>
      </c>
      <c r="M23" s="82"/>
      <c r="N23" s="82"/>
      <c r="O23" s="78">
        <v>1.3</v>
      </c>
      <c r="P23" s="80">
        <v>15</v>
      </c>
      <c r="Q23" s="78"/>
      <c r="R23" s="78"/>
      <c r="S23" s="78"/>
      <c r="T23" s="79">
        <v>25</v>
      </c>
      <c r="U23" s="79">
        <v>0.15</v>
      </c>
      <c r="V23" s="79"/>
      <c r="W23" s="78"/>
      <c r="X23" s="79">
        <v>12</v>
      </c>
      <c r="Y23" s="79">
        <v>1E-3</v>
      </c>
      <c r="Z23"/>
      <c r="AA23" s="60" t="s">
        <v>57</v>
      </c>
      <c r="AB23" s="54" t="s">
        <v>175</v>
      </c>
      <c r="AC23" s="54" t="s">
        <v>262</v>
      </c>
      <c r="AD23" s="61" t="s">
        <v>68</v>
      </c>
      <c r="AE23" s="61" t="s">
        <v>61</v>
      </c>
      <c r="AF23" s="61" t="s">
        <v>142</v>
      </c>
      <c r="AG23" s="61" t="s">
        <v>63</v>
      </c>
      <c r="AH23" s="59" t="s">
        <v>193</v>
      </c>
    </row>
    <row r="24" spans="2:34" x14ac:dyDescent="0.2">
      <c r="B24" s="105" t="str">
        <f>AB24</f>
        <v>TCANELC4</v>
      </c>
      <c r="C24" s="14" t="s">
        <v>168</v>
      </c>
      <c r="D24" s="14"/>
      <c r="E24" s="14" t="s">
        <v>64</v>
      </c>
      <c r="F24" s="79" t="s">
        <v>151</v>
      </c>
      <c r="G24" s="75" t="s">
        <v>113</v>
      </c>
      <c r="H24" s="75"/>
      <c r="I24" s="82">
        <v>1.25</v>
      </c>
      <c r="J24" s="79">
        <v>1.4</v>
      </c>
      <c r="K24" s="78">
        <v>1.55</v>
      </c>
      <c r="L24" s="101">
        <v>2020</v>
      </c>
      <c r="M24" s="82"/>
      <c r="N24" s="82"/>
      <c r="O24" s="78">
        <v>1.3</v>
      </c>
      <c r="P24" s="80">
        <v>15</v>
      </c>
      <c r="T24" s="69">
        <v>23</v>
      </c>
      <c r="U24" s="79">
        <v>0.15</v>
      </c>
      <c r="X24" s="79">
        <v>12</v>
      </c>
      <c r="Y24" s="79">
        <v>1E-3</v>
      </c>
      <c r="Z24"/>
      <c r="AA24" s="60" t="s">
        <v>57</v>
      </c>
      <c r="AB24" s="54" t="s">
        <v>176</v>
      </c>
      <c r="AC24" s="54" t="s">
        <v>270</v>
      </c>
      <c r="AD24" s="61" t="s">
        <v>68</v>
      </c>
      <c r="AE24" s="61" t="s">
        <v>61</v>
      </c>
      <c r="AF24" s="61" t="s">
        <v>142</v>
      </c>
      <c r="AG24" s="61" t="s">
        <v>63</v>
      </c>
      <c r="AH24" s="59" t="s">
        <v>193</v>
      </c>
    </row>
    <row r="25" spans="2:34" x14ac:dyDescent="0.2">
      <c r="B25" s="105"/>
      <c r="C25" s="14" t="s">
        <v>190</v>
      </c>
      <c r="D25" s="14"/>
      <c r="E25" s="14"/>
      <c r="F25" s="79" t="s">
        <v>114</v>
      </c>
      <c r="G25" s="75" t="s">
        <v>189</v>
      </c>
      <c r="H25" s="75"/>
      <c r="I25" s="82">
        <v>0.4</v>
      </c>
      <c r="J25" s="79">
        <v>0.35</v>
      </c>
      <c r="K25" s="100">
        <v>0.3</v>
      </c>
      <c r="L25" s="101"/>
      <c r="M25" s="82"/>
      <c r="N25" s="82"/>
      <c r="O25" s="78"/>
      <c r="P25" s="80"/>
      <c r="T25" s="69"/>
      <c r="U25" s="79"/>
      <c r="X25" s="79"/>
      <c r="Y25" s="79"/>
      <c r="Z25"/>
      <c r="AA25" s="108" t="s">
        <v>62</v>
      </c>
      <c r="AB25" s="108" t="s">
        <v>62</v>
      </c>
      <c r="AC25" s="108"/>
      <c r="AD25" s="106"/>
      <c r="AE25" s="106"/>
      <c r="AF25" s="106"/>
      <c r="AG25" s="106"/>
      <c r="AH25" s="106"/>
    </row>
    <row r="26" spans="2:34" x14ac:dyDescent="0.2">
      <c r="B26" s="105" t="str">
        <f>AB26</f>
        <v>TCANELC9</v>
      </c>
      <c r="C26" t="s">
        <v>182</v>
      </c>
      <c r="D26" s="14"/>
      <c r="E26" s="14" t="s">
        <v>64</v>
      </c>
      <c r="F26" s="79" t="s">
        <v>151</v>
      </c>
      <c r="G26" s="75" t="s">
        <v>115</v>
      </c>
      <c r="H26" s="75"/>
      <c r="I26" s="82">
        <f>I23</f>
        <v>1.8</v>
      </c>
      <c r="J26" s="79">
        <f>J23</f>
        <v>1.9</v>
      </c>
      <c r="K26" s="79">
        <f>K23</f>
        <v>2.1</v>
      </c>
      <c r="L26" s="101">
        <v>2020</v>
      </c>
      <c r="M26" s="82"/>
      <c r="N26" s="82"/>
      <c r="O26" s="78"/>
      <c r="P26" s="80"/>
      <c r="Q26" s="69">
        <v>1</v>
      </c>
      <c r="R26" s="69"/>
      <c r="S26">
        <f>3.6*8.76*60/24</f>
        <v>78.84</v>
      </c>
      <c r="T26" s="79">
        <v>25</v>
      </c>
      <c r="U26" s="79">
        <v>0.15</v>
      </c>
      <c r="X26" s="79">
        <v>12</v>
      </c>
      <c r="Y26" s="79">
        <v>1E-3</v>
      </c>
      <c r="Z26"/>
      <c r="AA26" s="60" t="s">
        <v>211</v>
      </c>
      <c r="AB26" s="54" t="s">
        <v>260</v>
      </c>
      <c r="AC26" s="54" t="s">
        <v>261</v>
      </c>
      <c r="AD26" s="61" t="s">
        <v>68</v>
      </c>
      <c r="AE26" s="61" t="s">
        <v>61</v>
      </c>
      <c r="AF26" s="61" t="s">
        <v>90</v>
      </c>
      <c r="AG26" s="61" t="s">
        <v>63</v>
      </c>
      <c r="AH26" s="59" t="s">
        <v>193</v>
      </c>
    </row>
    <row r="27" spans="2:34" x14ac:dyDescent="0.2">
      <c r="B27" s="105"/>
      <c r="C27" t="s">
        <v>40</v>
      </c>
      <c r="D27" s="14"/>
      <c r="E27" t="s">
        <v>40</v>
      </c>
      <c r="F27" s="79" t="s">
        <v>40</v>
      </c>
      <c r="G27" s="75" t="s">
        <v>71</v>
      </c>
      <c r="H27" s="75"/>
      <c r="I27" s="83">
        <f>1/I26</f>
        <v>0.55555555555555558</v>
      </c>
      <c r="J27" s="78">
        <f>1/J26</f>
        <v>0.52631578947368418</v>
      </c>
      <c r="K27" s="78">
        <f>1/K26</f>
        <v>0.47619047619047616</v>
      </c>
      <c r="L27" s="101"/>
      <c r="M27" s="82"/>
      <c r="N27" s="82">
        <v>2</v>
      </c>
      <c r="O27" s="78"/>
      <c r="P27" s="80"/>
      <c r="T27" s="69"/>
      <c r="U27" s="79"/>
      <c r="X27" s="79"/>
      <c r="Y27" s="79"/>
      <c r="Z27"/>
      <c r="AA27" s="108" t="s">
        <v>62</v>
      </c>
      <c r="AB27" s="108" t="s">
        <v>62</v>
      </c>
      <c r="AC27" s="108"/>
      <c r="AD27" s="106"/>
      <c r="AE27" s="106"/>
      <c r="AF27" s="106"/>
      <c r="AG27" s="106"/>
      <c r="AH27" s="106"/>
    </row>
    <row r="28" spans="2:34" x14ac:dyDescent="0.2">
      <c r="B28" s="105"/>
      <c r="C28" s="14"/>
      <c r="D28" s="14"/>
      <c r="E28" s="14" t="s">
        <v>40</v>
      </c>
      <c r="F28" s="79" t="s">
        <v>114</v>
      </c>
      <c r="G28" s="75" t="s">
        <v>160</v>
      </c>
      <c r="H28" s="75"/>
      <c r="I28" s="82">
        <f>I20</f>
        <v>5.4</v>
      </c>
      <c r="J28" s="100">
        <f>J20</f>
        <v>4.8</v>
      </c>
      <c r="K28" s="100">
        <f>K20</f>
        <v>4</v>
      </c>
      <c r="L28" s="101"/>
      <c r="M28" s="82"/>
      <c r="N28" s="82"/>
      <c r="O28" s="78"/>
      <c r="P28" s="80"/>
      <c r="S28" s="69">
        <f>S26*8</f>
        <v>630.72</v>
      </c>
      <c r="T28" s="69"/>
      <c r="U28" s="79"/>
      <c r="X28" s="79"/>
      <c r="Y28" s="79"/>
      <c r="Z28"/>
      <c r="AA28" s="108" t="s">
        <v>62</v>
      </c>
      <c r="AB28" s="108" t="s">
        <v>62</v>
      </c>
      <c r="AC28" s="108"/>
      <c r="AD28" s="106"/>
      <c r="AE28" s="106"/>
      <c r="AF28" s="106"/>
      <c r="AG28" s="106"/>
      <c r="AH28" s="106"/>
    </row>
    <row r="29" spans="2:34" x14ac:dyDescent="0.2">
      <c r="B29" s="105"/>
      <c r="C29" s="14"/>
      <c r="D29" s="14"/>
      <c r="E29" s="14" t="s">
        <v>64</v>
      </c>
      <c r="F29" s="79"/>
      <c r="G29" s="75"/>
      <c r="H29" s="75"/>
      <c r="I29" s="16"/>
      <c r="J29" s="78"/>
      <c r="K29" s="78"/>
      <c r="L29" s="101"/>
      <c r="M29" s="82"/>
      <c r="N29" s="82"/>
      <c r="O29" s="78">
        <v>1.3</v>
      </c>
      <c r="P29" s="80"/>
      <c r="R29" s="69">
        <v>15</v>
      </c>
      <c r="T29" s="69"/>
      <c r="U29" s="79"/>
      <c r="X29" s="79"/>
      <c r="Y29" s="79"/>
      <c r="Z29"/>
      <c r="AA29" s="108" t="s">
        <v>62</v>
      </c>
      <c r="AB29" s="108" t="s">
        <v>62</v>
      </c>
      <c r="AC29" s="108"/>
      <c r="AD29" s="106"/>
      <c r="AE29" s="106"/>
      <c r="AF29" s="106"/>
      <c r="AG29" s="106"/>
      <c r="AH29" s="106"/>
    </row>
    <row r="30" spans="2:34" x14ac:dyDescent="0.2">
      <c r="B30" s="105"/>
      <c r="C30" s="14"/>
      <c r="D30" s="14"/>
      <c r="E30" s="14" t="s">
        <v>64</v>
      </c>
      <c r="F30" s="79" t="s">
        <v>151</v>
      </c>
      <c r="G30" s="75"/>
      <c r="H30" s="131">
        <v>0</v>
      </c>
      <c r="I30" s="16"/>
      <c r="J30" s="78"/>
      <c r="K30" s="78"/>
      <c r="L30" s="101"/>
      <c r="M30" s="82"/>
      <c r="N30" s="82"/>
      <c r="O30" s="78"/>
      <c r="P30" s="80"/>
      <c r="R30" s="69">
        <v>-1</v>
      </c>
      <c r="S30" s="69">
        <v>-1</v>
      </c>
      <c r="T30" s="69"/>
      <c r="U30" s="79"/>
      <c r="X30" s="79"/>
      <c r="Y30" s="79"/>
      <c r="Z30"/>
      <c r="AA30" s="108" t="s">
        <v>62</v>
      </c>
      <c r="AB30" s="108" t="s">
        <v>62</v>
      </c>
      <c r="AC30" s="108"/>
      <c r="AD30" s="106"/>
      <c r="AE30" s="106"/>
      <c r="AF30" s="106"/>
      <c r="AG30" s="106"/>
      <c r="AH30" s="106"/>
    </row>
    <row r="31" spans="2:34" x14ac:dyDescent="0.2">
      <c r="B31" s="105"/>
      <c r="C31" s="14" t="s">
        <v>276</v>
      </c>
      <c r="D31" s="14"/>
      <c r="E31" s="14" t="s">
        <v>40</v>
      </c>
      <c r="F31" s="79" t="s">
        <v>276</v>
      </c>
      <c r="G31" s="75"/>
      <c r="H31" s="131"/>
      <c r="I31" s="16"/>
      <c r="J31" s="78"/>
      <c r="K31" s="78"/>
      <c r="L31" s="101"/>
      <c r="M31" s="82">
        <v>1</v>
      </c>
      <c r="N31" s="82"/>
      <c r="O31" s="78"/>
      <c r="P31" s="80"/>
      <c r="R31" s="69"/>
      <c r="S31" s="69"/>
      <c r="T31" s="69"/>
      <c r="U31" s="79"/>
      <c r="X31" s="79"/>
      <c r="Y31" s="79"/>
      <c r="Z31"/>
      <c r="AA31" s="108" t="s">
        <v>62</v>
      </c>
      <c r="AB31" s="108" t="s">
        <v>62</v>
      </c>
      <c r="AC31" s="108"/>
      <c r="AD31" s="106"/>
      <c r="AE31" s="106"/>
      <c r="AF31" s="106"/>
      <c r="AG31" s="106"/>
      <c r="AH31" s="106"/>
    </row>
    <row r="32" spans="2:34" x14ac:dyDescent="0.2">
      <c r="B32" s="105" t="str">
        <f>AB32</f>
        <v>TCANHYD1</v>
      </c>
      <c r="C32" s="14" t="s">
        <v>179</v>
      </c>
      <c r="E32" s="14" t="s">
        <v>64</v>
      </c>
      <c r="F32" s="33"/>
      <c r="G32" s="75" t="s">
        <v>113</v>
      </c>
      <c r="H32" s="75"/>
      <c r="I32" s="16">
        <v>1.1499999999999999</v>
      </c>
      <c r="J32" s="79">
        <v>1.3</v>
      </c>
      <c r="K32" s="78">
        <v>1.45</v>
      </c>
      <c r="L32" s="101">
        <v>2020</v>
      </c>
      <c r="M32" s="82"/>
      <c r="N32" s="82"/>
      <c r="O32" s="78">
        <v>1.3</v>
      </c>
      <c r="P32" s="80">
        <v>15</v>
      </c>
      <c r="T32" s="69">
        <v>23</v>
      </c>
      <c r="U32" s="79">
        <v>0.15</v>
      </c>
      <c r="X32" s="79">
        <v>12</v>
      </c>
      <c r="Y32" s="79">
        <v>1E-3</v>
      </c>
      <c r="Z32"/>
      <c r="AA32" s="60" t="s">
        <v>57</v>
      </c>
      <c r="AB32" s="54" t="s">
        <v>180</v>
      </c>
      <c r="AC32" s="54" t="s">
        <v>181</v>
      </c>
      <c r="AD32" s="61" t="s">
        <v>68</v>
      </c>
      <c r="AE32" s="61" t="s">
        <v>61</v>
      </c>
      <c r="AF32" s="61" t="s">
        <v>142</v>
      </c>
      <c r="AG32" s="61" t="s">
        <v>63</v>
      </c>
      <c r="AH32" s="59" t="s">
        <v>193</v>
      </c>
    </row>
    <row r="33" spans="2:34" x14ac:dyDescent="0.2">
      <c r="F33" s="33"/>
      <c r="G33" s="32"/>
      <c r="H33" s="32"/>
      <c r="I33" s="32"/>
      <c r="J33" s="36"/>
      <c r="K33" s="33"/>
      <c r="L33" s="33"/>
      <c r="M33" s="33"/>
      <c r="N33" s="33"/>
      <c r="O33" s="33"/>
      <c r="Y33" s="35"/>
      <c r="Z33"/>
      <c r="AA33" s="59"/>
      <c r="AB33" s="54"/>
      <c r="AC33" s="54"/>
      <c r="AD33" s="61"/>
      <c r="AE33" s="61"/>
      <c r="AF33" s="61"/>
      <c r="AG33" s="61"/>
      <c r="AH33" s="59"/>
    </row>
    <row r="34" spans="2:34" x14ac:dyDescent="0.2">
      <c r="F34" s="33"/>
      <c r="G34" s="32"/>
      <c r="H34" s="32"/>
      <c r="I34" s="33"/>
      <c r="J34" s="33"/>
      <c r="K34" s="33"/>
      <c r="L34" s="33"/>
      <c r="M34" s="33"/>
      <c r="N34" s="33"/>
      <c r="O34" s="33"/>
      <c r="Y34" s="35"/>
      <c r="Z34"/>
      <c r="AA34" s="59"/>
      <c r="AB34" s="54"/>
      <c r="AC34" s="54"/>
      <c r="AD34" s="61"/>
      <c r="AE34" s="61"/>
      <c r="AF34" s="61"/>
      <c r="AG34" s="61"/>
      <c r="AH34" s="59"/>
    </row>
    <row r="35" spans="2:34" x14ac:dyDescent="0.2">
      <c r="B35" s="39"/>
      <c r="C35" s="51"/>
      <c r="D35" s="39"/>
      <c r="E35" s="39"/>
      <c r="F35" s="47"/>
      <c r="G35" s="49"/>
      <c r="H35" s="49"/>
      <c r="I35" s="47"/>
      <c r="J35" s="48"/>
      <c r="K35" s="47"/>
      <c r="L35" s="47"/>
      <c r="M35" s="47"/>
      <c r="N35" s="47"/>
      <c r="O35" s="47"/>
      <c r="P35" s="39"/>
      <c r="Q35" s="39"/>
      <c r="R35" s="39"/>
      <c r="S35" s="39"/>
      <c r="T35" s="39"/>
      <c r="U35" s="39"/>
      <c r="V35" s="39"/>
      <c r="W35" s="39"/>
      <c r="X35" s="39"/>
      <c r="Y35" s="52"/>
      <c r="Z35"/>
      <c r="AA35" s="65"/>
      <c r="AB35" s="66"/>
      <c r="AC35" s="66"/>
      <c r="AD35" s="67"/>
      <c r="AE35" s="67"/>
      <c r="AF35" s="67"/>
      <c r="AG35" s="67"/>
      <c r="AH35" s="65"/>
    </row>
    <row r="36" spans="2:34" x14ac:dyDescent="0.2">
      <c r="F36" s="33"/>
      <c r="J36" s="36"/>
      <c r="K36" s="33"/>
      <c r="L36" s="33"/>
      <c r="M36" s="33"/>
      <c r="N36" s="33"/>
      <c r="O36" s="33"/>
      <c r="AA36" s="59"/>
      <c r="AB36" s="54"/>
      <c r="AC36" s="54"/>
      <c r="AD36" s="61"/>
      <c r="AE36" s="61"/>
      <c r="AF36" s="61"/>
      <c r="AG36" s="61"/>
      <c r="AH36" s="59"/>
    </row>
    <row r="38" spans="2:34" x14ac:dyDescent="0.2">
      <c r="B38" s="112" t="s">
        <v>194</v>
      </c>
      <c r="C38" s="112"/>
      <c r="D38" s="112"/>
      <c r="E38" s="112"/>
      <c r="I38" s="112" t="s">
        <v>274</v>
      </c>
      <c r="J38" s="112"/>
      <c r="K38" s="112"/>
      <c r="L38" s="112"/>
      <c r="M38" s="112"/>
      <c r="N38" s="112"/>
    </row>
    <row r="39" spans="2:34" x14ac:dyDescent="0.2">
      <c r="AA39" s="53" t="s">
        <v>6</v>
      </c>
      <c r="AB39" s="54"/>
      <c r="AC39" s="54"/>
      <c r="AD39" s="54"/>
      <c r="AE39" s="54"/>
      <c r="AF39" s="54"/>
      <c r="AG39" s="54"/>
      <c r="AH39" s="54"/>
    </row>
    <row r="40" spans="2:34" x14ac:dyDescent="0.2">
      <c r="C40" s="88" t="s">
        <v>277</v>
      </c>
      <c r="L40" s="88" t="s">
        <v>277</v>
      </c>
      <c r="AA40" s="55" t="s">
        <v>7</v>
      </c>
      <c r="AB40" s="55" t="s">
        <v>5</v>
      </c>
      <c r="AC40" s="55" t="s">
        <v>8</v>
      </c>
      <c r="AD40" s="55" t="s">
        <v>9</v>
      </c>
      <c r="AE40" s="55" t="s">
        <v>10</v>
      </c>
      <c r="AF40" s="55" t="s">
        <v>11</v>
      </c>
      <c r="AG40" s="55" t="s">
        <v>12</v>
      </c>
      <c r="AH40" s="55" t="s">
        <v>13</v>
      </c>
    </row>
    <row r="41" spans="2:34" x14ac:dyDescent="0.2">
      <c r="B41" s="89" t="s">
        <v>5</v>
      </c>
      <c r="C41" s="89" t="s">
        <v>139</v>
      </c>
      <c r="D41" s="94">
        <v>2020</v>
      </c>
      <c r="I41" s="133" t="s">
        <v>0</v>
      </c>
      <c r="J41" s="134" t="s">
        <v>5</v>
      </c>
      <c r="K41" s="134" t="s">
        <v>139</v>
      </c>
      <c r="L41" s="135" t="s">
        <v>257</v>
      </c>
      <c r="M41" s="135">
        <v>2020</v>
      </c>
      <c r="N41" s="135">
        <v>0</v>
      </c>
      <c r="AA41" s="127" t="s">
        <v>114</v>
      </c>
      <c r="AB41" s="127" t="s">
        <v>182</v>
      </c>
      <c r="AC41" s="127" t="s">
        <v>235</v>
      </c>
      <c r="AD41" s="127" t="s">
        <v>41</v>
      </c>
      <c r="AE41" s="127"/>
      <c r="AF41" s="127" t="s">
        <v>90</v>
      </c>
      <c r="AG41" s="127"/>
      <c r="AH41" s="127" t="s">
        <v>40</v>
      </c>
    </row>
    <row r="42" spans="2:34" x14ac:dyDescent="0.2">
      <c r="B42" s="95" t="s">
        <v>212</v>
      </c>
      <c r="C42" s="95"/>
      <c r="D42" s="95"/>
      <c r="I42" s="121" t="s">
        <v>260</v>
      </c>
      <c r="J42" s="127" t="s">
        <v>276</v>
      </c>
      <c r="K42" s="127" t="s">
        <v>142</v>
      </c>
      <c r="L42" s="122" t="s">
        <v>259</v>
      </c>
      <c r="M42" s="122">
        <v>0.4</v>
      </c>
      <c r="N42" s="122">
        <v>5</v>
      </c>
      <c r="AA42" s="127" t="s">
        <v>114</v>
      </c>
      <c r="AB42" s="127" t="s">
        <v>190</v>
      </c>
      <c r="AC42" s="127" t="s">
        <v>236</v>
      </c>
      <c r="AD42" s="127" t="s">
        <v>41</v>
      </c>
      <c r="AE42" s="127"/>
      <c r="AF42" s="127"/>
      <c r="AG42" s="127"/>
      <c r="AH42" s="127"/>
    </row>
    <row r="43" spans="2:34" x14ac:dyDescent="0.2">
      <c r="B43" s="90" t="s">
        <v>186</v>
      </c>
      <c r="C43" s="91" t="s">
        <v>121</v>
      </c>
      <c r="D43" s="99">
        <v>6.5924657534246575E-2</v>
      </c>
      <c r="I43" s="121" t="s">
        <v>260</v>
      </c>
      <c r="J43" s="127" t="s">
        <v>276</v>
      </c>
      <c r="K43" s="127" t="s">
        <v>142</v>
      </c>
      <c r="L43" s="122" t="s">
        <v>258</v>
      </c>
      <c r="M43" s="122">
        <v>4</v>
      </c>
      <c r="N43" s="122">
        <v>5</v>
      </c>
      <c r="AA43" s="127" t="s">
        <v>114</v>
      </c>
      <c r="AB43" s="127" t="s">
        <v>179</v>
      </c>
      <c r="AC43" s="127" t="s">
        <v>238</v>
      </c>
      <c r="AD43" s="127" t="s">
        <v>41</v>
      </c>
      <c r="AE43" s="127"/>
      <c r="AF43" s="127"/>
      <c r="AG43" s="127"/>
      <c r="AH43" s="127"/>
    </row>
    <row r="44" spans="2:34" x14ac:dyDescent="0.2">
      <c r="B44" s="90" t="s">
        <v>186</v>
      </c>
      <c r="C44" s="91" t="s">
        <v>122</v>
      </c>
      <c r="D44" s="99">
        <v>0.13356164383561642</v>
      </c>
      <c r="I44" s="121" t="s">
        <v>260</v>
      </c>
      <c r="J44" s="127" t="s">
        <v>276</v>
      </c>
      <c r="K44" s="136" t="s">
        <v>121</v>
      </c>
      <c r="L44" s="122" t="s">
        <v>258</v>
      </c>
      <c r="M44" s="122">
        <v>0.8</v>
      </c>
      <c r="N44" s="122">
        <v>5</v>
      </c>
      <c r="AA44" s="127" t="s">
        <v>114</v>
      </c>
      <c r="AB44" s="127" t="s">
        <v>168</v>
      </c>
      <c r="AC44" s="127" t="s">
        <v>248</v>
      </c>
      <c r="AD44" s="127" t="s">
        <v>41</v>
      </c>
      <c r="AE44" s="127"/>
      <c r="AF44" s="127" t="s">
        <v>142</v>
      </c>
      <c r="AG44" s="127"/>
      <c r="AH44" s="127" t="s">
        <v>40</v>
      </c>
    </row>
    <row r="45" spans="2:34" x14ac:dyDescent="0.2">
      <c r="B45" s="90" t="s">
        <v>186</v>
      </c>
      <c r="C45" s="91" t="s">
        <v>123</v>
      </c>
      <c r="D45" s="99">
        <v>5.9931506849315065E-3</v>
      </c>
      <c r="I45" s="121" t="s">
        <v>260</v>
      </c>
      <c r="J45" s="127" t="s">
        <v>276</v>
      </c>
      <c r="K45" s="136" t="s">
        <v>123</v>
      </c>
      <c r="L45" s="122" t="s">
        <v>258</v>
      </c>
      <c r="M45" s="122">
        <v>0.7</v>
      </c>
      <c r="N45" s="122">
        <v>5</v>
      </c>
      <c r="AA45" s="127" t="s">
        <v>114</v>
      </c>
      <c r="AB45" s="127" t="s">
        <v>186</v>
      </c>
      <c r="AC45" s="127" t="s">
        <v>187</v>
      </c>
      <c r="AD45" s="127" t="s">
        <v>41</v>
      </c>
      <c r="AE45" s="127"/>
      <c r="AF45" s="127" t="s">
        <v>142</v>
      </c>
      <c r="AG45" s="127"/>
      <c r="AH45" s="127" t="s">
        <v>40</v>
      </c>
    </row>
    <row r="46" spans="2:34" x14ac:dyDescent="0.2">
      <c r="B46" s="90" t="s">
        <v>186</v>
      </c>
      <c r="C46" s="91" t="s">
        <v>124</v>
      </c>
      <c r="D46" s="99">
        <v>9.6849315068493147E-2</v>
      </c>
      <c r="I46" s="121" t="s">
        <v>260</v>
      </c>
      <c r="J46" s="127" t="s">
        <v>276</v>
      </c>
      <c r="K46" s="136" t="s">
        <v>124</v>
      </c>
      <c r="L46" s="122" t="s">
        <v>258</v>
      </c>
      <c r="M46" s="122">
        <v>0.8</v>
      </c>
      <c r="N46" s="122">
        <v>5</v>
      </c>
      <c r="AA46" s="127" t="s">
        <v>114</v>
      </c>
      <c r="AB46" s="127" t="s">
        <v>183</v>
      </c>
      <c r="AC46" s="127" t="s">
        <v>188</v>
      </c>
      <c r="AD46" s="127" t="s">
        <v>41</v>
      </c>
      <c r="AE46" s="127"/>
      <c r="AF46" s="127" t="s">
        <v>142</v>
      </c>
      <c r="AG46" s="127"/>
      <c r="AH46" s="127" t="s">
        <v>40</v>
      </c>
    </row>
    <row r="47" spans="2:34" x14ac:dyDescent="0.2">
      <c r="B47" s="90" t="s">
        <v>186</v>
      </c>
      <c r="C47" s="91" t="s">
        <v>125</v>
      </c>
      <c r="D47" s="99">
        <v>0.17179223744292235</v>
      </c>
      <c r="I47" s="121" t="s">
        <v>260</v>
      </c>
      <c r="J47" s="127" t="s">
        <v>276</v>
      </c>
      <c r="K47" s="136" t="s">
        <v>132</v>
      </c>
      <c r="L47" s="122" t="s">
        <v>258</v>
      </c>
      <c r="M47" s="122">
        <v>0.7</v>
      </c>
      <c r="N47" s="122">
        <v>5</v>
      </c>
      <c r="AA47" s="127" t="s">
        <v>206</v>
      </c>
      <c r="AB47" s="127" t="s">
        <v>64</v>
      </c>
      <c r="AC47" s="127" t="s">
        <v>234</v>
      </c>
      <c r="AD47" s="127" t="s">
        <v>68</v>
      </c>
      <c r="AE47" s="122"/>
      <c r="AF47" s="127"/>
      <c r="AG47" s="127"/>
      <c r="AH47" s="127"/>
    </row>
    <row r="48" spans="2:34" x14ac:dyDescent="0.2">
      <c r="B48" s="90" t="s">
        <v>186</v>
      </c>
      <c r="C48" s="91" t="s">
        <v>132</v>
      </c>
      <c r="D48" s="99">
        <v>8.0707762557077605E-3</v>
      </c>
      <c r="I48" s="121" t="s">
        <v>260</v>
      </c>
      <c r="J48" s="127" t="s">
        <v>276</v>
      </c>
      <c r="K48" s="136" t="s">
        <v>133</v>
      </c>
      <c r="L48" s="122" t="s">
        <v>258</v>
      </c>
      <c r="M48" s="122">
        <v>0.8</v>
      </c>
      <c r="N48" s="122">
        <v>5</v>
      </c>
      <c r="AA48" s="127" t="s">
        <v>219</v>
      </c>
      <c r="AB48" s="127" t="s">
        <v>151</v>
      </c>
      <c r="AC48" s="127" t="s">
        <v>233</v>
      </c>
      <c r="AD48" s="127" t="s">
        <v>41</v>
      </c>
      <c r="AE48" s="122" t="s">
        <v>43</v>
      </c>
      <c r="AF48" s="127"/>
      <c r="AG48" s="127"/>
      <c r="AH48" s="127"/>
    </row>
    <row r="49" spans="2:34" x14ac:dyDescent="0.2">
      <c r="B49" s="90" t="s">
        <v>186</v>
      </c>
      <c r="C49" s="91" t="s">
        <v>133</v>
      </c>
      <c r="D49" s="99">
        <v>6.9440639269406385E-2</v>
      </c>
      <c r="I49" s="121" t="s">
        <v>260</v>
      </c>
      <c r="J49" s="127" t="s">
        <v>276</v>
      </c>
      <c r="K49" s="136" t="s">
        <v>135</v>
      </c>
      <c r="L49" s="122" t="s">
        <v>258</v>
      </c>
      <c r="M49" s="122">
        <v>0.7</v>
      </c>
      <c r="N49" s="122">
        <v>5</v>
      </c>
      <c r="AA49" s="127" t="s">
        <v>219</v>
      </c>
      <c r="AB49" s="127" t="s">
        <v>276</v>
      </c>
      <c r="AC49" s="127" t="s">
        <v>275</v>
      </c>
      <c r="AD49" s="127" t="s">
        <v>41</v>
      </c>
      <c r="AE49" s="122" t="s">
        <v>43</v>
      </c>
      <c r="AF49" s="127"/>
      <c r="AG49" s="127"/>
      <c r="AH49" s="127"/>
    </row>
    <row r="50" spans="2:34" x14ac:dyDescent="0.2">
      <c r="B50" s="90" t="s">
        <v>186</v>
      </c>
      <c r="C50" s="91" t="s">
        <v>134</v>
      </c>
      <c r="D50" s="99">
        <v>0.14068493150684933</v>
      </c>
      <c r="I50" s="121" t="s">
        <v>260</v>
      </c>
      <c r="J50" s="127" t="s">
        <v>276</v>
      </c>
      <c r="K50" s="136" t="s">
        <v>136</v>
      </c>
      <c r="L50" s="122" t="s">
        <v>258</v>
      </c>
      <c r="M50" s="122">
        <v>0.8</v>
      </c>
      <c r="N50" s="122">
        <v>5</v>
      </c>
    </row>
    <row r="51" spans="2:34" x14ac:dyDescent="0.2">
      <c r="B51" s="90" t="s">
        <v>186</v>
      </c>
      <c r="C51" s="91" t="s">
        <v>135</v>
      </c>
      <c r="D51" s="99">
        <v>6.3127853881278532E-3</v>
      </c>
      <c r="I51" s="121" t="s">
        <v>260</v>
      </c>
      <c r="J51" s="127" t="s">
        <v>276</v>
      </c>
      <c r="K51" s="136" t="s">
        <v>138</v>
      </c>
      <c r="L51" s="122" t="s">
        <v>258</v>
      </c>
      <c r="M51" s="122">
        <v>0.7</v>
      </c>
      <c r="N51" s="122">
        <v>5</v>
      </c>
    </row>
    <row r="52" spans="2:34" x14ac:dyDescent="0.2">
      <c r="B52" s="90" t="s">
        <v>186</v>
      </c>
      <c r="C52" s="91" t="s">
        <v>136</v>
      </c>
      <c r="D52" s="99">
        <v>9.6689497716894973E-2</v>
      </c>
      <c r="M52" s="69"/>
      <c r="N52" s="69"/>
    </row>
    <row r="53" spans="2:34" x14ac:dyDescent="0.2">
      <c r="B53" s="90" t="s">
        <v>186</v>
      </c>
      <c r="C53" s="91" t="s">
        <v>137</v>
      </c>
      <c r="D53" s="99">
        <v>0.19589041095890411</v>
      </c>
      <c r="M53" s="69"/>
      <c r="N53" s="69"/>
    </row>
    <row r="54" spans="2:34" x14ac:dyDescent="0.2">
      <c r="B54" s="92" t="s">
        <v>186</v>
      </c>
      <c r="C54" s="93" t="s">
        <v>138</v>
      </c>
      <c r="D54" s="113">
        <v>8.7899543378995425E-3</v>
      </c>
      <c r="I54" s="105"/>
      <c r="K54" s="132"/>
      <c r="L54" s="69"/>
      <c r="P54" s="33"/>
    </row>
    <row r="55" spans="2:34" x14ac:dyDescent="0.2">
      <c r="B55" s="90" t="s">
        <v>183</v>
      </c>
      <c r="C55" s="91" t="s">
        <v>121</v>
      </c>
      <c r="D55" s="99">
        <v>0.1365582191780822</v>
      </c>
    </row>
    <row r="56" spans="2:34" x14ac:dyDescent="0.2">
      <c r="B56" s="90" t="s">
        <v>183</v>
      </c>
      <c r="C56" s="91" t="s">
        <v>122</v>
      </c>
      <c r="D56" s="99">
        <v>5.779109589041094E-2</v>
      </c>
    </row>
    <row r="57" spans="2:34" x14ac:dyDescent="0.2">
      <c r="B57" s="90" t="s">
        <v>183</v>
      </c>
      <c r="C57" s="91" t="s">
        <v>123</v>
      </c>
      <c r="D57" s="99">
        <v>1.1130136986301371E-2</v>
      </c>
    </row>
    <row r="58" spans="2:34" x14ac:dyDescent="0.2">
      <c r="B58" s="90" t="s">
        <v>183</v>
      </c>
      <c r="C58" s="91" t="s">
        <v>124</v>
      </c>
      <c r="D58" s="99">
        <v>0.20061643835616438</v>
      </c>
    </row>
    <row r="59" spans="2:34" x14ac:dyDescent="0.2">
      <c r="B59" s="90" t="s">
        <v>183</v>
      </c>
      <c r="C59" s="91" t="s">
        <v>125</v>
      </c>
      <c r="D59" s="99">
        <v>6.1107305936073032E-2</v>
      </c>
    </row>
    <row r="60" spans="2:34" x14ac:dyDescent="0.2">
      <c r="B60" s="90" t="s">
        <v>183</v>
      </c>
      <c r="C60" s="91" t="s">
        <v>132</v>
      </c>
      <c r="D60" s="99">
        <v>1.4988584474885843E-2</v>
      </c>
    </row>
    <row r="61" spans="2:34" x14ac:dyDescent="0.2">
      <c r="B61" s="90" t="s">
        <v>183</v>
      </c>
      <c r="C61" s="91" t="s">
        <v>133</v>
      </c>
      <c r="D61" s="99">
        <v>0.14384132420091322</v>
      </c>
    </row>
    <row r="62" spans="2:34" x14ac:dyDescent="0.2">
      <c r="B62" s="90" t="s">
        <v>183</v>
      </c>
      <c r="C62" s="91" t="s">
        <v>134</v>
      </c>
      <c r="D62" s="99">
        <v>6.0873287671232894E-2</v>
      </c>
    </row>
    <row r="63" spans="2:34" x14ac:dyDescent="0.2">
      <c r="B63" s="90" t="s">
        <v>183</v>
      </c>
      <c r="C63" s="91" t="s">
        <v>135</v>
      </c>
      <c r="D63" s="99">
        <v>1.1723744292237442E-2</v>
      </c>
    </row>
    <row r="64" spans="2:34" x14ac:dyDescent="0.2">
      <c r="B64" s="90" t="s">
        <v>183</v>
      </c>
      <c r="C64" s="91" t="s">
        <v>136</v>
      </c>
      <c r="D64" s="99">
        <v>0.20028538812785388</v>
      </c>
    </row>
    <row r="65" spans="2:4" x14ac:dyDescent="0.2">
      <c r="B65" s="90" t="s">
        <v>183</v>
      </c>
      <c r="C65" s="91" t="s">
        <v>137</v>
      </c>
      <c r="D65" s="99">
        <v>8.4760273972602732E-2</v>
      </c>
    </row>
    <row r="66" spans="2:4" x14ac:dyDescent="0.2">
      <c r="B66" s="90" t="s">
        <v>183</v>
      </c>
      <c r="C66" s="91" t="s">
        <v>138</v>
      </c>
      <c r="D66" s="99">
        <v>1.632420091324201E-2</v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</vt:lpstr>
      <vt:lpstr>PRI</vt:lpstr>
      <vt:lpstr>RCA</vt:lpstr>
      <vt:lpstr>TRA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2021-09-21T05:12:37Z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613949000835418</vt:r8>
  </property>
</Properties>
</file>