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CB220B27-8F3F-4C90-814E-ACAC762D02E6}" xr6:coauthVersionLast="45" xr6:coauthVersionMax="45" xr10:uidLastSave="{00000000-0000-0000-0000-000000000000}"/>
  <bookViews>
    <workbookView xWindow="-120" yWindow="-120" windowWidth="29040" windowHeight="15840" tabRatio="901" activeTab="5" xr2:uid="{00000000-000D-0000-FFFF-FFFF00000000}"/>
  </bookViews>
  <sheets>
    <sheet name="EB2" sheetId="133" r:id="rId1"/>
    <sheet name="RES_TRA" sheetId="153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O26" i="133"/>
  <c r="D5" i="133"/>
  <c r="E5" i="133"/>
  <c r="F5" i="133"/>
  <c r="F13" i="133" s="1"/>
  <c r="G5" i="133"/>
  <c r="G13" i="133" s="1"/>
  <c r="H5" i="133"/>
  <c r="H13" i="133" s="1"/>
  <c r="I5" i="133"/>
  <c r="I13" i="133" s="1"/>
  <c r="J5" i="133"/>
  <c r="J13" i="133" s="1"/>
  <c r="K5" i="133"/>
  <c r="K13" i="133" s="1"/>
  <c r="L5" i="133"/>
  <c r="L13" i="133" s="1"/>
  <c r="M5" i="133"/>
  <c r="N5" i="133"/>
  <c r="N13" i="133" s="1"/>
  <c r="O5" i="133"/>
  <c r="O13" i="133" s="1"/>
  <c r="P5" i="133"/>
  <c r="Q5" i="133"/>
  <c r="R5" i="133"/>
  <c r="S5" i="133"/>
  <c r="S13" i="133" s="1"/>
  <c r="T5" i="133"/>
  <c r="T13" i="133" s="1"/>
  <c r="U5" i="133"/>
  <c r="D6" i="133"/>
  <c r="D13" i="133" s="1"/>
  <c r="E6" i="133"/>
  <c r="E13" i="133" s="1"/>
  <c r="F6" i="133"/>
  <c r="G6" i="133"/>
  <c r="V6" i="133" s="1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F7" i="133"/>
  <c r="G7" i="133"/>
  <c r="H7" i="133"/>
  <c r="I7" i="133"/>
  <c r="V7" i="133" s="1"/>
  <c r="J7" i="133"/>
  <c r="K7" i="133"/>
  <c r="L7" i="133"/>
  <c r="M7" i="133"/>
  <c r="M13" i="133" s="1"/>
  <c r="N7" i="133"/>
  <c r="O7" i="133"/>
  <c r="P7" i="133"/>
  <c r="Q7" i="133"/>
  <c r="R7" i="133"/>
  <c r="S7" i="133"/>
  <c r="T7" i="133"/>
  <c r="U7" i="133"/>
  <c r="D8" i="133"/>
  <c r="E8" i="133"/>
  <c r="V8" i="133" s="1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E13" i="141" s="1"/>
  <c r="M13" i="141" s="1"/>
  <c r="E9" i="134" s="1"/>
  <c r="F9" i="133"/>
  <c r="G9" i="133"/>
  <c r="V9" i="133" s="1"/>
  <c r="E20" i="141"/>
  <c r="M20" i="141"/>
  <c r="E14" i="141"/>
  <c r="M14" i="141"/>
  <c r="H9" i="133"/>
  <c r="I9" i="133"/>
  <c r="E15" i="141"/>
  <c r="M15" i="141"/>
  <c r="J9" i="133"/>
  <c r="E16" i="141"/>
  <c r="M16" i="141"/>
  <c r="K9" i="133"/>
  <c r="L9" i="133"/>
  <c r="M9" i="133"/>
  <c r="N9" i="133"/>
  <c r="O9" i="133"/>
  <c r="E17" i="141"/>
  <c r="M17" i="141"/>
  <c r="E23" i="141"/>
  <c r="M23" i="141"/>
  <c r="P9" i="133"/>
  <c r="Q9" i="133"/>
  <c r="R9" i="133"/>
  <c r="S9" i="133"/>
  <c r="T9" i="133"/>
  <c r="U9" i="133"/>
  <c r="E18" i="141"/>
  <c r="M18" i="141" s="1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V11" i="133" s="1"/>
  <c r="T11" i="133"/>
  <c r="U11" i="133"/>
  <c r="U13" i="133" s="1"/>
  <c r="D12" i="133"/>
  <c r="V12" i="133" s="1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G26" i="133"/>
  <c r="I26" i="133"/>
  <c r="E21" i="141" s="1"/>
  <c r="M21" i="141" s="1"/>
  <c r="J26" i="133"/>
  <c r="E22" i="141" s="1"/>
  <c r="M22" i="141" s="1"/>
  <c r="U26" i="133"/>
  <c r="E24" i="141"/>
  <c r="M24" i="141"/>
  <c r="F2" i="152"/>
  <c r="E2" i="152"/>
  <c r="O17" i="152" s="1"/>
  <c r="N20" i="152"/>
  <c r="T24" i="141"/>
  <c r="T22" i="141"/>
  <c r="T21" i="141"/>
  <c r="T20" i="141"/>
  <c r="T19" i="141"/>
  <c r="T18" i="141"/>
  <c r="T13" i="141"/>
  <c r="E2" i="134"/>
  <c r="E8" i="134"/>
  <c r="S7" i="141"/>
  <c r="C2" i="152"/>
  <c r="M9" i="152" s="1"/>
  <c r="M20" i="152" s="1"/>
  <c r="M6" i="152"/>
  <c r="M17" i="152"/>
  <c r="B2" i="152"/>
  <c r="L5" i="152" s="1"/>
  <c r="L7" i="152"/>
  <c r="E6" i="149" s="1"/>
  <c r="L10" i="152"/>
  <c r="D21" i="152"/>
  <c r="C21" i="152"/>
  <c r="T16" i="141"/>
  <c r="T15" i="141"/>
  <c r="T14" i="141"/>
  <c r="E12" i="141"/>
  <c r="E2" i="141"/>
  <c r="C2" i="141"/>
  <c r="R17" i="141" s="1"/>
  <c r="R23" i="141"/>
  <c r="R7" i="141"/>
  <c r="R20" i="141"/>
  <c r="B2" i="141"/>
  <c r="Q6" i="141" s="1"/>
  <c r="Q17" i="141"/>
  <c r="B17" i="141" s="1"/>
  <c r="C17" i="141" s="1"/>
  <c r="F2" i="141"/>
  <c r="I12" i="141" s="1"/>
  <c r="G2" i="134"/>
  <c r="M7" i="152"/>
  <c r="M18" i="152"/>
  <c r="L8" i="152"/>
  <c r="D19" i="152" s="1"/>
  <c r="C19" i="152" s="1"/>
  <c r="F6" i="149"/>
  <c r="R22" i="141"/>
  <c r="L6" i="152"/>
  <c r="D6" i="149" s="1"/>
  <c r="D17" i="152"/>
  <c r="C17" i="152"/>
  <c r="R18" i="141"/>
  <c r="R19" i="141"/>
  <c r="L9" i="152"/>
  <c r="M8" i="152"/>
  <c r="M19" i="152"/>
  <c r="M10" i="152"/>
  <c r="M21" i="152" s="1"/>
  <c r="R15" i="141"/>
  <c r="L20" i="152"/>
  <c r="B20" i="152"/>
  <c r="D20" i="152"/>
  <c r="C20" i="152" s="1"/>
  <c r="L21" i="152"/>
  <c r="B21" i="152" s="1"/>
  <c r="M5" i="152"/>
  <c r="M16" i="152" s="1"/>
  <c r="Q5" i="141"/>
  <c r="D17" i="141" s="1"/>
  <c r="Q18" i="141"/>
  <c r="B18" i="141" s="1"/>
  <c r="C18" i="141" s="1"/>
  <c r="D16" i="152" l="1"/>
  <c r="C16" i="152" s="1"/>
  <c r="L16" i="152"/>
  <c r="B16" i="152" s="1"/>
  <c r="C6" i="149"/>
  <c r="D21" i="141"/>
  <c r="C10" i="134"/>
  <c r="D19" i="141"/>
  <c r="D24" i="141"/>
  <c r="D22" i="141"/>
  <c r="D23" i="141"/>
  <c r="D20" i="141"/>
  <c r="N21" i="152"/>
  <c r="D16" i="141"/>
  <c r="E19" i="141"/>
  <c r="M19" i="141" s="1"/>
  <c r="E10" i="134" s="1"/>
  <c r="D18" i="141"/>
  <c r="R13" i="141"/>
  <c r="R21" i="141"/>
  <c r="C9" i="134"/>
  <c r="R5" i="141"/>
  <c r="D15" i="141"/>
  <c r="N9" i="152"/>
  <c r="N8" i="152"/>
  <c r="Q23" i="141"/>
  <c r="B23" i="141" s="1"/>
  <c r="C23" i="141" s="1"/>
  <c r="R16" i="141"/>
  <c r="D13" i="141"/>
  <c r="L18" i="152"/>
  <c r="B18" i="152" s="1"/>
  <c r="C20" i="141"/>
  <c r="D14" i="141"/>
  <c r="Q21" i="141"/>
  <c r="B21" i="141" s="1"/>
  <c r="C21" i="141" s="1"/>
  <c r="F15" i="152"/>
  <c r="Q14" i="141"/>
  <c r="B14" i="141" s="1"/>
  <c r="C14" i="141" s="1"/>
  <c r="O20" i="152"/>
  <c r="R6" i="141"/>
  <c r="N7" i="152"/>
  <c r="O18" i="152"/>
  <c r="N17" i="152"/>
  <c r="O21" i="152"/>
  <c r="Q22" i="141"/>
  <c r="B22" i="141" s="1"/>
  <c r="C22" i="141" s="1"/>
  <c r="D18" i="152"/>
  <c r="C18" i="152" s="1"/>
  <c r="L19" i="152"/>
  <c r="B19" i="152" s="1"/>
  <c r="Q20" i="141"/>
  <c r="B20" i="141" s="1"/>
  <c r="R14" i="141"/>
  <c r="L17" i="152"/>
  <c r="B17" i="152" s="1"/>
  <c r="N18" i="152"/>
  <c r="N19" i="152"/>
  <c r="V5" i="133"/>
  <c r="V13" i="133" s="1"/>
  <c r="Q13" i="141"/>
  <c r="B13" i="141" s="1"/>
  <c r="N10" i="152"/>
  <c r="C19" i="141"/>
  <c r="R24" i="141"/>
  <c r="O19" i="152"/>
  <c r="C15" i="141"/>
  <c r="O16" i="152"/>
  <c r="C24" i="141"/>
  <c r="Q7" i="141"/>
  <c r="B8" i="149" s="1"/>
  <c r="N5" i="152"/>
  <c r="C13" i="141"/>
  <c r="N16" i="152"/>
  <c r="N6" i="152"/>
  <c r="Q16" i="141"/>
  <c r="B16" i="141" s="1"/>
  <c r="C16" i="141" s="1"/>
  <c r="Q24" i="141"/>
  <c r="B24" i="141" s="1"/>
  <c r="Q19" i="141"/>
  <c r="B19" i="141" s="1"/>
  <c r="Q15" i="141"/>
  <c r="B15" i="14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O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<sst xmlns="http://schemas.openxmlformats.org/spreadsheetml/2006/main" count="334" uniqueCount="197">
  <si>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</si>
  <si>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</si>
  <si>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</si>
  <si>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</si>
  <si>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</si>
  <si>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</si>
  <si>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</si>
  <si>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</si>
  <si>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</si>
  <si>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</si>
  <si>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</si>
  <si>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</si>
  <si>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</si>
  <si>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</si>
  <si>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</si>
  <si>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</si>
  <si>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</si>
  <si>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</si>
  <si>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</si>
  <si>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</si>
  <si>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</si>
  <si>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</si>
  <si>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</si>
  <si>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</si>
  <si>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</si>
  <si>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</si>
  <si>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</si>
  <si>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</si>
  <si>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</si>
  <si>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</si>
  <si>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</si>
  <si>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</si>
  <si>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</si>
  <si>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</si>
  <si>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</si>
  <si>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</si>
  <si>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</si>
  <si>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</si>
  <si>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</si>
  <si>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</si>
  <si>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</si>
  <si>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</si>
  <si>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</si>
  <si>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</si>
  <si>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</si>
  <si>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</si>
  <si>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</si>
  <si>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</si>
  <si>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</si>
  <si>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</si>
  <si>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</si>
  <si>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</si>
  <si>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</si>
  <si>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</si>
  <si>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</si>
  <si>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</si>
  <si>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</si>
  <si>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</si>
  <si>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</si>
  <si>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</si>
  <si>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</si>
  <si>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</si>
  <si>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</si>
  <si>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</si>
  <si>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</si>
  <si>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</si>
  <si>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</si>
  <si>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</si>
  <si>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</si>
  <si>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</si>
  <si>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</si>
  <si>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</si>
  <si>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</si>
  <si>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</si>
  <si>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</si>
  <si>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</si>
  <si>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</si>
  <si>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</si>
  <si>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</si>
  <si>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</si>
  <si>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</si>
  <si>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</si>
  <si>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</si>
  <si>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</si>
  <si>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</si>
  <si>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</si>
  <si>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</si>
  <si>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</si>
  <si>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</si>
  <si>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</si>
  <si>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</si>
  <si>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</si>
  <si>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</si>
  <si>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</si>
  <si>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</si>
  <si>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</si>
  <si>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</si>
  <si>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</si>
  <si>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</si>
  <si>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</si>
  <si>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</si>
  <si>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</si>
  <si>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</si>
  <si>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</si>
  <si>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</si>
  <si>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</si>
  <si>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</si>
  <si>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</si>
  <si>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</si>
  <si>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</si>
  <si>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</si>
  <si>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</si>
  <si>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</si>
  <si>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</si>
  <si>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</si>
  <si>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</si>
  <si>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</si>
  <si>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</si>
  <si>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</si>
  <si>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</si>
  <si>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</si>
  <si>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</si>
  <si>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</si>
  <si>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</si>
  <si>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</si>
  <si>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</si>
  <si>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</si>
  <si>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</si>
  <si>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</si>
  <si>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</si>
  <si>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</si>
  <si>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</si>
  <si>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</si>
  <si>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</si>
  <si>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</si>
  <si>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</si>
  <si>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</si>
  <si>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</si>
  <si>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</si>
  <si>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</si>
  <si>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</si>
  <si>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</si>
  <si>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</si>
  <si>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</si>
  <si>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</si>
  <si>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</si>
  <si>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</si>
  <si>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</si>
  <si>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</si>
  <si>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</si>
  <si>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</si>
  <si>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</si>
  <si>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</si>
  <si>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</si>
  <si>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</si>
  <si>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</si>
  <si>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</si>
  <si>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</si>
  <si>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</si>
  <si>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</si>
  <si>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</si>
  <si>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</si>
  <si>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</si>
  <si>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TOT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</si>
  <si>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</si>
  <si>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</si>
  <si>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</si>
  <si>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</si>
  <si>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</si>
  <si>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</si>
  <si>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</si>
  <si>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</si>
  <si>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</si>
  <si>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</si>
  <si>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</si>
  <si>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</si>
  <si>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</si>
  <si>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</si>
  <si>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</si>
  <si>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</si>
  <si>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</si>
  <si>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</si>
  <si>
    <t>RD</t>
  </si>
  <si>
    <t>RN</t>
  </si>
  <si>
    <t>RP</t>
  </si>
  <si>
    <t>SP</t>
  </si>
  <si>
    <t>FD</t>
  </si>
  <si>
    <t>FN</t>
  </si>
  <si>
    <t>FP</t>
  </si>
  <si>
    <t>WP</t>
  </si>
  <si>
    <t>DTCAR</t>
  </si>
  <si>
    <t>DTPUB</t>
  </si>
  <si>
    <t>*Demand Commodity Name</t>
  </si>
  <si>
    <t>~FI_T:COM_FR</t>
  </si>
  <si>
    <t>Techname</t>
  </si>
  <si>
    <t>T*</t>
  </si>
  <si>
    <t>~PRCCOMEMI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</si>
</sst>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General_)"/>
    <numFmt numFmtId="167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4">
    <xf numFmtId="0" fontId="0" fillId="0" borderId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17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8" fillId="10" borderId="0" applyNumberFormat="0" applyBorder="0" applyAlignment="0" applyProtection="0"/>
    <xf numFmtId="0" fontId="19" fillId="11" borderId="17" applyNumberFormat="0" applyAlignment="0" applyProtection="0"/>
    <xf numFmtId="164" fontId="14" fillId="0" borderId="0" applyFont="0" applyFill="0" applyBorder="0" applyAlignment="0" applyProtection="0"/>
    <xf numFmtId="0" fontId="20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49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8" applyFill="1" applyBorder="1" applyAlignment="1">
      <alignment horizontal="right"/>
    </xf>
    <xf numFmtId="0" fontId="5" fillId="0" borderId="0" xfId="18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6" fillId="8" borderId="0" xfId="5"/>
    <xf numFmtId="0" fontId="21" fillId="0" borderId="0" xfId="11" applyFont="1" applyFill="1"/>
    <xf numFmtId="0" fontId="21" fillId="13" borderId="0" xfId="11" applyFont="1" applyFill="1"/>
    <xf numFmtId="0" fontId="4" fillId="0" borderId="0" xfId="14" applyFont="1" applyFill="1"/>
    <xf numFmtId="1" fontId="4" fillId="0" borderId="0" xfId="0" applyNumberFormat="1" applyFont="1" applyFill="1"/>
    <xf numFmtId="0" fontId="22" fillId="4" borderId="3" xfId="1" applyFont="1" applyBorder="1" applyAlignment="1">
      <alignment horizontal="center" wrapText="1"/>
    </xf>
    <xf numFmtId="0" fontId="23" fillId="0" borderId="0" xfId="0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0" fontId="3" fillId="2" borderId="1" xfId="18" applyFont="1" applyFill="1" applyBorder="1" applyAlignment="1">
      <alignment horizontal="left" vertical="center"/>
    </xf>
    <xf numFmtId="0" fontId="21" fillId="13" borderId="0" xfId="11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0" xfId="0" applyFont="1" applyBorder="1"/>
    <xf numFmtId="9" fontId="23" fillId="0" borderId="0" xfId="23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5"/>
    <xf numFmtId="0" fontId="4" fillId="0" borderId="0" xfId="15" applyFont="1"/>
    <xf numFmtId="0" fontId="4" fillId="0" borderId="0" xfId="15" applyFill="1"/>
    <xf numFmtId="0" fontId="4" fillId="0" borderId="0" xfId="15" applyFill="1" applyBorder="1"/>
    <xf numFmtId="0" fontId="4" fillId="0" borderId="0" xfId="15" applyBorder="1"/>
    <xf numFmtId="0" fontId="4" fillId="0" borderId="0" xfId="15" applyFill="1" applyBorder="1" applyAlignment="1">
      <alignment wrapText="1"/>
    </xf>
    <xf numFmtId="0" fontId="3" fillId="0" borderId="0" xfId="18" applyFont="1" applyFill="1" applyBorder="1" applyAlignment="1">
      <alignment horizontal="right" vertical="center" wrapText="1"/>
    </xf>
    <xf numFmtId="1" fontId="4" fillId="0" borderId="0" xfId="15" applyNumberFormat="1"/>
    <xf numFmtId="0" fontId="4" fillId="0" borderId="0" xfId="15" applyFont="1" applyBorder="1"/>
    <xf numFmtId="0" fontId="0" fillId="0" borderId="0" xfId="0" applyFill="1" applyBorder="1"/>
    <xf numFmtId="1" fontId="25" fillId="14" borderId="0" xfId="2" applyNumberFormat="1" applyFont="1" applyFill="1" applyBorder="1" applyAlignment="1">
      <alignment horizontal="right" wrapText="1"/>
    </xf>
    <xf numFmtId="0" fontId="16" fillId="0" borderId="0" xfId="5" applyFill="1"/>
    <xf numFmtId="0" fontId="21" fillId="13" borderId="0" xfId="11" quotePrefix="1" applyFont="1" applyFill="1"/>
    <xf numFmtId="0" fontId="22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0" borderId="0" xfId="18" applyFont="1" applyFill="1" applyBorder="1" applyAlignment="1">
      <alignment horizontal="left" vertical="center"/>
    </xf>
    <xf numFmtId="0" fontId="3" fillId="2" borderId="3" xfId="18" applyFont="1" applyFill="1" applyBorder="1" applyAlignment="1">
      <alignment horizontal="left" vertical="center"/>
    </xf>
    <xf numFmtId="0" fontId="26" fillId="0" borderId="0" xfId="0" applyFont="1" applyFill="1"/>
    <xf numFmtId="0" fontId="21" fillId="13" borderId="0" xfId="11" applyFont="1" applyFill="1" applyAlignment="1">
      <alignment horizontal="left"/>
    </xf>
    <xf numFmtId="0" fontId="26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6" fillId="15" borderId="0" xfId="0" applyFont="1" applyFill="1"/>
    <xf numFmtId="0" fontId="0" fillId="16" borderId="0" xfId="0" applyFill="1"/>
    <xf numFmtId="166" fontId="9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19" fillId="11" borderId="0" xfId="12" applyNumberFormat="1" applyBorder="1" applyAlignment="1"/>
    <xf numFmtId="1" fontId="17" fillId="9" borderId="4" xfId="6" applyNumberFormat="1" applyBorder="1" applyAlignment="1">
      <alignment horizontal="right"/>
    </xf>
    <xf numFmtId="1" fontId="17" fillId="9" borderId="5" xfId="6" applyNumberFormat="1" applyBorder="1" applyAlignment="1">
      <alignment horizontal="right"/>
    </xf>
    <xf numFmtId="166" fontId="17" fillId="9" borderId="6" xfId="6" applyNumberFormat="1" applyBorder="1" applyAlignment="1">
      <alignment horizontal="right" vertical="center"/>
    </xf>
    <xf numFmtId="166" fontId="9" fillId="17" borderId="7" xfId="0" applyNumberFormat="1" applyFont="1" applyFill="1" applyBorder="1" applyAlignment="1">
      <alignment horizontal="left" vertical="center"/>
    </xf>
    <xf numFmtId="166" fontId="9" fillId="17" borderId="8" xfId="0" applyNumberFormat="1" applyFont="1" applyFill="1" applyBorder="1" applyAlignment="1">
      <alignment horizontal="left" vertical="center"/>
    </xf>
    <xf numFmtId="166" fontId="9" fillId="17" borderId="9" xfId="0" applyNumberFormat="1" applyFont="1" applyFill="1" applyBorder="1" applyAlignment="1">
      <alignment horizontal="left" vertical="center"/>
    </xf>
    <xf numFmtId="166" fontId="9" fillId="17" borderId="10" xfId="0" applyNumberFormat="1" applyFont="1" applyFill="1" applyBorder="1" applyAlignment="1">
      <alignment horizontal="left" vertical="center"/>
    </xf>
    <xf numFmtId="166" fontId="9" fillId="17" borderId="1" xfId="0" applyNumberFormat="1" applyFont="1" applyFill="1" applyBorder="1" applyAlignment="1">
      <alignment horizontal="left" vertical="center"/>
    </xf>
    <xf numFmtId="166" fontId="9" fillId="17" borderId="11" xfId="0" applyNumberFormat="1" applyFont="1" applyFill="1" applyBorder="1" applyAlignment="1">
      <alignment horizontal="left" vertical="center"/>
    </xf>
    <xf numFmtId="0" fontId="24" fillId="0" borderId="6" xfId="0" applyFont="1" applyBorder="1" applyAlignment="1">
      <alignment horizontal="center"/>
    </xf>
    <xf numFmtId="0" fontId="26" fillId="15" borderId="12" xfId="0" applyFont="1" applyFill="1" applyBorder="1" applyAlignment="1">
      <alignment wrapText="1"/>
    </xf>
    <xf numFmtId="0" fontId="26" fillId="15" borderId="5" xfId="0" applyFont="1" applyFill="1" applyBorder="1" applyAlignment="1">
      <alignment wrapText="1"/>
    </xf>
    <xf numFmtId="0" fontId="26" fillId="15" borderId="6" xfId="0" applyFont="1" applyFill="1" applyBorder="1" applyAlignment="1">
      <alignment wrapText="1"/>
    </xf>
    <xf numFmtId="0" fontId="27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8" borderId="0" xfId="0" applyNumberFormat="1" applyFill="1"/>
    <xf numFmtId="0" fontId="0" fillId="18" borderId="0" xfId="0" applyFill="1"/>
    <xf numFmtId="2" fontId="4" fillId="16" borderId="0" xfId="14" applyNumberFormat="1" applyFont="1" applyFill="1"/>
    <xf numFmtId="0" fontId="4" fillId="16" borderId="0" xfId="14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65" fontId="0" fillId="16" borderId="0" xfId="0" applyNumberFormat="1" applyFill="1"/>
    <xf numFmtId="2" fontId="4" fillId="16" borderId="0" xfId="0" applyNumberFormat="1" applyFont="1" applyFill="1"/>
    <xf numFmtId="2" fontId="4" fillId="0" borderId="0" xfId="14" applyNumberFormat="1" applyFont="1" applyFill="1"/>
    <xf numFmtId="0" fontId="3" fillId="2" borderId="1" xfId="18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3" xfId="1" applyFont="1" applyBorder="1" applyAlignment="1">
      <alignment horizontal="center" wrapText="1"/>
    </xf>
    <xf numFmtId="0" fontId="3" fillId="2" borderId="1" xfId="19" applyFont="1" applyFill="1" applyBorder="1" applyAlignment="1">
      <alignment horizontal="center" vertical="center" wrapText="1"/>
    </xf>
    <xf numFmtId="0" fontId="22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0" fontId="16" fillId="6" borderId="0" xfId="3"/>
    <xf numFmtId="166" fontId="8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4" xfId="0" applyNumberFormat="1" applyFont="1" applyFill="1" applyBorder="1" applyAlignment="1"/>
    <xf numFmtId="0" fontId="22" fillId="4" borderId="4" xfId="1" applyFont="1" applyBorder="1" applyAlignment="1">
      <alignment horizontal="left" wrapText="1"/>
    </xf>
    <xf numFmtId="0" fontId="3" fillId="15" borderId="10" xfId="0" applyFont="1" applyFill="1" applyBorder="1" applyAlignment="1">
      <alignment wrapText="1"/>
    </xf>
    <xf numFmtId="0" fontId="3" fillId="15" borderId="7" xfId="0" applyFont="1" applyFill="1" applyBorder="1" applyAlignment="1">
      <alignment wrapText="1"/>
    </xf>
    <xf numFmtId="0" fontId="26" fillId="15" borderId="0" xfId="0" applyFont="1" applyFill="1" applyBorder="1"/>
    <xf numFmtId="9" fontId="9" fillId="17" borderId="10" xfId="23" applyFont="1" applyFill="1" applyBorder="1" applyAlignment="1">
      <alignment horizontal="left" vertical="center"/>
    </xf>
    <xf numFmtId="9" fontId="9" fillId="17" borderId="1" xfId="23" applyFont="1" applyFill="1" applyBorder="1" applyAlignment="1">
      <alignment horizontal="left" vertical="center"/>
    </xf>
    <xf numFmtId="9" fontId="9" fillId="17" borderId="11" xfId="23" applyFont="1" applyFill="1" applyBorder="1" applyAlignment="1">
      <alignment horizontal="left" vertical="center"/>
    </xf>
    <xf numFmtId="9" fontId="9" fillId="17" borderId="2" xfId="23" applyFont="1" applyFill="1" applyBorder="1" applyAlignment="1">
      <alignment horizontal="left" vertical="center"/>
    </xf>
    <xf numFmtId="9" fontId="19" fillId="11" borderId="1" xfId="23" applyFont="1" applyFill="1" applyBorder="1" applyAlignment="1"/>
    <xf numFmtId="9" fontId="19" fillId="11" borderId="2" xfId="23" applyFont="1" applyFill="1" applyBorder="1" applyAlignment="1"/>
    <xf numFmtId="9" fontId="4" fillId="0" borderId="0" xfId="35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65" fontId="0" fillId="16" borderId="2" xfId="0" applyNumberFormat="1" applyFill="1" applyBorder="1"/>
    <xf numFmtId="0" fontId="0" fillId="0" borderId="2" xfId="0" applyFill="1" applyBorder="1"/>
    <xf numFmtId="1" fontId="25" fillId="14" borderId="2" xfId="2" applyNumberFormat="1" applyFont="1" applyFill="1" applyBorder="1" applyAlignment="1">
      <alignment horizontal="right" wrapText="1"/>
    </xf>
    <xf numFmtId="0" fontId="22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15" borderId="12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28" fillId="0" borderId="0" xfId="15" applyFont="1"/>
    <xf numFmtId="0" fontId="3" fillId="19" borderId="0" xfId="15" applyFont="1" applyFill="1"/>
    <xf numFmtId="9" fontId="19" fillId="11" borderId="16" xfId="23" applyFont="1" applyFill="1" applyBorder="1" applyAlignment="1"/>
    <xf numFmtId="9" fontId="19" fillId="11" borderId="14" xfId="23" applyFont="1" applyFill="1" applyBorder="1" applyAlignment="1"/>
    <xf numFmtId="166" fontId="9" fillId="17" borderId="12" xfId="0" applyNumberFormat="1" applyFont="1" applyFill="1" applyBorder="1" applyAlignment="1">
      <alignment horizontal="center" vertical="center"/>
    </xf>
    <xf numFmtId="166" fontId="9" fillId="17" borderId="6" xfId="0" applyNumberFormat="1" applyFont="1" applyFill="1" applyBorder="1" applyAlignment="1">
      <alignment horizontal="center" vertical="center"/>
    </xf>
    <xf numFmtId="166" fontId="9" fillId="17" borderId="5" xfId="0" applyNumberFormat="1" applyFont="1" applyFill="1" applyBorder="1" applyAlignment="1">
      <alignment horizontal="center" vertical="center"/>
    </xf>
    <xf numFmtId="1" fontId="25" fillId="14" borderId="1" xfId="2" applyNumberFormat="1" applyFont="1" applyFill="1" applyBorder="1" applyAlignment="1">
      <alignment horizontal="center" wrapText="1"/>
    </xf>
    <xf numFmtId="1" fontId="25" fillId="14" borderId="3" xfId="2" applyNumberFormat="1" applyFont="1" applyFill="1" applyBorder="1" applyAlignment="1">
      <alignment horizontal="center" wrapText="1"/>
    </xf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2" fillId="4" borderId="3" xfId="1" applyNumberFormat="1" applyFont="1" applyBorder="1" applyAlignment="1">
      <alignment horizontal="left" wrapText="1"/>
    </xf>
    <xf numFmtId="167" fontId="0" fillId="0" borderId="0" xfId="0" applyNumberFormat="1" applyFill="1"/>
    <xf numFmtId="167" fontId="0" fillId="0" borderId="0" xfId="0" applyNumberFormat="1" applyFill="1" applyAlignment="1">
      <alignment wrapText="1"/>
    </xf>
    <xf numFmtId="167" fontId="0" fillId="0" borderId="0" xfId="0" applyNumberFormat="1"/>
    <xf numFmtId="167" fontId="22" fillId="4" borderId="3" xfId="1" applyNumberFormat="1" applyFont="1" applyBorder="1" applyAlignment="1">
      <alignment horizontal="center" wrapText="1"/>
    </xf>
    <xf numFmtId="167" fontId="4" fillId="0" borderId="0" xfId="0" applyNumberFormat="1" applyFont="1" applyFill="1"/>
    <xf numFmtId="167" fontId="0" fillId="0" borderId="0" xfId="0" applyNumberFormat="1" applyFill="1" applyAlignment="1"/>
    <xf numFmtId="167" fontId="0" fillId="0" borderId="2" xfId="0" applyNumberFormat="1" applyFill="1" applyBorder="1"/>
    <xf numFmtId="167" fontId="0" fillId="0" borderId="2" xfId="0" applyNumberFormat="1" applyFill="1" applyBorder="1" applyAlignment="1"/>
    <xf numFmtId="167" fontId="4" fillId="0" borderId="2" xfId="0" applyNumberFormat="1" applyFont="1" applyFill="1" applyBorder="1"/>
    <xf numFmtId="167" fontId="4" fillId="0" borderId="0" xfId="0" applyNumberFormat="1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0" fontId="3" fillId="13" borderId="1" xfId="0" applyFont="1" applyFill="1" applyBorder="1" applyAlignment="1">
      <alignment vertical="center"/>
    </xf>
    <xf numFmtId="0" fontId="4" fillId="0" borderId="0" xfId="15" applyFont="1" applyFill="1" applyBorder="1"/>
    <xf numFmtId="2" fontId="4" fillId="0" borderId="0" xfId="19" applyNumberFormat="1"/>
  </cellXfs>
  <cellStyles count="44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 xr:uid="{00000000-0005-0000-0000-000006000000}"/>
    <cellStyle name="Comma 2 2" xfId="8" xr:uid="{00000000-0005-0000-0000-000007000000}"/>
    <cellStyle name="Comma 2 3" xfId="9" xr:uid="{00000000-0005-0000-0000-000008000000}"/>
    <cellStyle name="Comma 2 4" xfId="10" xr:uid="{00000000-0005-0000-0000-000009000000}"/>
    <cellStyle name="Good" xfId="11" builtinId="26"/>
    <cellStyle name="Input" xfId="12" builtinId="20"/>
    <cellStyle name="Migliaia_tab emissioni" xfId="13" xr:uid="{00000000-0005-0000-0000-00000C000000}"/>
    <cellStyle name="Neutral" xfId="14" builtinId="28"/>
    <cellStyle name="Normal" xfId="0" builtinId="0"/>
    <cellStyle name="Normal 10" xfId="15" xr:uid="{00000000-0005-0000-0000-00000F000000}"/>
    <cellStyle name="Normal 2" xfId="16" xr:uid="{00000000-0005-0000-0000-000010000000}"/>
    <cellStyle name="Normal 2 3" xfId="17" xr:uid="{00000000-0005-0000-0000-000011000000}"/>
    <cellStyle name="Normal 4" xfId="18" xr:uid="{00000000-0005-0000-0000-000012000000}"/>
    <cellStyle name="Normal 4 2" xfId="19" xr:uid="{00000000-0005-0000-0000-000013000000}"/>
    <cellStyle name="Normal 8" xfId="20" xr:uid="{00000000-0005-0000-0000-000014000000}"/>
    <cellStyle name="Normal 9 2" xfId="21" xr:uid="{00000000-0005-0000-0000-000015000000}"/>
    <cellStyle name="Normale_B2020" xfId="22" xr:uid="{00000000-0005-0000-0000-000016000000}"/>
    <cellStyle name="Percent" xfId="23" builtinId="5"/>
    <cellStyle name="Percent 2" xfId="24" xr:uid="{00000000-0005-0000-0000-000018000000}"/>
    <cellStyle name="Percent 3" xfId="25" xr:uid="{00000000-0005-0000-0000-000019000000}"/>
    <cellStyle name="Percent 3 2" xfId="26" xr:uid="{00000000-0005-0000-0000-00001A000000}"/>
    <cellStyle name="Percent 3 3" xfId="27" xr:uid="{00000000-0005-0000-0000-00001B000000}"/>
    <cellStyle name="Percent 3 4" xfId="28" xr:uid="{00000000-0005-0000-0000-00001C000000}"/>
    <cellStyle name="Percent 3 5" xfId="29" xr:uid="{00000000-0005-0000-0000-00001D000000}"/>
    <cellStyle name="Percent 4" xfId="30" xr:uid="{00000000-0005-0000-0000-00001E000000}"/>
    <cellStyle name="Percent 4 2" xfId="31" xr:uid="{00000000-0005-0000-0000-00001F000000}"/>
    <cellStyle name="Percent 4 3" xfId="32" xr:uid="{00000000-0005-0000-0000-000020000000}"/>
    <cellStyle name="Percent 4 4" xfId="33" xr:uid="{00000000-0005-0000-0000-000021000000}"/>
    <cellStyle name="Percent 4 5" xfId="34" xr:uid="{00000000-0005-0000-0000-000022000000}"/>
    <cellStyle name="Percent 5" xfId="35" xr:uid="{00000000-0005-0000-0000-000023000000}"/>
    <cellStyle name="Percent 5 2" xfId="36" xr:uid="{00000000-0005-0000-0000-000024000000}"/>
    <cellStyle name="Percent 5 3" xfId="37" xr:uid="{00000000-0005-0000-0000-000025000000}"/>
    <cellStyle name="Percent 5 4" xfId="38" xr:uid="{00000000-0005-0000-0000-000026000000}"/>
    <cellStyle name="Percent 6" xfId="39" xr:uid="{00000000-0005-0000-0000-000027000000}"/>
    <cellStyle name="Percent 7" xfId="40" xr:uid="{00000000-0005-0000-0000-000028000000}"/>
    <cellStyle name="Percent 8" xfId="41" xr:uid="{00000000-0005-0000-0000-000029000000}"/>
    <cellStyle name="Percent 9" xfId="42" xr:uid="{00000000-0005-0000-0000-00002A000000}"/>
    <cellStyle name="Standard_Sce_D_Extraction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0F479E-3F45-4045-AC70-6C8034550A96}"/>
            </a:ext>
          </a:extLst>
        </xdr:cNvPr>
        <xdr:cNvSpPr txBox="1"/>
      </xdr:nvSpPr>
      <xdr:spPr>
        <a:xfrm>
          <a:off x="5793950" y="4636347"/>
          <a:ext cx="4318000" cy="9645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448" name="Picture 6">
          <a:extLst>
            <a:ext uri="{FF2B5EF4-FFF2-40B4-BE49-F238E27FC236}">
              <a16:creationId xmlns:a16="http://schemas.microsoft.com/office/drawing/2014/main" id="{D67DEF70-E35B-46CE-B932-539A8507B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449" name="Picture 8">
          <a:extLst>
            <a:ext uri="{FF2B5EF4-FFF2-40B4-BE49-F238E27FC236}">
              <a16:creationId xmlns:a16="http://schemas.microsoft.com/office/drawing/2014/main" id="{0582DF56-74C3-41E6-82B9-23CF529CB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8</xdr:col>
      <xdr:colOff>85725</xdr:colOff>
      <xdr:row>30</xdr:row>
      <xdr:rowOff>47625</xdr:rowOff>
    </xdr:to>
    <xdr:pic>
      <xdr:nvPicPr>
        <xdr:cNvPr id="57450" name="Picture 4">
          <a:extLst>
            <a:ext uri="{FF2B5EF4-FFF2-40B4-BE49-F238E27FC236}">
              <a16:creationId xmlns:a16="http://schemas.microsoft.com/office/drawing/2014/main" id="{DDC9BF85-CAEC-4E7F-A159-D445E3CE1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30</xdr:row>
      <xdr:rowOff>47625</xdr:rowOff>
    </xdr:from>
    <xdr:to>
      <xdr:col>8</xdr:col>
      <xdr:colOff>85725</xdr:colOff>
      <xdr:row>54</xdr:row>
      <xdr:rowOff>9525</xdr:rowOff>
    </xdr:to>
    <xdr:pic>
      <xdr:nvPicPr>
        <xdr:cNvPr id="57451" name="Picture 5">
          <a:extLst>
            <a:ext uri="{FF2B5EF4-FFF2-40B4-BE49-F238E27FC236}">
              <a16:creationId xmlns:a16="http://schemas.microsoft.com/office/drawing/2014/main" id="{82D20054-F146-4C6E-B724-441018F9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290331-C1AD-4B2C-9995-FCF613B5EF6F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E07455-B560-495C-83C9-DA0555F0186E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A5F9DC-B75F-4B55-A0F8-F93B3F24BE3B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ED438D-18C0-473B-B0E7-E8BCD8DDD0BF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A31"/>
  <sheetViews>
    <sheetView zoomScale="90" zoomScaleNormal="9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1" t="s">
        <v>44</v>
      </c>
      <c r="E2" s="51" t="s">
        <v>45</v>
      </c>
      <c r="F2" s="51" t="s">
        <v>46</v>
      </c>
      <c r="G2" s="51" t="s">
        <v>127</v>
      </c>
      <c r="H2" s="51" t="s">
        <v>128</v>
      </c>
      <c r="I2" s="51" t="s">
        <v>129</v>
      </c>
      <c r="J2" s="51" t="s">
        <v>130</v>
      </c>
      <c r="K2" s="51" t="s">
        <v>131</v>
      </c>
      <c r="L2" s="51" t="s">
        <v>132</v>
      </c>
      <c r="M2" s="51" t="s">
        <v>133</v>
      </c>
      <c r="N2" s="51" t="s">
        <v>47</v>
      </c>
      <c r="O2" s="51" t="s">
        <v>165</v>
      </c>
      <c r="P2" s="51" t="s">
        <v>166</v>
      </c>
      <c r="Q2" s="51" t="s">
        <v>167</v>
      </c>
      <c r="R2" s="51" t="s">
        <v>168</v>
      </c>
      <c r="S2" s="51" t="s">
        <v>48</v>
      </c>
      <c r="T2" s="51" t="s">
        <v>49</v>
      </c>
      <c r="U2" s="51" t="s">
        <v>50</v>
      </c>
      <c r="V2" s="51" t="s">
        <v>163</v>
      </c>
      <c r="X2" s="8"/>
      <c r="Y2" s="50" t="s">
        <v>153</v>
      </c>
      <c r="Z2" s="14" t="s">
        <v>76</v>
      </c>
      <c r="AA2" s="14" t="s">
        <v>104</v>
      </c>
    </row>
    <row r="3" spans="1:27" ht="38.25" x14ac:dyDescent="0.2">
      <c r="C3" s="71" t="s">
        <v>124</v>
      </c>
      <c r="D3" s="52" t="s">
        <v>51</v>
      </c>
      <c r="E3" s="52" t="s">
        <v>52</v>
      </c>
      <c r="F3" s="52" t="s">
        <v>126</v>
      </c>
      <c r="G3" s="52" t="s">
        <v>139</v>
      </c>
      <c r="H3" s="52" t="s">
        <v>136</v>
      </c>
      <c r="I3" s="52" t="s">
        <v>129</v>
      </c>
      <c r="J3" s="52" t="s">
        <v>137</v>
      </c>
      <c r="K3" s="52" t="s">
        <v>138</v>
      </c>
      <c r="L3" s="52" t="s">
        <v>134</v>
      </c>
      <c r="M3" s="52" t="s">
        <v>135</v>
      </c>
      <c r="N3" s="52" t="s">
        <v>53</v>
      </c>
      <c r="O3" s="52" t="s">
        <v>173</v>
      </c>
      <c r="P3" s="52" t="s">
        <v>170</v>
      </c>
      <c r="Q3" s="52" t="s">
        <v>171</v>
      </c>
      <c r="R3" s="52" t="s">
        <v>172</v>
      </c>
      <c r="S3" s="52" t="s">
        <v>54</v>
      </c>
      <c r="T3" s="52" t="s">
        <v>55</v>
      </c>
      <c r="U3" s="52" t="s">
        <v>88</v>
      </c>
      <c r="V3" s="52" t="s">
        <v>56</v>
      </c>
    </row>
    <row r="4" spans="1:27" x14ac:dyDescent="0.2">
      <c r="B4" s="49"/>
      <c r="C4" s="91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2"/>
    </row>
    <row r="5" spans="1:27" x14ac:dyDescent="0.2">
      <c r="A5" s="6"/>
      <c r="B5" s="53" t="s">
        <v>58</v>
      </c>
      <c r="C5" s="61" t="s">
        <v>59</v>
      </c>
      <c r="D5" s="93">
        <f>[2]EB2!D16</f>
        <v>124.79425000000001</v>
      </c>
      <c r="E5" s="93">
        <f>[2]EB2!E16</f>
        <v>3095.8757999999998</v>
      </c>
      <c r="F5" s="93">
        <f>[2]EB2!F16</f>
        <v>0</v>
      </c>
      <c r="G5" s="93">
        <f>[2]EB2!G16</f>
        <v>862.053</v>
      </c>
      <c r="H5" s="93">
        <f>[2]EB2!H16</f>
        <v>72.9495</v>
      </c>
      <c r="I5" s="93">
        <f>[2]EB2!I16</f>
        <v>190.17599999999999</v>
      </c>
      <c r="J5" s="93">
        <f>[2]EB2!J16</f>
        <v>3.1680000000000001</v>
      </c>
      <c r="K5" s="93">
        <f>[2]EB2!K16</f>
        <v>0</v>
      </c>
      <c r="L5" s="93">
        <f>[2]EB2!L16</f>
        <v>15.38</v>
      </c>
      <c r="M5" s="93">
        <f>[2]EB2!M16</f>
        <v>0.92</v>
      </c>
      <c r="N5" s="94">
        <f>[2]EB2!N16</f>
        <v>0</v>
      </c>
      <c r="O5" s="93">
        <f>[2]EB2!O16</f>
        <v>298.48174999999992</v>
      </c>
      <c r="P5" s="93">
        <f>[2]EB2!P16</f>
        <v>0</v>
      </c>
      <c r="Q5" s="93">
        <f>[2]EB2!Q16</f>
        <v>0</v>
      </c>
      <c r="R5" s="93">
        <f>[2]EB2!R16</f>
        <v>50</v>
      </c>
      <c r="S5" s="93">
        <f>[2]EB2!S16</f>
        <v>0</v>
      </c>
      <c r="T5" s="93">
        <f>[2]EB2!T16</f>
        <v>432.74250000000001</v>
      </c>
      <c r="U5" s="93">
        <f>[2]EB2!U16</f>
        <v>1435.8710000000001</v>
      </c>
      <c r="V5" s="95">
        <f>SUM(D5:U5)</f>
        <v>6582.4117999999999</v>
      </c>
    </row>
    <row r="6" spans="1:27" x14ac:dyDescent="0.2">
      <c r="A6" s="6"/>
      <c r="B6" s="53" t="s">
        <v>60</v>
      </c>
      <c r="C6" s="62" t="s">
        <v>61</v>
      </c>
      <c r="D6" s="93">
        <f>[2]EB2!D17</f>
        <v>19.923749999999998</v>
      </c>
      <c r="E6" s="93">
        <f>[2]EB2!E17</f>
        <v>1051.038</v>
      </c>
      <c r="F6" s="93">
        <f>[2]EB2!F17</f>
        <v>0</v>
      </c>
      <c r="G6" s="93">
        <f>[2]EB2!G17</f>
        <v>368.84399999999999</v>
      </c>
      <c r="H6" s="93">
        <f>[2]EB2!H17</f>
        <v>1.677</v>
      </c>
      <c r="I6" s="93">
        <f>[2]EB2!I17</f>
        <v>31.602</v>
      </c>
      <c r="J6" s="93">
        <f>[2]EB2!J17</f>
        <v>5.72</v>
      </c>
      <c r="K6" s="93">
        <f>[2]EB2!K17</f>
        <v>0</v>
      </c>
      <c r="L6" s="93">
        <f>[2]EB2!L17</f>
        <v>19.32</v>
      </c>
      <c r="M6" s="93">
        <f>[2]EB2!M17</f>
        <v>0.24199999999999999</v>
      </c>
      <c r="N6" s="94">
        <f>[2]EB2!N17</f>
        <v>0</v>
      </c>
      <c r="O6" s="93">
        <f>[2]EB2!O17</f>
        <v>13</v>
      </c>
      <c r="P6" s="93">
        <f>[2]EB2!P17</f>
        <v>0</v>
      </c>
      <c r="Q6" s="93">
        <f>[2]EB2!Q17</f>
        <v>0</v>
      </c>
      <c r="R6" s="93">
        <f>[2]EB2!R17</f>
        <v>7.5</v>
      </c>
      <c r="S6" s="93">
        <f>[2]EB2!S17</f>
        <v>0.60850000000000004</v>
      </c>
      <c r="T6" s="93">
        <f>[2]EB2!T17</f>
        <v>127.32299999999999</v>
      </c>
      <c r="U6" s="93">
        <f>[2]EB2!U17</f>
        <v>1263.6955</v>
      </c>
      <c r="V6" s="95">
        <f t="shared" ref="V6:V12" si="0">SUM(D6:U6)</f>
        <v>2910.4937500000001</v>
      </c>
    </row>
    <row r="7" spans="1:27" x14ac:dyDescent="0.2">
      <c r="A7" s="6"/>
      <c r="B7" s="53" t="s">
        <v>62</v>
      </c>
      <c r="C7" s="62" t="s">
        <v>63</v>
      </c>
      <c r="D7" s="93">
        <f>[2]EB2!D18</f>
        <v>663.94509999999991</v>
      </c>
      <c r="E7" s="93">
        <f>[2]EB2!E18</f>
        <v>2662.2965999999997</v>
      </c>
      <c r="F7" s="93">
        <f>[2]EB2!F18</f>
        <v>0</v>
      </c>
      <c r="G7" s="93">
        <f>[2]EB2!G18</f>
        <v>298.68</v>
      </c>
      <c r="H7" s="93">
        <f>[2]EB2!H18</f>
        <v>36.356499999999997</v>
      </c>
      <c r="I7" s="93">
        <f>[2]EB2!I18</f>
        <v>142.97149999999999</v>
      </c>
      <c r="J7" s="93">
        <f>[2]EB2!J18</f>
        <v>7.766</v>
      </c>
      <c r="K7" s="93">
        <f>[2]EB2!K18</f>
        <v>44.066000000000003</v>
      </c>
      <c r="L7" s="93">
        <f>[2]EB2!L18</f>
        <v>286.0505</v>
      </c>
      <c r="M7" s="93">
        <f>[2]EB2!M18</f>
        <v>191.57300000000001</v>
      </c>
      <c r="N7" s="94">
        <f>[2]EB2!N18</f>
        <v>0</v>
      </c>
      <c r="O7" s="93">
        <f>[2]EB2!O18</f>
        <v>180.41775000000007</v>
      </c>
      <c r="P7" s="93">
        <f>[2]EB2!P18</f>
        <v>0</v>
      </c>
      <c r="Q7" s="93">
        <f>[2]EB2!Q18</f>
        <v>0</v>
      </c>
      <c r="R7" s="93">
        <f>[2]EB2!R18</f>
        <v>0</v>
      </c>
      <c r="S7" s="93">
        <f>[2]EB2!S18</f>
        <v>58.595999999999997</v>
      </c>
      <c r="T7" s="93">
        <f>[2]EB2!T18</f>
        <v>316.79149999999998</v>
      </c>
      <c r="U7" s="93">
        <f>[2]EB2!U18</f>
        <v>2044.222</v>
      </c>
      <c r="V7" s="95">
        <f t="shared" si="0"/>
        <v>6933.7324499999986</v>
      </c>
    </row>
    <row r="8" spans="1:27" x14ac:dyDescent="0.2">
      <c r="A8" s="6"/>
      <c r="B8" s="53" t="s">
        <v>64</v>
      </c>
      <c r="C8" s="62" t="s">
        <v>65</v>
      </c>
      <c r="D8" s="93">
        <f>[2]EB2!D19</f>
        <v>15.434999999999999</v>
      </c>
      <c r="E8" s="93">
        <f>[2]EB2!E19</f>
        <v>120.72359999999999</v>
      </c>
      <c r="F8" s="93">
        <f>[2]EB2!F19</f>
        <v>0</v>
      </c>
      <c r="G8" s="93">
        <f>[2]EB2!G19</f>
        <v>366.58800000000002</v>
      </c>
      <c r="H8" s="93">
        <f>[2]EB2!H19</f>
        <v>0.47299999999999998</v>
      </c>
      <c r="I8" s="93">
        <f>[2]EB2!I19</f>
        <v>16.169</v>
      </c>
      <c r="J8" s="93">
        <f>[2]EB2!J19</f>
        <v>1.716</v>
      </c>
      <c r="K8" s="93">
        <f>[2]EB2!K19</f>
        <v>0</v>
      </c>
      <c r="L8" s="93">
        <f>[2]EB2!L19</f>
        <v>13.74</v>
      </c>
      <c r="M8" s="93">
        <f>[2]EB2!M19</f>
        <v>0</v>
      </c>
      <c r="N8" s="94">
        <f>[2]EB2!N19</f>
        <v>0</v>
      </c>
      <c r="O8" s="93">
        <f>[2]EB2!O19</f>
        <v>15.771500000000003</v>
      </c>
      <c r="P8" s="93">
        <f>[2]EB2!P19</f>
        <v>0</v>
      </c>
      <c r="Q8" s="93">
        <f>[2]EB2!Q19</f>
        <v>0</v>
      </c>
      <c r="R8" s="93">
        <f>[2]EB2!R19</f>
        <v>0</v>
      </c>
      <c r="S8" s="93">
        <f>[2]EB2!S19</f>
        <v>5.0000000000000001E-4</v>
      </c>
      <c r="T8" s="93">
        <f>[2]EB2!T19</f>
        <v>7.7869999999999999</v>
      </c>
      <c r="U8" s="93">
        <f>[2]EB2!U19</f>
        <v>9.6930000000000014</v>
      </c>
      <c r="V8" s="95">
        <f t="shared" si="0"/>
        <v>568.09659999999997</v>
      </c>
    </row>
    <row r="9" spans="1:27" ht="15" x14ac:dyDescent="0.25">
      <c r="A9" s="6"/>
      <c r="B9" s="53" t="s">
        <v>66</v>
      </c>
      <c r="C9" s="62" t="s">
        <v>67</v>
      </c>
      <c r="D9" s="93">
        <f>[2]EB2!D20</f>
        <v>0.1946</v>
      </c>
      <c r="E9" s="57">
        <f>[2]EB2!E20</f>
        <v>12.7494</v>
      </c>
      <c r="F9" s="93">
        <f>[2]EB2!F20</f>
        <v>0</v>
      </c>
      <c r="G9" s="57">
        <f>[2]EB2!G20</f>
        <v>3856.2855</v>
      </c>
      <c r="H9" s="93">
        <f>[2]EB2!H20</f>
        <v>1047.652</v>
      </c>
      <c r="I9" s="57">
        <f>[2]EB2!I20</f>
        <v>94.230999999999995</v>
      </c>
      <c r="J9" s="57">
        <f>[2]EB2!J20</f>
        <v>2394.2159999999999</v>
      </c>
      <c r="K9" s="93">
        <f>[2]EB2!K20</f>
        <v>0</v>
      </c>
      <c r="L9" s="93">
        <f>[2]EB2!L20</f>
        <v>33.24</v>
      </c>
      <c r="M9" s="93">
        <f>[2]EB2!M20</f>
        <v>0</v>
      </c>
      <c r="N9" s="93">
        <f>[2]EB2!N20</f>
        <v>0</v>
      </c>
      <c r="O9" s="57">
        <f>[2]EB2!O20</f>
        <v>40.25</v>
      </c>
      <c r="P9" s="93">
        <f>[2]EB2!P20</f>
        <v>0</v>
      </c>
      <c r="Q9" s="93">
        <f>[2]EB2!Q20</f>
        <v>0</v>
      </c>
      <c r="R9" s="93">
        <f>[2]EB2!R20</f>
        <v>0</v>
      </c>
      <c r="S9" s="93">
        <f>[2]EB2!S20</f>
        <v>0</v>
      </c>
      <c r="T9" s="93">
        <f>[2]EB2!T20</f>
        <v>0</v>
      </c>
      <c r="U9" s="57">
        <f>[2]EB2!U20</f>
        <v>132.98599999999999</v>
      </c>
      <c r="V9" s="95">
        <f t="shared" si="0"/>
        <v>7611.8044999999993</v>
      </c>
    </row>
    <row r="10" spans="1:27" x14ac:dyDescent="0.2">
      <c r="A10" s="6"/>
      <c r="B10" s="53" t="s">
        <v>68</v>
      </c>
      <c r="C10" s="63" t="s">
        <v>69</v>
      </c>
      <c r="D10" s="56">
        <f>[2]EB2!D21</f>
        <v>416.23084999999924</v>
      </c>
      <c r="E10" s="56">
        <f>[2]EB2!E21</f>
        <v>0</v>
      </c>
      <c r="F10" s="56">
        <f>[2]EB2!F21</f>
        <v>0</v>
      </c>
      <c r="G10" s="56">
        <f>[2]EB2!G21</f>
        <v>0</v>
      </c>
      <c r="H10" s="56">
        <f>[2]EB2!H21</f>
        <v>0</v>
      </c>
      <c r="I10" s="56">
        <f>[2]EB2!I21</f>
        <v>0</v>
      </c>
      <c r="J10" s="56">
        <f>[2]EB2!J21</f>
        <v>0</v>
      </c>
      <c r="K10" s="56">
        <f>[2]EB2!K21</f>
        <v>0</v>
      </c>
      <c r="L10" s="56">
        <f>[2]EB2!L21</f>
        <v>0</v>
      </c>
      <c r="M10" s="56">
        <f>[2]EB2!M21</f>
        <v>0</v>
      </c>
      <c r="N10" s="56">
        <f>[2]EB2!N21</f>
        <v>0</v>
      </c>
      <c r="O10" s="56">
        <f>[2]EB2!O21</f>
        <v>0</v>
      </c>
      <c r="P10" s="56">
        <f>[2]EB2!P21</f>
        <v>0</v>
      </c>
      <c r="Q10" s="56">
        <f>[2]EB2!Q21</f>
        <v>0</v>
      </c>
      <c r="R10" s="56">
        <f>[2]EB2!R21</f>
        <v>0</v>
      </c>
      <c r="S10" s="56">
        <f>[2]EB2!S21</f>
        <v>0</v>
      </c>
      <c r="T10" s="56">
        <f>[2]EB2!T21</f>
        <v>313.51900000000001</v>
      </c>
      <c r="U10" s="56">
        <f>[2]EB2!U21</f>
        <v>325</v>
      </c>
      <c r="V10" s="96">
        <f t="shared" si="0"/>
        <v>1054.7498499999992</v>
      </c>
    </row>
    <row r="11" spans="1:27" x14ac:dyDescent="0.2">
      <c r="A11" s="6"/>
      <c r="B11" s="53" t="s">
        <v>86</v>
      </c>
      <c r="C11" s="62" t="s">
        <v>70</v>
      </c>
      <c r="D11" s="93">
        <f>[2]EB2!D22</f>
        <v>18.358550000000001</v>
      </c>
      <c r="E11" s="93">
        <f>[2]EB2!E22</f>
        <v>380.29379999999998</v>
      </c>
      <c r="F11" s="93">
        <f>[2]EB2!F22</f>
        <v>0</v>
      </c>
      <c r="G11" s="93">
        <f>[2]EB2!G22</f>
        <v>76.465000000000003</v>
      </c>
      <c r="H11" s="93">
        <f>[2]EB2!H22</f>
        <v>4.7945000000000002</v>
      </c>
      <c r="I11" s="93">
        <f>[2]EB2!I22</f>
        <v>199.87350000000001</v>
      </c>
      <c r="J11" s="93">
        <f>[2]EB2!J22</f>
        <v>3.1459999999999999</v>
      </c>
      <c r="K11" s="93">
        <f>[2]EB2!K22</f>
        <v>899.20600000000002</v>
      </c>
      <c r="L11" s="93">
        <f>[2]EB2!L22</f>
        <v>52.04</v>
      </c>
      <c r="M11" s="93">
        <f>[2]EB2!M22</f>
        <v>800.72900000000004</v>
      </c>
      <c r="N11" s="94">
        <f>[2]EB2!N22</f>
        <v>0</v>
      </c>
      <c r="O11" s="93">
        <f>[2]EB2!O22</f>
        <v>0</v>
      </c>
      <c r="P11" s="93">
        <f>[2]EB2!P22</f>
        <v>0</v>
      </c>
      <c r="Q11" s="93">
        <f>[2]EB2!Q22</f>
        <v>0</v>
      </c>
      <c r="R11" s="93">
        <f>[2]EB2!R22</f>
        <v>0</v>
      </c>
      <c r="S11" s="93">
        <f>[2]EB2!S22</f>
        <v>0</v>
      </c>
      <c r="T11" s="93">
        <f>[2]EB2!T22</f>
        <v>0</v>
      </c>
      <c r="U11" s="93">
        <f>[2]EB2!U22</f>
        <v>0</v>
      </c>
      <c r="V11" s="95">
        <f t="shared" si="0"/>
        <v>2434.9063500000002</v>
      </c>
    </row>
    <row r="12" spans="1:27" x14ac:dyDescent="0.2">
      <c r="A12" s="6"/>
      <c r="B12" s="53" t="s">
        <v>87</v>
      </c>
      <c r="C12" s="62" t="s">
        <v>71</v>
      </c>
      <c r="D12" s="93">
        <f>[2]EB2!D23</f>
        <v>0</v>
      </c>
      <c r="E12" s="93">
        <f>[2]EB2!E23</f>
        <v>0</v>
      </c>
      <c r="F12" s="93">
        <f>[2]EB2!F23</f>
        <v>0</v>
      </c>
      <c r="G12" s="93">
        <f>[2]EB2!G23</f>
        <v>146.90600000000001</v>
      </c>
      <c r="H12" s="93">
        <f>[2]EB2!H23</f>
        <v>0</v>
      </c>
      <c r="I12" s="93">
        <f>[2]EB2!I23</f>
        <v>0</v>
      </c>
      <c r="J12" s="93">
        <f>[2]EB2!J23</f>
        <v>0</v>
      </c>
      <c r="K12" s="93">
        <f>[2]EB2!K23</f>
        <v>0</v>
      </c>
      <c r="L12" s="93">
        <f>[2]EB2!L23</f>
        <v>902.14</v>
      </c>
      <c r="M12" s="93">
        <f>[2]EB2!M23</f>
        <v>6.5</v>
      </c>
      <c r="N12" s="94">
        <f>[2]EB2!N23</f>
        <v>0</v>
      </c>
      <c r="O12" s="56">
        <f>[2]EB2!O23</f>
        <v>0</v>
      </c>
      <c r="P12" s="56">
        <f>[2]EB2!P23</f>
        <v>0</v>
      </c>
      <c r="Q12" s="56">
        <f>[2]EB2!Q23</f>
        <v>0</v>
      </c>
      <c r="R12" s="56">
        <f>[2]EB2!R23</f>
        <v>0</v>
      </c>
      <c r="S12" s="93">
        <f>[2]EB2!S23</f>
        <v>0</v>
      </c>
      <c r="T12" s="93">
        <f>[2]EB2!T23</f>
        <v>0</v>
      </c>
      <c r="U12" s="93">
        <f>[2]EB2!U23</f>
        <v>0</v>
      </c>
      <c r="V12" s="95">
        <f t="shared" si="0"/>
        <v>1055.546</v>
      </c>
    </row>
    <row r="13" spans="1:27" ht="15" x14ac:dyDescent="0.25">
      <c r="A13" s="6"/>
      <c r="B13" s="90" t="s">
        <v>89</v>
      </c>
      <c r="C13" s="60" t="s">
        <v>159</v>
      </c>
      <c r="D13" s="58">
        <f t="shared" ref="D13:V13" si="1">SUM(D5:D12)</f>
        <v>1258.8820999999991</v>
      </c>
      <c r="E13" s="58">
        <f t="shared" si="1"/>
        <v>7322.9772000000003</v>
      </c>
      <c r="F13" s="58">
        <f t="shared" si="1"/>
        <v>0</v>
      </c>
      <c r="G13" s="58">
        <f t="shared" si="1"/>
        <v>5975.8215</v>
      </c>
      <c r="H13" s="58">
        <f t="shared" si="1"/>
        <v>1163.9024999999999</v>
      </c>
      <c r="I13" s="58">
        <f t="shared" si="1"/>
        <v>675.02300000000002</v>
      </c>
      <c r="J13" s="58">
        <f t="shared" si="1"/>
        <v>2415.732</v>
      </c>
      <c r="K13" s="58">
        <f t="shared" si="1"/>
        <v>943.27200000000005</v>
      </c>
      <c r="L13" s="58">
        <f t="shared" si="1"/>
        <v>1321.9105</v>
      </c>
      <c r="M13" s="58">
        <f t="shared" si="1"/>
        <v>999.96400000000006</v>
      </c>
      <c r="N13" s="58">
        <f t="shared" si="1"/>
        <v>0</v>
      </c>
      <c r="O13" s="58">
        <f t="shared" si="1"/>
        <v>547.92100000000005</v>
      </c>
      <c r="P13" s="58"/>
      <c r="Q13" s="58"/>
      <c r="R13" s="58"/>
      <c r="S13" s="58">
        <f t="shared" si="1"/>
        <v>59.204999999999998</v>
      </c>
      <c r="T13" s="58">
        <f t="shared" si="1"/>
        <v>1198.163</v>
      </c>
      <c r="U13" s="58">
        <f>SUM(U5:U12)</f>
        <v>5211.4674999999997</v>
      </c>
      <c r="V13" s="59">
        <f t="shared" si="1"/>
        <v>29151.741299999998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57" t="s">
        <v>154</v>
      </c>
      <c r="D16" s="57"/>
      <c r="E16" s="57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  <c r="O23" s="27"/>
      <c r="P23" s="27"/>
      <c r="Q23" s="27"/>
      <c r="R23" s="27"/>
    </row>
    <row r="24" spans="1:24" ht="38.25" x14ac:dyDescent="0.2">
      <c r="A24" s="6"/>
      <c r="B24" s="28" t="s">
        <v>102</v>
      </c>
      <c r="C24" s="67" t="s">
        <v>116</v>
      </c>
      <c r="D24" s="117" t="s">
        <v>51</v>
      </c>
      <c r="E24" s="118" t="s">
        <v>52</v>
      </c>
      <c r="F24" s="118" t="s">
        <v>126</v>
      </c>
      <c r="G24" s="118" t="s">
        <v>139</v>
      </c>
      <c r="H24" s="118" t="s">
        <v>136</v>
      </c>
      <c r="I24" s="118" t="s">
        <v>129</v>
      </c>
      <c r="J24" s="118" t="s">
        <v>137</v>
      </c>
      <c r="K24" s="118" t="s">
        <v>138</v>
      </c>
      <c r="L24" s="118" t="s">
        <v>134</v>
      </c>
      <c r="M24" s="118" t="s">
        <v>135</v>
      </c>
      <c r="N24" s="118" t="s">
        <v>53</v>
      </c>
      <c r="O24" s="52" t="s">
        <v>169</v>
      </c>
      <c r="P24" s="52" t="s">
        <v>170</v>
      </c>
      <c r="Q24" s="52" t="s">
        <v>171</v>
      </c>
      <c r="R24" s="52" t="s">
        <v>172</v>
      </c>
      <c r="S24" s="118" t="s">
        <v>54</v>
      </c>
      <c r="T24" s="118" t="s">
        <v>55</v>
      </c>
      <c r="U24" s="119" t="s">
        <v>88</v>
      </c>
      <c r="V24" s="52" t="s">
        <v>56</v>
      </c>
    </row>
    <row r="25" spans="1:24" ht="15" x14ac:dyDescent="0.25">
      <c r="A25" s="6"/>
      <c r="B25" s="100" t="s">
        <v>66</v>
      </c>
      <c r="C25" s="64" t="s">
        <v>161</v>
      </c>
      <c r="D25" s="101"/>
      <c r="E25" s="105">
        <v>1</v>
      </c>
      <c r="F25" s="102"/>
      <c r="G25" s="105">
        <v>0.9</v>
      </c>
      <c r="H25" s="102"/>
      <c r="I25" s="105">
        <v>1</v>
      </c>
      <c r="J25" s="105">
        <v>1</v>
      </c>
      <c r="K25" s="102"/>
      <c r="L25" s="102"/>
      <c r="M25" s="102"/>
      <c r="N25" s="102"/>
      <c r="O25" s="105">
        <v>0.5</v>
      </c>
      <c r="P25" s="102"/>
      <c r="Q25" s="102"/>
      <c r="R25" s="102"/>
      <c r="S25" s="102"/>
      <c r="T25" s="102"/>
      <c r="U25" s="122">
        <v>0</v>
      </c>
      <c r="V25" s="65"/>
      <c r="W25" s="8"/>
      <c r="X25" s="61" t="s">
        <v>140</v>
      </c>
    </row>
    <row r="26" spans="1:24" ht="15" x14ac:dyDescent="0.25">
      <c r="A26" s="6"/>
      <c r="B26" s="100" t="s">
        <v>66</v>
      </c>
      <c r="C26" s="66" t="s">
        <v>162</v>
      </c>
      <c r="D26" s="103"/>
      <c r="E26" s="106">
        <f>1-E25</f>
        <v>0</v>
      </c>
      <c r="F26" s="104"/>
      <c r="G26" s="106">
        <f>1-G25</f>
        <v>9.9999999999999978E-2</v>
      </c>
      <c r="H26" s="104"/>
      <c r="I26" s="106">
        <f>1-I25</f>
        <v>0</v>
      </c>
      <c r="J26" s="106">
        <f>1-J25</f>
        <v>0</v>
      </c>
      <c r="K26" s="104"/>
      <c r="L26" s="104"/>
      <c r="M26" s="104"/>
      <c r="N26" s="104"/>
      <c r="O26" s="106">
        <f>1-O25</f>
        <v>0.5</v>
      </c>
      <c r="P26" s="104"/>
      <c r="Q26" s="104"/>
      <c r="R26" s="104"/>
      <c r="S26" s="104"/>
      <c r="T26" s="104"/>
      <c r="U26" s="123">
        <f>1-U25</f>
        <v>1</v>
      </c>
      <c r="V26" s="55"/>
      <c r="W26" s="8"/>
      <c r="X26" s="63" t="s">
        <v>160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68" t="s">
        <v>106</v>
      </c>
      <c r="D29" s="70" t="s">
        <v>107</v>
      </c>
      <c r="E29" s="69" t="s">
        <v>108</v>
      </c>
      <c r="V29" s="8"/>
    </row>
    <row r="30" spans="1:24" x14ac:dyDescent="0.2">
      <c r="A30" s="6"/>
      <c r="B30" s="24" t="s">
        <v>117</v>
      </c>
      <c r="C30" s="98" t="s">
        <v>109</v>
      </c>
      <c r="D30" s="98" t="s">
        <v>110</v>
      </c>
      <c r="E30" s="99" t="s">
        <v>108</v>
      </c>
      <c r="V30" s="8"/>
    </row>
    <row r="31" spans="1:24" x14ac:dyDescent="0.2">
      <c r="A31" s="6"/>
      <c r="B31" s="53" t="s">
        <v>66</v>
      </c>
      <c r="C31" s="124">
        <v>1</v>
      </c>
      <c r="D31" s="125"/>
      <c r="E31" s="12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5"/>
  <sheetViews>
    <sheetView zoomScale="90" zoomScaleNormal="90" workbookViewId="0">
      <selection activeCell="K11" sqref="K11"/>
    </sheetView>
  </sheetViews>
  <sheetFormatPr defaultRowHeight="12.75" x14ac:dyDescent="0.2"/>
  <cols>
    <col min="1" max="1" width="1.85546875" style="29" customWidth="1"/>
    <col min="2" max="2" width="7.7109375" style="29" customWidth="1"/>
    <col min="3" max="3" width="6.85546875" style="29" customWidth="1"/>
    <col min="4" max="16384" width="9.140625" style="29"/>
  </cols>
  <sheetData>
    <row r="3" spans="2:7" ht="18" x14ac:dyDescent="0.25">
      <c r="B3" s="120" t="s">
        <v>158</v>
      </c>
    </row>
    <row r="5" spans="2:7" x14ac:dyDescent="0.2">
      <c r="D5" s="121" t="s">
        <v>164</v>
      </c>
      <c r="E5" s="121"/>
      <c r="F5" s="121"/>
      <c r="G5" s="12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6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0"/>
    </row>
    <row r="2" spans="2:18" ht="15.75" x14ac:dyDescent="0.25">
      <c r="B2" s="14" t="str">
        <f>'EB2'!B9</f>
        <v>TRA</v>
      </c>
      <c r="C2" s="14" t="str">
        <f>'EB2'!C9</f>
        <v>Transport</v>
      </c>
      <c r="D2" s="14" t="s">
        <v>111</v>
      </c>
      <c r="E2" s="14" t="str">
        <f>'EB2'!Z2</f>
        <v>PJ</v>
      </c>
      <c r="F2" s="14" t="str">
        <f>'EB2'!Y2</f>
        <v>M€2005</v>
      </c>
      <c r="G2" s="14" t="s">
        <v>101</v>
      </c>
      <c r="H2" s="13"/>
      <c r="J2" s="129" t="s">
        <v>14</v>
      </c>
      <c r="K2" s="129"/>
      <c r="L2" s="130"/>
      <c r="M2" s="130"/>
      <c r="N2" s="130"/>
      <c r="O2" s="130"/>
      <c r="P2" s="130"/>
      <c r="Q2" s="130"/>
      <c r="R2" s="130"/>
    </row>
    <row r="3" spans="2:18" x14ac:dyDescent="0.2">
      <c r="J3" s="131" t="s">
        <v>7</v>
      </c>
      <c r="K3" s="132" t="s">
        <v>30</v>
      </c>
      <c r="L3" s="131" t="s">
        <v>0</v>
      </c>
      <c r="M3" s="131" t="s">
        <v>3</v>
      </c>
      <c r="N3" s="131" t="s">
        <v>4</v>
      </c>
      <c r="O3" s="131" t="s">
        <v>8</v>
      </c>
      <c r="P3" s="131" t="s">
        <v>9</v>
      </c>
      <c r="Q3" s="131" t="s">
        <v>10</v>
      </c>
      <c r="R3" s="131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3" t="s">
        <v>37</v>
      </c>
      <c r="K4" s="133" t="s">
        <v>31</v>
      </c>
      <c r="L4" s="133" t="s">
        <v>26</v>
      </c>
      <c r="M4" s="133" t="s">
        <v>27</v>
      </c>
      <c r="N4" s="133" t="s">
        <v>4</v>
      </c>
      <c r="O4" s="133" t="s">
        <v>40</v>
      </c>
      <c r="P4" s="133" t="s">
        <v>41</v>
      </c>
      <c r="Q4" s="133" t="s">
        <v>28</v>
      </c>
      <c r="R4" s="133" t="s">
        <v>29</v>
      </c>
    </row>
    <row r="5" spans="2:18" x14ac:dyDescent="0.2">
      <c r="B5" s="8"/>
      <c r="C5" s="8"/>
      <c r="D5" s="8"/>
      <c r="E5" s="16"/>
      <c r="F5" s="16"/>
      <c r="G5" s="82"/>
      <c r="H5" s="15"/>
      <c r="J5" s="134" t="s">
        <v>72</v>
      </c>
      <c r="K5" s="134"/>
      <c r="L5" s="134" t="str">
        <f>$B$2&amp;'EB2'!$E$2</f>
        <v>TRAGAS</v>
      </c>
      <c r="M5" s="135" t="str">
        <f>$C$2&amp;" "&amp;'EB2'!$E$3</f>
        <v>Transport Natural Gas</v>
      </c>
      <c r="N5" s="134" t="str">
        <f t="shared" ref="N5:N10" si="0">$E$2</f>
        <v>PJ</v>
      </c>
      <c r="O5" s="134"/>
      <c r="P5" s="134"/>
      <c r="Q5" s="134"/>
      <c r="R5" s="134"/>
    </row>
    <row r="6" spans="2:18" x14ac:dyDescent="0.2">
      <c r="B6" s="8"/>
      <c r="C6" s="8"/>
      <c r="D6" s="8"/>
      <c r="E6" s="16"/>
      <c r="F6" s="16"/>
      <c r="G6" s="82"/>
      <c r="H6" s="15"/>
      <c r="J6" s="134"/>
      <c r="K6" s="134"/>
      <c r="L6" s="134" t="str">
        <f>$B$2&amp;'EB2'!$G$2</f>
        <v>TRADSL</v>
      </c>
      <c r="M6" s="135" t="str">
        <f>$C$2&amp;" "&amp;'EB2'!$G$3</f>
        <v>Transport Diesel oil</v>
      </c>
      <c r="N6" s="134" t="str">
        <f t="shared" si="0"/>
        <v>PJ</v>
      </c>
      <c r="O6" s="134"/>
      <c r="P6" s="134"/>
      <c r="Q6" s="134"/>
      <c r="R6" s="134"/>
    </row>
    <row r="7" spans="2:18" x14ac:dyDescent="0.2">
      <c r="B7" s="8"/>
      <c r="C7" s="8"/>
      <c r="D7" s="8"/>
      <c r="E7" s="16"/>
      <c r="F7" s="16"/>
      <c r="G7" s="82"/>
      <c r="H7" s="15"/>
      <c r="J7" s="134"/>
      <c r="K7" s="134"/>
      <c r="L7" s="134" t="str">
        <f>$B$2&amp;'EB2'!$I$2</f>
        <v>TRALPG</v>
      </c>
      <c r="M7" s="135" t="str">
        <f>$C$2&amp;" "&amp;'EB2'!$I$3</f>
        <v>Transport LPG</v>
      </c>
      <c r="N7" s="134" t="str">
        <f t="shared" si="0"/>
        <v>PJ</v>
      </c>
      <c r="O7" s="134"/>
      <c r="P7" s="134"/>
      <c r="Q7" s="134"/>
      <c r="R7" s="134"/>
    </row>
    <row r="8" spans="2:18" x14ac:dyDescent="0.2">
      <c r="B8" s="8"/>
      <c r="C8" s="8"/>
      <c r="D8" s="8"/>
      <c r="E8" s="16"/>
      <c r="F8" s="16"/>
      <c r="G8" s="82"/>
      <c r="H8" s="15"/>
      <c r="J8" s="134"/>
      <c r="K8" s="134"/>
      <c r="L8" s="134" t="str">
        <f>$B$2&amp;'EB2'!$J$2</f>
        <v>TRAGSL</v>
      </c>
      <c r="M8" s="135" t="str">
        <f>$C$2&amp;" "&amp;'EB2'!$J$3</f>
        <v>Transport Motor spirit</v>
      </c>
      <c r="N8" s="134" t="str">
        <f t="shared" si="0"/>
        <v>PJ</v>
      </c>
      <c r="O8" s="134"/>
      <c r="P8" s="134"/>
      <c r="Q8" s="134"/>
      <c r="R8" s="134"/>
    </row>
    <row r="9" spans="2:18" x14ac:dyDescent="0.2">
      <c r="B9" s="8"/>
      <c r="C9" s="8"/>
      <c r="D9" s="8"/>
      <c r="E9" s="16"/>
      <c r="F9" s="16"/>
      <c r="G9" s="82"/>
      <c r="H9" s="15"/>
      <c r="J9" s="134"/>
      <c r="K9" s="134"/>
      <c r="L9" s="134" t="str">
        <f>$B$2&amp;'EB2'!$O$2</f>
        <v>TRABIO</v>
      </c>
      <c r="M9" s="135" t="str">
        <f>$C$2&amp;" "&amp;'EB2'!$O$3</f>
        <v>Transport Biofuels</v>
      </c>
      <c r="N9" s="134" t="str">
        <f t="shared" si="0"/>
        <v>PJ</v>
      </c>
      <c r="O9" s="136"/>
      <c r="P9" s="136"/>
      <c r="Q9" s="136"/>
      <c r="R9" s="136"/>
    </row>
    <row r="10" spans="2:18" x14ac:dyDescent="0.2">
      <c r="B10" s="8"/>
      <c r="C10" s="8"/>
      <c r="D10" s="8"/>
      <c r="E10" s="16"/>
      <c r="F10" s="16"/>
      <c r="G10" s="82"/>
      <c r="H10" s="15"/>
      <c r="J10" s="134"/>
      <c r="K10" s="134"/>
      <c r="L10" s="134" t="str">
        <f>$B$2&amp;'EB2'!$U$2</f>
        <v>TRAELC</v>
      </c>
      <c r="M10" s="135" t="str">
        <f>$C$2&amp;" "&amp;'EB2'!$U$3</f>
        <v>Transport Electricity</v>
      </c>
      <c r="N10" s="134" t="str">
        <f t="shared" si="0"/>
        <v>PJ</v>
      </c>
      <c r="O10" s="134"/>
      <c r="P10" s="134" t="s">
        <v>123</v>
      </c>
      <c r="Q10" s="134"/>
      <c r="R10" s="134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29" t="s">
        <v>15</v>
      </c>
      <c r="K12" s="129"/>
      <c r="L12" s="136"/>
      <c r="M12" s="136"/>
      <c r="N12" s="136"/>
      <c r="O12" s="136"/>
      <c r="P12" s="136"/>
      <c r="Q12" s="136"/>
      <c r="R12" s="136"/>
    </row>
    <row r="13" spans="2:18" x14ac:dyDescent="0.2">
      <c r="B13" s="21" t="s">
        <v>1</v>
      </c>
      <c r="C13" s="21" t="s">
        <v>5</v>
      </c>
      <c r="D13" s="21" t="s">
        <v>6</v>
      </c>
      <c r="E13" s="86" t="s">
        <v>152</v>
      </c>
      <c r="F13" s="83" t="s">
        <v>125</v>
      </c>
      <c r="G13" s="83" t="s">
        <v>85</v>
      </c>
      <c r="H13" s="83" t="s">
        <v>79</v>
      </c>
      <c r="J13" s="131" t="s">
        <v>11</v>
      </c>
      <c r="K13" s="132" t="s">
        <v>30</v>
      </c>
      <c r="L13" s="131" t="s">
        <v>1</v>
      </c>
      <c r="M13" s="131" t="s">
        <v>2</v>
      </c>
      <c r="N13" s="131" t="s">
        <v>16</v>
      </c>
      <c r="O13" s="131" t="s">
        <v>17</v>
      </c>
      <c r="P13" s="131" t="s">
        <v>18</v>
      </c>
      <c r="Q13" s="131" t="s">
        <v>19</v>
      </c>
      <c r="R13" s="131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90</v>
      </c>
      <c r="H14" s="20" t="s">
        <v>174</v>
      </c>
      <c r="J14" s="133" t="s">
        <v>38</v>
      </c>
      <c r="K14" s="133" t="s">
        <v>31</v>
      </c>
      <c r="L14" s="133" t="s">
        <v>21</v>
      </c>
      <c r="M14" s="133" t="s">
        <v>22</v>
      </c>
      <c r="N14" s="133" t="s">
        <v>23</v>
      </c>
      <c r="O14" s="133" t="s">
        <v>24</v>
      </c>
      <c r="P14" s="133" t="s">
        <v>43</v>
      </c>
      <c r="Q14" s="133" t="s">
        <v>42</v>
      </c>
      <c r="R14" s="133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3" t="s">
        <v>81</v>
      </c>
      <c r="K15" s="137"/>
      <c r="L15" s="137"/>
      <c r="M15" s="137"/>
      <c r="N15" s="137"/>
      <c r="O15" s="137"/>
      <c r="P15" s="137"/>
      <c r="Q15" s="137"/>
      <c r="R15" s="137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5">
        <v>1</v>
      </c>
      <c r="H16" s="76">
        <v>50</v>
      </c>
      <c r="J16" s="138" t="s">
        <v>112</v>
      </c>
      <c r="K16" s="134"/>
      <c r="L16" s="134" t="str">
        <f t="shared" ref="L16:L21" si="4">"FT"&amp;$G$2&amp;"-"&amp;L5</f>
        <v>FTE-TRAGAS</v>
      </c>
      <c r="M16" s="135" t="str">
        <f t="shared" ref="M16:M21" si="5">$D$2&amp;" Technology"&amp;" "&amp;$G$1&amp;" "&amp;M5</f>
        <v>Sector Fuel Technology Existing Transport Natural Gas</v>
      </c>
      <c r="N16" s="134" t="str">
        <f t="shared" ref="N16:N21" si="6">$E$2</f>
        <v>PJ</v>
      </c>
      <c r="O16" s="134" t="str">
        <f t="shared" ref="O16:O21" si="7">$E$2&amp;"a"</f>
        <v>PJa</v>
      </c>
      <c r="P16" s="134"/>
      <c r="Q16" s="134"/>
      <c r="R16" s="134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5">
        <v>1</v>
      </c>
      <c r="H17" s="76">
        <v>50</v>
      </c>
      <c r="J17" s="138"/>
      <c r="K17" s="134"/>
      <c r="L17" s="134" t="str">
        <f t="shared" si="4"/>
        <v>FTE-TRADSL</v>
      </c>
      <c r="M17" s="135" t="str">
        <f t="shared" si="5"/>
        <v>Sector Fuel Technology Existing Transport Diesel oil</v>
      </c>
      <c r="N17" s="134" t="str">
        <f t="shared" si="6"/>
        <v>PJ</v>
      </c>
      <c r="O17" s="134" t="str">
        <f t="shared" si="7"/>
        <v>PJa</v>
      </c>
      <c r="P17" s="134"/>
      <c r="Q17" s="134"/>
      <c r="R17" s="134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5">
        <v>1</v>
      </c>
      <c r="H18" s="76">
        <v>50</v>
      </c>
      <c r="J18" s="134"/>
      <c r="K18" s="134"/>
      <c r="L18" s="134" t="str">
        <f t="shared" si="4"/>
        <v>FTE-TRALPG</v>
      </c>
      <c r="M18" s="135" t="str">
        <f t="shared" si="5"/>
        <v>Sector Fuel Technology Existing Transport LPG</v>
      </c>
      <c r="N18" s="134" t="str">
        <f t="shared" si="6"/>
        <v>PJ</v>
      </c>
      <c r="O18" s="134" t="str">
        <f t="shared" si="7"/>
        <v>PJa</v>
      </c>
      <c r="P18" s="134"/>
      <c r="Q18" s="134"/>
      <c r="R18" s="134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5">
        <v>1</v>
      </c>
      <c r="H19" s="76">
        <v>50</v>
      </c>
      <c r="J19" s="134"/>
      <c r="K19" s="134"/>
      <c r="L19" s="134" t="str">
        <f t="shared" si="4"/>
        <v>FTE-TRAGSL</v>
      </c>
      <c r="M19" s="135" t="str">
        <f t="shared" si="5"/>
        <v>Sector Fuel Technology Existing Transport Motor spirit</v>
      </c>
      <c r="N19" s="134" t="str">
        <f t="shared" si="6"/>
        <v>PJ</v>
      </c>
      <c r="O19" s="134" t="str">
        <f t="shared" si="7"/>
        <v>PJa</v>
      </c>
      <c r="P19" s="134"/>
      <c r="Q19" s="134"/>
      <c r="R19" s="134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5">
        <v>1</v>
      </c>
      <c r="H20" s="76">
        <v>50</v>
      </c>
      <c r="J20" s="134"/>
      <c r="K20" s="134"/>
      <c r="L20" s="134" t="str">
        <f t="shared" si="4"/>
        <v>FTE-TRABIO</v>
      </c>
      <c r="M20" s="135" t="str">
        <f t="shared" si="5"/>
        <v>Sector Fuel Technology Existing Transport Biofuels</v>
      </c>
      <c r="N20" s="134" t="str">
        <f t="shared" si="6"/>
        <v>PJ</v>
      </c>
      <c r="O20" s="134" t="str">
        <f t="shared" si="7"/>
        <v>PJa</v>
      </c>
      <c r="P20" s="134"/>
      <c r="Q20" s="134"/>
      <c r="R20" s="134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5">
        <v>1</v>
      </c>
      <c r="H21" s="76">
        <v>50</v>
      </c>
      <c r="J21" s="134"/>
      <c r="K21" s="134"/>
      <c r="L21" s="134" t="str">
        <f t="shared" si="4"/>
        <v>FTE-TRAELC</v>
      </c>
      <c r="M21" s="135" t="str">
        <f t="shared" si="5"/>
        <v>Sector Fuel Technology Existing Transport Electricity</v>
      </c>
      <c r="N21" s="134" t="str">
        <f t="shared" si="6"/>
        <v>PJ</v>
      </c>
      <c r="O21" s="134" t="str">
        <f t="shared" si="7"/>
        <v>PJa</v>
      </c>
      <c r="P21" s="134" t="s">
        <v>123</v>
      </c>
      <c r="Q21" s="134"/>
      <c r="R21" s="134"/>
    </row>
    <row r="22" spans="2:18" x14ac:dyDescent="0.2">
      <c r="B22" s="6"/>
      <c r="C22" s="6"/>
      <c r="D22" s="6"/>
      <c r="E22" s="16"/>
      <c r="F22" s="16"/>
      <c r="G22" s="82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2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2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2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07"/>
      <c r="F26" s="16"/>
      <c r="G26" s="82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07"/>
      <c r="F27" s="16"/>
      <c r="G27" s="82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07"/>
      <c r="F28" s="16"/>
      <c r="G28" s="82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07"/>
      <c r="F29" s="16"/>
      <c r="G29" s="82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2"/>
      <c r="H30" s="15"/>
    </row>
    <row r="31" spans="2:18" x14ac:dyDescent="0.2">
      <c r="B31" s="32"/>
      <c r="C31" s="6"/>
      <c r="D31" s="31"/>
      <c r="E31" s="16"/>
      <c r="F31" s="16"/>
      <c r="G31" s="82"/>
      <c r="H31" s="15"/>
    </row>
    <row r="35" spans="2:3" x14ac:dyDescent="0.2">
      <c r="B35" s="54"/>
      <c r="C35" s="1" t="s">
        <v>156</v>
      </c>
    </row>
    <row r="36" spans="2:3" x14ac:dyDescent="0.2">
      <c r="B36" s="74"/>
      <c r="C36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2"/>
  <sheetViews>
    <sheetView topLeftCell="A2" zoomScale="90" zoomScaleNormal="90" workbookViewId="0">
      <selection activeCell="S18" sqref="S18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141</v>
      </c>
      <c r="H1" s="12" t="s">
        <v>100</v>
      </c>
      <c r="I1" s="40"/>
    </row>
    <row r="2" spans="2:23" ht="31.5" x14ac:dyDescent="0.25">
      <c r="B2" s="14" t="str">
        <f>'EB2'!B9</f>
        <v>TRA</v>
      </c>
      <c r="C2" s="14" t="str">
        <f>'EB2'!C9</f>
        <v>Transport</v>
      </c>
      <c r="D2" s="22" t="s">
        <v>115</v>
      </c>
      <c r="E2" s="14" t="str">
        <f>'EB2'!Z2</f>
        <v>PJ</v>
      </c>
      <c r="F2" s="14" t="str">
        <f>'EB2'!Y2</f>
        <v>M€2005</v>
      </c>
      <c r="G2" s="41" t="s">
        <v>142</v>
      </c>
      <c r="H2" s="14" t="s">
        <v>101</v>
      </c>
      <c r="I2" s="13"/>
      <c r="O2" s="129" t="s">
        <v>14</v>
      </c>
      <c r="P2" s="129"/>
      <c r="Q2" s="130"/>
      <c r="R2" s="130"/>
      <c r="S2" s="130"/>
      <c r="T2" s="130"/>
      <c r="U2" s="130"/>
      <c r="V2" s="130"/>
      <c r="W2" s="130"/>
    </row>
    <row r="3" spans="2:23" x14ac:dyDescent="0.2">
      <c r="O3" s="131" t="s">
        <v>7</v>
      </c>
      <c r="P3" s="132" t="s">
        <v>30</v>
      </c>
      <c r="Q3" s="131" t="s">
        <v>0</v>
      </c>
      <c r="R3" s="131" t="s">
        <v>3</v>
      </c>
      <c r="S3" s="131" t="s">
        <v>4</v>
      </c>
      <c r="T3" s="131" t="s">
        <v>8</v>
      </c>
      <c r="U3" s="131" t="s">
        <v>9</v>
      </c>
      <c r="V3" s="131" t="s">
        <v>10</v>
      </c>
      <c r="W3" s="131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3" t="s">
        <v>37</v>
      </c>
      <c r="P4" s="133" t="s">
        <v>31</v>
      </c>
      <c r="Q4" s="133" t="s">
        <v>26</v>
      </c>
      <c r="R4" s="133" t="s">
        <v>27</v>
      </c>
      <c r="S4" s="133" t="s">
        <v>4</v>
      </c>
      <c r="T4" s="133" t="s">
        <v>40</v>
      </c>
      <c r="U4" s="133" t="s">
        <v>41</v>
      </c>
      <c r="V4" s="133" t="s">
        <v>28</v>
      </c>
      <c r="W4" s="133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38" t="s">
        <v>83</v>
      </c>
      <c r="P5" s="134"/>
      <c r="Q5" s="138" t="str">
        <f>LEFT($O$5,1)&amp;LEFT($B$2,1)&amp;'EB2'!$C$25</f>
        <v>DTCAR</v>
      </c>
      <c r="R5" s="138" t="str">
        <f>LEFT($D$2,6)&amp;" "&amp;$C$2&amp; " Sector - "&amp;'EB2'!$X$25</f>
        <v>Demand Transport Sector - Cars</v>
      </c>
      <c r="S5" s="143" t="s">
        <v>180</v>
      </c>
      <c r="T5" s="138"/>
      <c r="U5" s="138"/>
      <c r="V5" s="138"/>
      <c r="W5" s="138"/>
    </row>
    <row r="6" spans="2:23" s="6" customFormat="1" ht="15.75" x14ac:dyDescent="0.25">
      <c r="B6" s="13"/>
      <c r="C6" s="13"/>
      <c r="D6" s="13"/>
      <c r="E6" s="13"/>
      <c r="F6" s="13"/>
      <c r="L6" s="38"/>
      <c r="O6" s="138"/>
      <c r="P6" s="134"/>
      <c r="Q6" s="138" t="str">
        <f>LEFT($O$5,1)&amp;LEFT($B$2,1)&amp;'EB2'!$C$26</f>
        <v>DTPUB</v>
      </c>
      <c r="R6" s="138" t="str">
        <f>LEFT($D$2,6)&amp;" "&amp;$C$2&amp; " Sector - "&amp;'EB2'!$X$26</f>
        <v>Demand Transport Sector - Pub</v>
      </c>
      <c r="S6" s="143" t="s">
        <v>180</v>
      </c>
      <c r="T6" s="138"/>
      <c r="U6" s="138"/>
      <c r="V6" s="138"/>
      <c r="W6" s="138"/>
    </row>
    <row r="7" spans="2:23" x14ac:dyDescent="0.2">
      <c r="O7" s="136" t="s">
        <v>105</v>
      </c>
      <c r="P7" s="136"/>
      <c r="Q7" s="136" t="str">
        <f>$B$2&amp;'EB2'!$C$29</f>
        <v>TRACO2</v>
      </c>
      <c r="R7" s="136" t="str">
        <f>$C$2&amp;" "&amp;'EB2'!$C$30</f>
        <v>Transport Carbon dioxide</v>
      </c>
      <c r="S7" s="136" t="str">
        <f>'EB2'!$AA$2</f>
        <v>kt</v>
      </c>
      <c r="T7" s="136"/>
      <c r="U7" s="136"/>
      <c r="V7" s="136"/>
      <c r="W7" s="136"/>
    </row>
    <row r="9" spans="2:23" x14ac:dyDescent="0.2">
      <c r="D9" s="5" t="s">
        <v>13</v>
      </c>
      <c r="E9" s="5"/>
      <c r="G9" s="5"/>
      <c r="I9" s="4"/>
      <c r="J9" s="18"/>
      <c r="O9" s="129" t="s">
        <v>15</v>
      </c>
      <c r="P9" s="129"/>
      <c r="Q9" s="136"/>
      <c r="R9" s="136"/>
      <c r="S9" s="136"/>
      <c r="T9" s="136"/>
      <c r="U9" s="136"/>
      <c r="V9" s="136"/>
      <c r="W9" s="136"/>
    </row>
    <row r="10" spans="2:23" x14ac:dyDescent="0.2">
      <c r="B10" s="21" t="s">
        <v>1</v>
      </c>
      <c r="C10" s="21" t="s">
        <v>5</v>
      </c>
      <c r="D10" s="21" t="s">
        <v>6</v>
      </c>
      <c r="E10" s="83" t="s">
        <v>125</v>
      </c>
      <c r="F10" s="83" t="s">
        <v>85</v>
      </c>
      <c r="G10" s="83" t="s">
        <v>98</v>
      </c>
      <c r="H10" s="83" t="s">
        <v>144</v>
      </c>
      <c r="I10" s="83" t="s">
        <v>84</v>
      </c>
      <c r="J10" s="83" t="s">
        <v>79</v>
      </c>
      <c r="K10" s="83" t="s">
        <v>175</v>
      </c>
      <c r="L10" s="35"/>
      <c r="M10" s="39" t="s">
        <v>118</v>
      </c>
      <c r="O10" s="131" t="s">
        <v>11</v>
      </c>
      <c r="P10" s="132" t="s">
        <v>30</v>
      </c>
      <c r="Q10" s="131" t="s">
        <v>1</v>
      </c>
      <c r="R10" s="131" t="s">
        <v>2</v>
      </c>
      <c r="S10" s="131" t="s">
        <v>16</v>
      </c>
      <c r="T10" s="131" t="s">
        <v>17</v>
      </c>
      <c r="U10" s="131" t="s">
        <v>18</v>
      </c>
      <c r="V10" s="131" t="s">
        <v>19</v>
      </c>
      <c r="W10" s="131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97" t="s">
        <v>99</v>
      </c>
      <c r="H11" s="97" t="s">
        <v>146</v>
      </c>
      <c r="I11" s="20" t="s">
        <v>96</v>
      </c>
      <c r="J11" s="20" t="s">
        <v>174</v>
      </c>
      <c r="K11" s="20" t="s">
        <v>176</v>
      </c>
      <c r="L11" s="42"/>
      <c r="M11" s="127" t="s">
        <v>35</v>
      </c>
      <c r="O11" s="133" t="s">
        <v>38</v>
      </c>
      <c r="P11" s="133" t="s">
        <v>31</v>
      </c>
      <c r="Q11" s="133" t="s">
        <v>21</v>
      </c>
      <c r="R11" s="133" t="s">
        <v>22</v>
      </c>
      <c r="S11" s="133" t="s">
        <v>23</v>
      </c>
      <c r="T11" s="133" t="s">
        <v>24</v>
      </c>
      <c r="U11" s="133" t="s">
        <v>43</v>
      </c>
      <c r="V11" s="133" t="s">
        <v>42</v>
      </c>
      <c r="W11" s="133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177</v>
      </c>
      <c r="G12" s="87" t="s">
        <v>148</v>
      </c>
      <c r="H12" s="85" t="s">
        <v>145</v>
      </c>
      <c r="I12" s="17" t="str">
        <f>$F$2&amp;"/"&amp;G2&amp;"a"</f>
        <v>M€2005/000_Unitsa</v>
      </c>
      <c r="J12" s="17" t="s">
        <v>92</v>
      </c>
      <c r="K12" s="17" t="s">
        <v>178</v>
      </c>
      <c r="L12" s="42"/>
      <c r="M12" s="128" t="s">
        <v>179</v>
      </c>
      <c r="O12" s="133" t="s">
        <v>81</v>
      </c>
      <c r="P12" s="133"/>
      <c r="Q12" s="133"/>
      <c r="R12" s="133"/>
      <c r="S12" s="133"/>
      <c r="T12" s="133"/>
      <c r="U12" s="133"/>
      <c r="V12" s="133"/>
      <c r="W12" s="133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3">
        <f>('EB2'!E$9*'EB2'!$E$25*F13/(K13*G13))*1.01</f>
        <v>349.51569428571423</v>
      </c>
      <c r="F13" s="54">
        <v>0.38</v>
      </c>
      <c r="G13" s="54">
        <v>14</v>
      </c>
      <c r="H13" s="77">
        <v>1.25</v>
      </c>
      <c r="I13" s="77">
        <v>0.16</v>
      </c>
      <c r="J13" s="54">
        <v>10</v>
      </c>
      <c r="K13" s="80">
        <v>1E-3</v>
      </c>
      <c r="M13" s="39">
        <f>E13*G13*K13*H13</f>
        <v>6.1165246499999988</v>
      </c>
      <c r="O13" s="138" t="s">
        <v>97</v>
      </c>
      <c r="P13" s="134"/>
      <c r="Q13" s="134" t="str">
        <f>LEFT($B$2)&amp;'EB2'!$C$25&amp;$H$2&amp;'EB2'!$E$2</f>
        <v>TCAREGAS</v>
      </c>
      <c r="R13" s="135" t="str">
        <f>$D$2&amp;" "&amp;$C$2&amp; " Sector - "&amp;""&amp;$H$1&amp;" "&amp;'EB2'!$X$25&amp;" - "&amp;'EB2'!$E$3</f>
        <v>Demand Technologies Transport Sector - Existing Cars - Natural Gas</v>
      </c>
      <c r="S13" s="138" t="s">
        <v>180</v>
      </c>
      <c r="T13" s="138" t="str">
        <f t="shared" ref="T13:T24" si="3">$G$2</f>
        <v>000_Units</v>
      </c>
      <c r="U13" s="134"/>
      <c r="V13" s="138" t="s">
        <v>143</v>
      </c>
      <c r="W13" s="134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3">
        <f>('EB2'!G$9*'EB2'!$G$25*F14/(K14*G14))*1.01</f>
        <v>87102.97230272727</v>
      </c>
      <c r="F14" s="77">
        <v>0.41</v>
      </c>
      <c r="G14" s="72">
        <v>16.5</v>
      </c>
      <c r="H14" s="77">
        <v>1.25</v>
      </c>
      <c r="I14" s="77">
        <v>0.16</v>
      </c>
      <c r="J14" s="54">
        <v>10</v>
      </c>
      <c r="K14" s="80">
        <v>1E-3</v>
      </c>
      <c r="M14" s="39">
        <f t="shared" ref="M14:M22" si="4">E14*G14*K14*H14</f>
        <v>1796.4988037437502</v>
      </c>
      <c r="O14" s="134"/>
      <c r="P14" s="134"/>
      <c r="Q14" s="134" t="str">
        <f>LEFT($B$2)&amp;'EB2'!$C$25&amp;$H$2&amp;'EB2'!$G$2</f>
        <v>TCAREDSL</v>
      </c>
      <c r="R14" s="135" t="str">
        <f>$D$2&amp;" "&amp;$C$2&amp; " Sector - "&amp;""&amp;$H$1&amp;" "&amp;'EB2'!$X$25&amp;" - "&amp;'EB2'!$G$3</f>
        <v>Demand Technologies Transport Sector - Existing Cars - Diesel oil</v>
      </c>
      <c r="S14" s="143" t="s">
        <v>180</v>
      </c>
      <c r="T14" s="138" t="str">
        <f t="shared" si="3"/>
        <v>000_Units</v>
      </c>
      <c r="U14" s="134"/>
      <c r="V14" s="138" t="s">
        <v>143</v>
      </c>
      <c r="W14" s="134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3">
        <f>('EB2'!I$9*'EB2'!$I$25*F15/(K15*G15))*1.01</f>
        <v>2583.2755571428575</v>
      </c>
      <c r="F15" s="77">
        <v>0.38</v>
      </c>
      <c r="G15" s="72">
        <v>14</v>
      </c>
      <c r="H15" s="77">
        <v>1.25</v>
      </c>
      <c r="I15" s="81">
        <v>0.16</v>
      </c>
      <c r="J15" s="54">
        <v>10</v>
      </c>
      <c r="K15" s="80">
        <v>1E-3</v>
      </c>
      <c r="M15" s="39">
        <f t="shared" si="4"/>
        <v>45.207322250000004</v>
      </c>
      <c r="O15" s="134"/>
      <c r="P15" s="134"/>
      <c r="Q15" s="134" t="str">
        <f>LEFT($B$2)&amp;'EB2'!$C$25&amp;$H$2&amp;'EB2'!$I$2</f>
        <v>TCARELPG</v>
      </c>
      <c r="R15" s="135" t="str">
        <f>$D$2&amp;" "&amp;$C$2&amp; " Sector - "&amp;""&amp;$H$1&amp;" "&amp;'EB2'!$X$25&amp;" - "&amp;'EB2'!$I$3</f>
        <v>Demand Technologies Transport Sector - Existing Cars - LPG</v>
      </c>
      <c r="S15" s="143" t="s">
        <v>180</v>
      </c>
      <c r="T15" s="138" t="str">
        <f t="shared" si="3"/>
        <v>000_Units</v>
      </c>
      <c r="U15" s="134"/>
      <c r="V15" s="138" t="s">
        <v>143</v>
      </c>
      <c r="W15" s="134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3">
        <f>('EB2'!J$9*'EB2'!$J$25*F16/(K16*G16))*1.01</f>
        <v>84109.849043478273</v>
      </c>
      <c r="F16" s="78">
        <v>0.4</v>
      </c>
      <c r="G16" s="79">
        <v>11.5</v>
      </c>
      <c r="H16" s="77">
        <v>1.25</v>
      </c>
      <c r="I16" s="77">
        <v>0.15</v>
      </c>
      <c r="J16" s="54">
        <v>10</v>
      </c>
      <c r="K16" s="80">
        <v>1E-3</v>
      </c>
      <c r="M16" s="39">
        <f t="shared" si="4"/>
        <v>1209.07908</v>
      </c>
      <c r="O16" s="134"/>
      <c r="P16" s="134"/>
      <c r="Q16" s="134" t="str">
        <f>LEFT($B$2)&amp;'EB2'!$C$25&amp;$H$2&amp;'EB2'!$J$2</f>
        <v>TCAREGSL</v>
      </c>
      <c r="R16" s="139" t="str">
        <f>$D$2&amp;" "&amp;$C$2&amp; " Sector - "&amp;""&amp;$H$1&amp;" "&amp;'EB2'!$X$25&amp;" - "&amp;'EB2'!$J$3</f>
        <v>Demand Technologies Transport Sector - Existing Cars - Motor spirit</v>
      </c>
      <c r="S16" s="143" t="s">
        <v>180</v>
      </c>
      <c r="T16" s="138" t="str">
        <f t="shared" si="3"/>
        <v>000_Units</v>
      </c>
      <c r="U16" s="134"/>
      <c r="V16" s="138" t="s">
        <v>143</v>
      </c>
      <c r="W16" s="134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3">
        <f>('EB2'!O$9*'EB2'!$O$25*F17/(K17*G17))*1.01</f>
        <v>707.00000000000011</v>
      </c>
      <c r="F17" s="78">
        <v>0.4</v>
      </c>
      <c r="G17" s="79">
        <v>11.5</v>
      </c>
      <c r="H17" s="77">
        <v>1.25</v>
      </c>
      <c r="I17" s="77">
        <v>0.15</v>
      </c>
      <c r="J17" s="54">
        <v>10</v>
      </c>
      <c r="K17" s="80">
        <v>1E-3</v>
      </c>
      <c r="M17" s="39">
        <f>E17*G17*K17*H17</f>
        <v>10.163125000000001</v>
      </c>
      <c r="O17" s="134"/>
      <c r="P17" s="134"/>
      <c r="Q17" s="134" t="str">
        <f>LEFT($B$2)&amp;'EB2'!$C$25&amp;$H$2&amp;'EB2'!$O$2</f>
        <v>TCAREBIO</v>
      </c>
      <c r="R17" s="139" t="str">
        <f>$D$2&amp;" "&amp;$C$2&amp; " Sector - "&amp;""&amp;$H$1&amp;" "&amp;'EB2'!$X$25&amp;" - "&amp;'EB2'!$O$3</f>
        <v>Demand Technologies Transport Sector - Existing Cars - Biofuels</v>
      </c>
      <c r="S17" s="143" t="s">
        <v>180</v>
      </c>
      <c r="T17" s="138" t="str">
        <f t="shared" si="3"/>
        <v>000_Units</v>
      </c>
      <c r="U17" s="134"/>
      <c r="V17" s="138" t="s">
        <v>143</v>
      </c>
      <c r="W17" s="134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89">
        <f>('EB2'!U$9*'EB2'!$U$25*F18/(K18*G18))*1.01</f>
        <v>0</v>
      </c>
      <c r="F18" s="108">
        <v>0.4</v>
      </c>
      <c r="G18" s="109">
        <v>11.5</v>
      </c>
      <c r="H18" s="110">
        <v>1.25</v>
      </c>
      <c r="I18" s="110">
        <v>0.15</v>
      </c>
      <c r="J18" s="111">
        <v>10</v>
      </c>
      <c r="K18" s="112">
        <v>1E-3</v>
      </c>
      <c r="L18" s="113"/>
      <c r="M18" s="114">
        <f t="shared" si="4"/>
        <v>0</v>
      </c>
      <c r="O18" s="140"/>
      <c r="P18" s="140"/>
      <c r="Q18" s="140" t="str">
        <f>LEFT($B$2)&amp;'EB2'!$C$25&amp;$H$2&amp;'EB2'!$U$2</f>
        <v>TCAREELC</v>
      </c>
      <c r="R18" s="141" t="str">
        <f>$D$2&amp;" "&amp;$C$2&amp; " Sector - "&amp;""&amp;$H$1&amp;" "&amp;'EB2'!$X$25&amp;" - "&amp;'EB2'!$U$3</f>
        <v>Demand Technologies Transport Sector - Existing Cars - Electricity</v>
      </c>
      <c r="S18" s="142" t="s">
        <v>180</v>
      </c>
      <c r="T18" s="142" t="str">
        <f t="shared" si="3"/>
        <v>000_Units</v>
      </c>
      <c r="U18" s="140"/>
      <c r="V18" s="142" t="s">
        <v>143</v>
      </c>
      <c r="W18" s="140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3">
        <f>('EB2'!E$9*'EB2'!$E$26*F19/(K19*G19))*1.01</f>
        <v>0</v>
      </c>
      <c r="F19" s="77">
        <v>0.1</v>
      </c>
      <c r="G19" s="54">
        <v>50</v>
      </c>
      <c r="H19" s="77">
        <v>15</v>
      </c>
      <c r="I19" s="77">
        <v>0.24</v>
      </c>
      <c r="J19" s="54">
        <v>30</v>
      </c>
      <c r="K19" s="80">
        <v>1E-3</v>
      </c>
      <c r="M19" s="39">
        <f>E19*G19*K19*H19</f>
        <v>0</v>
      </c>
      <c r="O19" s="134"/>
      <c r="P19" s="134"/>
      <c r="Q19" s="134" t="str">
        <f>LEFT($B$2)&amp;'EB2'!$C$26&amp;$H$2&amp;'EB2'!$E$2</f>
        <v>TPUBEGAS</v>
      </c>
      <c r="R19" s="135" t="str">
        <f>$D$2&amp;" "&amp;$C$2&amp; " Sector - "&amp;""&amp;$H$1&amp;" "&amp;'EB2'!$X$26&amp;" - "&amp;'EB2'!$E$3</f>
        <v>Demand Technologies Transport Sector - Existing Pub - Natural Gas</v>
      </c>
      <c r="S19" s="143" t="s">
        <v>180</v>
      </c>
      <c r="T19" s="138" t="str">
        <f t="shared" si="3"/>
        <v>000_Units</v>
      </c>
      <c r="U19" s="134"/>
      <c r="V19" s="138" t="s">
        <v>143</v>
      </c>
      <c r="W19" s="134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3">
        <f>('EB2'!G$9*'EB2'!$G$26*F20/(K20*G20))*1.01</f>
        <v>1168.4545064999998</v>
      </c>
      <c r="F20" s="77">
        <v>0.15</v>
      </c>
      <c r="G20" s="72">
        <v>50</v>
      </c>
      <c r="H20" s="77">
        <v>15</v>
      </c>
      <c r="I20" s="77">
        <v>0.24</v>
      </c>
      <c r="J20" s="54">
        <v>30</v>
      </c>
      <c r="K20" s="80">
        <v>1E-3</v>
      </c>
      <c r="M20" s="39">
        <f>E20*G20*K20*H20</f>
        <v>876.34087987499981</v>
      </c>
      <c r="O20" s="134"/>
      <c r="P20" s="134"/>
      <c r="Q20" s="134" t="str">
        <f>LEFT($B$2)&amp;'EB2'!$C$26&amp;$H$2&amp;'EB2'!$G$2</f>
        <v>TPUBEDSL</v>
      </c>
      <c r="R20" s="135" t="str">
        <f>$D$2&amp;" "&amp;$C$2&amp; " Sector - "&amp;""&amp;$H$1&amp;" "&amp;'EB2'!$X$26&amp;" - "&amp;'EB2'!$G$3</f>
        <v>Demand Technologies Transport Sector - Existing Pub - Diesel oil</v>
      </c>
      <c r="S20" s="143" t="s">
        <v>180</v>
      </c>
      <c r="T20" s="138" t="str">
        <f t="shared" si="3"/>
        <v>000_Units</v>
      </c>
      <c r="U20" s="134"/>
      <c r="V20" s="138" t="s">
        <v>143</v>
      </c>
      <c r="W20" s="134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3">
        <f>('EB2'!I$9*'EB2'!$I$26*F21/(K21*G21))*1.01</f>
        <v>0</v>
      </c>
      <c r="F21" s="77">
        <v>0.1</v>
      </c>
      <c r="G21" s="72">
        <v>50</v>
      </c>
      <c r="H21" s="77">
        <v>15</v>
      </c>
      <c r="I21" s="81">
        <v>0.24</v>
      </c>
      <c r="J21" s="54">
        <v>30</v>
      </c>
      <c r="K21" s="80">
        <v>1E-3</v>
      </c>
      <c r="M21" s="39">
        <f>E21*G21*K21*H21</f>
        <v>0</v>
      </c>
      <c r="O21" s="134"/>
      <c r="P21" s="134"/>
      <c r="Q21" s="134" t="str">
        <f>LEFT($B$2)&amp;'EB2'!$C$26&amp;$H$2&amp;'EB2'!$I$2</f>
        <v>TPUBELPG</v>
      </c>
      <c r="R21" s="135" t="str">
        <f>$D$2&amp;" "&amp;$C$2&amp; " Sector - "&amp;""&amp;$H$1&amp;" "&amp;'EB2'!$X$26&amp;" - "&amp;'EB2'!$I$3</f>
        <v>Demand Technologies Transport Sector - Existing Pub - LPG</v>
      </c>
      <c r="S21" s="143" t="s">
        <v>180</v>
      </c>
      <c r="T21" s="138" t="str">
        <f t="shared" si="3"/>
        <v>000_Units</v>
      </c>
      <c r="U21" s="134"/>
      <c r="V21" s="138" t="s">
        <v>143</v>
      </c>
      <c r="W21" s="134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3">
        <f>('EB2'!J$9*'EB2'!$J$26*F22/(K22*G22))*1.01</f>
        <v>0</v>
      </c>
      <c r="F22" s="78">
        <v>0.15</v>
      </c>
      <c r="G22" s="79">
        <v>20</v>
      </c>
      <c r="H22" s="77">
        <v>15</v>
      </c>
      <c r="I22" s="77">
        <v>0.22499999999999998</v>
      </c>
      <c r="J22" s="54">
        <v>30</v>
      </c>
      <c r="K22" s="80">
        <v>1E-3</v>
      </c>
      <c r="M22" s="39">
        <f t="shared" si="4"/>
        <v>0</v>
      </c>
      <c r="O22" s="134"/>
      <c r="P22" s="134"/>
      <c r="Q22" s="134" t="str">
        <f>LEFT($B$2)&amp;'EB2'!$C$26&amp;$H$2&amp;'EB2'!$J$2</f>
        <v>TPUBEGSL</v>
      </c>
      <c r="R22" s="139" t="str">
        <f>$D$2&amp;" "&amp;$C$2&amp; " Sector - "&amp;""&amp;$H$1&amp;" "&amp;'EB2'!$X$26&amp;" - "&amp;'EB2'!$J$3</f>
        <v>Demand Technologies Transport Sector - Existing Pub - Motor spirit</v>
      </c>
      <c r="S22" s="143" t="s">
        <v>180</v>
      </c>
      <c r="T22" s="138" t="str">
        <f t="shared" si="3"/>
        <v>000_Units</v>
      </c>
      <c r="U22" s="134"/>
      <c r="V22" s="138" t="s">
        <v>143</v>
      </c>
      <c r="W22" s="134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3">
        <f>('EB2'!O$9*'EB2'!$O$26*F23/(K23*G23))*1.01</f>
        <v>152.44687500000001</v>
      </c>
      <c r="F23" s="78">
        <v>0.15</v>
      </c>
      <c r="G23" s="79">
        <v>20</v>
      </c>
      <c r="H23" s="77">
        <v>15</v>
      </c>
      <c r="I23" s="77">
        <v>0.22499999999999998</v>
      </c>
      <c r="J23" s="54">
        <v>30</v>
      </c>
      <c r="K23" s="80">
        <v>1E-3</v>
      </c>
      <c r="M23" s="39">
        <f>E23*G23*K23*H23</f>
        <v>45.7340625</v>
      </c>
      <c r="O23" s="134"/>
      <c r="P23" s="134"/>
      <c r="Q23" s="134" t="str">
        <f>LEFT($B$2)&amp;'EB2'!$C$26&amp;$H$2&amp;'EB2'!$O$2</f>
        <v>TPUBEBIO</v>
      </c>
      <c r="R23" s="139" t="str">
        <f>$D$2&amp;" "&amp;$C$2&amp; " Sector - "&amp;""&amp;$H$1&amp;" "&amp;'EB2'!$X$26&amp;" - "&amp;'EB2'!$O$3</f>
        <v>Demand Technologies Transport Sector - Existing Pub - Biofuels</v>
      </c>
      <c r="S23" s="143" t="s">
        <v>180</v>
      </c>
      <c r="T23" s="138" t="str">
        <f t="shared" si="3"/>
        <v>000_Units</v>
      </c>
      <c r="U23" s="134"/>
      <c r="V23" s="138" t="s">
        <v>143</v>
      </c>
      <c r="W23" s="134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89">
        <f>('EB2'!U$9*'EB2'!$U$26*F24/(K24*G24))*1.01</f>
        <v>40.294757999999995</v>
      </c>
      <c r="F24" s="108">
        <v>0.03</v>
      </c>
      <c r="G24" s="109">
        <v>100</v>
      </c>
      <c r="H24" s="110">
        <v>200</v>
      </c>
      <c r="I24" s="110">
        <v>0.22499999999999998</v>
      </c>
      <c r="J24" s="111">
        <v>30</v>
      </c>
      <c r="K24" s="112">
        <v>1E-3</v>
      </c>
      <c r="M24" s="114">
        <f>E24*G24*K24*H24</f>
        <v>805.89515999999981</v>
      </c>
      <c r="O24" s="140"/>
      <c r="P24" s="140"/>
      <c r="Q24" s="140" t="str">
        <f>LEFT($B$2)&amp;'EB2'!$C$26&amp;$H$2&amp;'EB2'!$U$2</f>
        <v>TPUBEELC</v>
      </c>
      <c r="R24" s="141" t="str">
        <f>$D$2&amp;" "&amp;$C$2&amp; " Sector - "&amp;""&amp;$H$1&amp;" "&amp;'EB2'!$X$26&amp;" - "&amp;'EB2'!$U$3</f>
        <v>Demand Technologies Transport Sector - Existing Pub - Electricity</v>
      </c>
      <c r="S24" s="142" t="s">
        <v>180</v>
      </c>
      <c r="T24" s="142" t="str">
        <f t="shared" si="3"/>
        <v>000_Units</v>
      </c>
      <c r="U24" s="140"/>
      <c r="V24" s="142" t="s">
        <v>143</v>
      </c>
      <c r="W24" s="140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4"/>
      <c r="C27" s="1" t="s">
        <v>156</v>
      </c>
      <c r="K27" s="1"/>
      <c r="L27" s="11"/>
      <c r="M27" s="1"/>
    </row>
    <row r="28" spans="1:23" x14ac:dyDescent="0.2">
      <c r="B28" s="74"/>
      <c r="C28" s="1" t="s">
        <v>157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24"/>
  <sheetViews>
    <sheetView workbookViewId="0">
      <selection activeCell="G6" sqref="G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3.140625" bestFit="1" customWidth="1"/>
    <col min="8" max="20" width="4.5703125" bestFit="1" customWidth="1"/>
  </cols>
  <sheetData>
    <row r="1" spans="2:19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19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'EB2'!Y2</f>
        <v>M€2005</v>
      </c>
    </row>
    <row r="5" spans="2:19" x14ac:dyDescent="0.2">
      <c r="C5" s="3" t="s">
        <v>13</v>
      </c>
      <c r="D5" s="3"/>
      <c r="E5" s="1"/>
      <c r="G5" s="3" t="s">
        <v>193</v>
      </c>
      <c r="H5" s="1"/>
    </row>
    <row r="6" spans="2:19" x14ac:dyDescent="0.2">
      <c r="B6" s="2" t="s">
        <v>80</v>
      </c>
      <c r="C6" s="2" t="s">
        <v>0</v>
      </c>
      <c r="D6" s="2" t="s">
        <v>149</v>
      </c>
      <c r="E6" s="88">
        <v>2005</v>
      </c>
      <c r="G6" s="2" t="s">
        <v>0</v>
      </c>
      <c r="H6" s="146" t="s">
        <v>182</v>
      </c>
      <c r="I6" s="146" t="s">
        <v>183</v>
      </c>
      <c r="J6" s="146" t="s">
        <v>184</v>
      </c>
      <c r="K6" s="146" t="s">
        <v>119</v>
      </c>
      <c r="L6" s="146" t="s">
        <v>120</v>
      </c>
      <c r="M6" s="146" t="s">
        <v>185</v>
      </c>
      <c r="N6" s="146" t="s">
        <v>186</v>
      </c>
      <c r="O6" s="146" t="s">
        <v>187</v>
      </c>
      <c r="P6" s="146" t="s">
        <v>188</v>
      </c>
      <c r="Q6" s="146" t="s">
        <v>121</v>
      </c>
      <c r="R6" s="146" t="s">
        <v>122</v>
      </c>
      <c r="S6" s="146" t="s">
        <v>189</v>
      </c>
    </row>
    <row r="7" spans="2:19" ht="22.5" x14ac:dyDescent="0.2">
      <c r="B7" s="20" t="s">
        <v>81</v>
      </c>
      <c r="C7" s="20" t="s">
        <v>82</v>
      </c>
      <c r="D7" s="20" t="s">
        <v>150</v>
      </c>
      <c r="E7" s="84" t="s">
        <v>36</v>
      </c>
      <c r="G7" s="145" t="s">
        <v>192</v>
      </c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2:19" ht="13.5" thickBot="1" x14ac:dyDescent="0.25">
      <c r="B8" s="19" t="s">
        <v>91</v>
      </c>
      <c r="C8" s="19"/>
      <c r="D8" s="19"/>
      <c r="E8" s="17" t="str">
        <f>E2</f>
        <v>BPkm</v>
      </c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2:19" x14ac:dyDescent="0.2">
      <c r="B9" s="8" t="s">
        <v>35</v>
      </c>
      <c r="C9" s="8" t="str">
        <f>DemTechs_TRA!$Q$5</f>
        <v>DTCAR</v>
      </c>
      <c r="D9" s="25" t="s">
        <v>181</v>
      </c>
      <c r="E9" s="72">
        <f>SUM(DemTechs_TRA!M13:M18)</f>
        <v>3067.06485564375</v>
      </c>
      <c r="G9" s="8" t="s">
        <v>190</v>
      </c>
      <c r="H9" s="148">
        <v>9.417808219178081E-2</v>
      </c>
      <c r="I9" s="148">
        <v>0.10273972602739725</v>
      </c>
      <c r="J9" s="148">
        <v>8.5616438356164379E-3</v>
      </c>
      <c r="K9" s="148">
        <v>0.12682648401826482</v>
      </c>
      <c r="L9" s="148">
        <v>0.13835616438356163</v>
      </c>
      <c r="M9" s="148">
        <v>1.1529680365296802E-2</v>
      </c>
      <c r="N9" s="148">
        <v>9.9200913242009123E-2</v>
      </c>
      <c r="O9" s="148">
        <v>0.10821917808219178</v>
      </c>
      <c r="P9" s="148">
        <v>9.0182648401826472E-3</v>
      </c>
      <c r="Q9" s="148">
        <v>0.13812785388127852</v>
      </c>
      <c r="R9" s="148">
        <v>0.15068493150684931</v>
      </c>
      <c r="S9" s="148">
        <v>1.2557077625570776E-2</v>
      </c>
    </row>
    <row r="10" spans="2:19" x14ac:dyDescent="0.2">
      <c r="B10" s="8" t="s">
        <v>35</v>
      </c>
      <c r="C10" s="8" t="str">
        <f>DemTechs_TRA!$Q$6</f>
        <v>DTPUB</v>
      </c>
      <c r="D10" s="25" t="s">
        <v>181</v>
      </c>
      <c r="E10" s="72">
        <f>SUM(DemTechs_TRA!M19:M24)</f>
        <v>1727.9701023749997</v>
      </c>
      <c r="G10" s="8" t="s">
        <v>191</v>
      </c>
      <c r="H10" s="148">
        <v>9.417808219178081E-2</v>
      </c>
      <c r="I10" s="148">
        <v>0.10273972602739725</v>
      </c>
      <c r="J10" s="148">
        <v>8.5616438356164379E-3</v>
      </c>
      <c r="K10" s="148">
        <v>0.12682648401826482</v>
      </c>
      <c r="L10" s="148">
        <v>0.13835616438356163</v>
      </c>
      <c r="M10" s="148">
        <v>1.1529680365296802E-2</v>
      </c>
      <c r="N10" s="148">
        <v>9.9200913242009123E-2</v>
      </c>
      <c r="O10" s="148">
        <v>0.10821917808219178</v>
      </c>
      <c r="P10" s="148">
        <v>9.0182648401826472E-3</v>
      </c>
      <c r="Q10" s="148">
        <v>0.13812785388127852</v>
      </c>
      <c r="R10" s="148">
        <v>0.15068493150684931</v>
      </c>
      <c r="S10" s="148">
        <v>1.2557077625570776E-2</v>
      </c>
    </row>
    <row r="11" spans="2:19" x14ac:dyDescent="0.2">
      <c r="G11" s="38"/>
      <c r="H11" s="147"/>
      <c r="I11" s="116"/>
    </row>
    <row r="12" spans="2:19" x14ac:dyDescent="0.2">
      <c r="E12" s="36"/>
      <c r="G12" s="11"/>
      <c r="H12" s="38"/>
      <c r="I12" s="147"/>
      <c r="J12" s="116"/>
    </row>
    <row r="13" spans="2:19" x14ac:dyDescent="0.2">
      <c r="E13" s="10"/>
      <c r="G13" s="11"/>
      <c r="H13" s="38"/>
      <c r="I13" s="147"/>
      <c r="J13" s="116"/>
    </row>
    <row r="14" spans="2:19" x14ac:dyDescent="0.2">
      <c r="G14" s="11"/>
      <c r="H14" s="38"/>
      <c r="I14" s="147"/>
      <c r="J14" s="116"/>
    </row>
    <row r="15" spans="2:19" x14ac:dyDescent="0.2">
      <c r="E15" s="10"/>
      <c r="G15" s="11"/>
      <c r="H15" s="38"/>
      <c r="I15" s="147"/>
      <c r="J15" s="116"/>
    </row>
    <row r="16" spans="2:19" x14ac:dyDescent="0.2">
      <c r="G16" s="11"/>
      <c r="H16" s="38"/>
      <c r="I16" s="147"/>
      <c r="J16" s="116"/>
    </row>
    <row r="17" spans="2:10" x14ac:dyDescent="0.2">
      <c r="G17" s="38"/>
      <c r="H17" s="38"/>
      <c r="I17" s="38"/>
      <c r="J17" s="38"/>
    </row>
    <row r="23" spans="2:10" x14ac:dyDescent="0.2">
      <c r="B23" s="54"/>
      <c r="C23" s="1" t="s">
        <v>156</v>
      </c>
    </row>
    <row r="24" spans="2:10" x14ac:dyDescent="0.2">
      <c r="B24" s="74"/>
      <c r="C24" s="1" t="s">
        <v>157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I24"/>
  <sheetViews>
    <sheetView tabSelected="1" workbookViewId="0">
      <selection activeCell="F11" sqref="F11"/>
    </sheetView>
  </sheetViews>
  <sheetFormatPr defaultRowHeight="12.75" x14ac:dyDescent="0.2"/>
  <cols>
    <col min="2" max="2" width="14.42578125" customWidth="1"/>
  </cols>
  <sheetData>
    <row r="3" spans="1:9" ht="17.45" customHeight="1" x14ac:dyDescent="0.25">
      <c r="B3" s="45" t="s">
        <v>147</v>
      </c>
      <c r="C3" s="45"/>
      <c r="D3" s="45"/>
      <c r="E3" s="45"/>
      <c r="F3" s="45"/>
      <c r="G3" s="45"/>
      <c r="H3" s="45"/>
    </row>
    <row r="4" spans="1:9" s="6" customFormat="1" ht="17.45" customHeight="1" x14ac:dyDescent="0.25">
      <c r="B4" s="46"/>
      <c r="C4" s="46"/>
      <c r="D4" s="46"/>
      <c r="E4" s="46"/>
      <c r="F4" s="46"/>
      <c r="G4" s="46"/>
    </row>
    <row r="5" spans="1:9" ht="18" x14ac:dyDescent="0.25">
      <c r="B5" s="43" t="s">
        <v>196</v>
      </c>
      <c r="C5" s="44"/>
      <c r="G5" s="38"/>
      <c r="H5" s="38"/>
    </row>
    <row r="6" spans="1:9" ht="13.5" thickBot="1" x14ac:dyDescent="0.25">
      <c r="A6" t="s">
        <v>194</v>
      </c>
      <c r="B6" s="48" t="s">
        <v>0</v>
      </c>
      <c r="C6" s="48" t="str">
        <f>Sector_Fuels_TRA!L5</f>
        <v>TRAGAS</v>
      </c>
      <c r="D6" s="48" t="str">
        <f>Sector_Fuels_TRA!L6</f>
        <v>TRADSL</v>
      </c>
      <c r="E6" s="48" t="str">
        <f>Sector_Fuels_TRA!L7</f>
        <v>TRALPG</v>
      </c>
      <c r="F6" s="48" t="str">
        <f>Sector_Fuels_TRA!L8</f>
        <v>TRAGSL</v>
      </c>
      <c r="G6" s="47"/>
      <c r="H6" s="47"/>
      <c r="I6" s="1"/>
    </row>
    <row r="7" spans="1:9" ht="13.5" thickBot="1" x14ac:dyDescent="0.25">
      <c r="B7" s="19" t="s">
        <v>91</v>
      </c>
      <c r="C7" s="19" t="s">
        <v>155</v>
      </c>
      <c r="D7" s="19" t="s">
        <v>155</v>
      </c>
      <c r="E7" s="19" t="s">
        <v>155</v>
      </c>
      <c r="F7" s="19" t="s">
        <v>155</v>
      </c>
      <c r="G7" s="115"/>
      <c r="H7" s="115"/>
      <c r="I7" s="1"/>
    </row>
    <row r="8" spans="1:9" x14ac:dyDescent="0.2">
      <c r="A8" t="s">
        <v>195</v>
      </c>
      <c r="B8" s="47" t="str">
        <f>DemTechs_TRA!Q7</f>
        <v>TRACO2</v>
      </c>
      <c r="C8" s="77">
        <v>56.1</v>
      </c>
      <c r="D8" s="77">
        <v>75</v>
      </c>
      <c r="E8" s="77">
        <v>64</v>
      </c>
      <c r="F8" s="77">
        <v>73</v>
      </c>
      <c r="G8" s="116"/>
      <c r="H8" s="116"/>
      <c r="I8" s="1"/>
    </row>
    <row r="9" spans="1:9" x14ac:dyDescent="0.2">
      <c r="G9" s="38"/>
      <c r="H9" s="38"/>
    </row>
    <row r="10" spans="1:9" x14ac:dyDescent="0.2">
      <c r="G10" s="38"/>
      <c r="H10" s="38"/>
    </row>
    <row r="23" spans="2:3" x14ac:dyDescent="0.2">
      <c r="B23" s="54"/>
      <c r="C23" s="1" t="s">
        <v>156</v>
      </c>
    </row>
    <row r="24" spans="2:3" x14ac:dyDescent="0.2">
      <c r="B24" s="74"/>
      <c r="C24" s="1" t="s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2021-03-02T10:26:55Z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207409083843231</vt:r8>
  </property>
</Properties>
</file>