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_Models\Demo_Adv_Veda\"/>
    </mc:Choice>
  </mc:AlternateContent>
  <xr:revisionPtr revIDLastSave="0" documentId="13_ncr:1_{45BB00F6-56ED-4E62-8865-399A776B69F3}" xr6:coauthVersionLast="45" xr6:coauthVersionMax="45" xr10:uidLastSave="{00000000-0000-0000-0000-000000000000}"/>
  <bookViews>
    <workbookView xWindow="4815" yWindow="1410" windowWidth="20040" windowHeight="14190" tabRatio="901" activeTab="10" xr2:uid="{00000000-000D-0000-FFFF-FFFF00000000}"/>
  </bookViews>
  <sheets>
    <sheet name="EB1" sheetId="133" r:id="rId1"/>
    <sheet name="RES_PRI" sheetId="135" r:id="rId2"/>
    <sheet name="Pri_COA" sheetId="132" r:id="rId3"/>
    <sheet name="Pri_GAS" sheetId="136" r:id="rId4"/>
    <sheet name="Pri_OIL" sheetId="137" r:id="rId5"/>
    <sheet name="Pri_NUC" sheetId="144" r:id="rId6"/>
    <sheet name="Pri_RNW" sheetId="142" r:id="rId7"/>
    <sheet name="Pri_PP" sheetId="148" r:id="rId8"/>
    <sheet name="Pri_ELC" sheetId="152" r:id="rId9"/>
    <sheet name="Con_REF" sheetId="147" r:id="rId10"/>
    <sheet name="TOTCO2" sheetId="153" r:id="rId11"/>
  </sheets>
  <externalReferences>
    <externalReference r:id="rId12"/>
    <externalReference r:id="rId1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37" l="1"/>
  <c r="F15" i="136"/>
  <c r="F15" i="132"/>
  <c r="F12" i="153"/>
  <c r="D10" i="133"/>
  <c r="E10" i="133"/>
  <c r="E14" i="133" s="1"/>
  <c r="F10" i="133"/>
  <c r="G10" i="133"/>
  <c r="H10" i="133"/>
  <c r="I10" i="133"/>
  <c r="J10" i="133"/>
  <c r="V10" i="133" s="1"/>
  <c r="K10" i="133"/>
  <c r="L10" i="133"/>
  <c r="L14" i="133" s="1"/>
  <c r="M10" i="133"/>
  <c r="N10" i="133"/>
  <c r="O10" i="133"/>
  <c r="O14" i="133" s="1"/>
  <c r="P10" i="133"/>
  <c r="Q10" i="133"/>
  <c r="R10" i="133"/>
  <c r="S10" i="133"/>
  <c r="T10" i="133"/>
  <c r="T14" i="133" s="1"/>
  <c r="U10" i="133"/>
  <c r="U14" i="133" s="1"/>
  <c r="D11" i="133"/>
  <c r="V11" i="133" s="1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V12" i="133" s="1"/>
  <c r="F12" i="133"/>
  <c r="F14" i="133"/>
  <c r="G12" i="133"/>
  <c r="G14" i="133" s="1"/>
  <c r="H12" i="133"/>
  <c r="H14" i="133" s="1"/>
  <c r="I12" i="133"/>
  <c r="I14" i="133" s="1"/>
  <c r="J12" i="133"/>
  <c r="K12" i="133"/>
  <c r="K14" i="133" s="1"/>
  <c r="L12" i="133"/>
  <c r="M12" i="133"/>
  <c r="N12" i="133"/>
  <c r="O12" i="133"/>
  <c r="P12" i="133"/>
  <c r="Q12" i="133"/>
  <c r="R12" i="133"/>
  <c r="S12" i="133"/>
  <c r="T12" i="133"/>
  <c r="U12" i="133"/>
  <c r="D13" i="133"/>
  <c r="E13" i="133"/>
  <c r="V13" i="133" s="1"/>
  <c r="F13" i="133"/>
  <c r="G13" i="133"/>
  <c r="G12" i="147" s="1"/>
  <c r="H13" i="133"/>
  <c r="I13" i="133"/>
  <c r="E14" i="147" s="1"/>
  <c r="J13" i="133"/>
  <c r="K13" i="133"/>
  <c r="E15" i="147" s="1"/>
  <c r="L13" i="133"/>
  <c r="F12" i="147" s="1"/>
  <c r="M13" i="133"/>
  <c r="E13" i="147" s="1"/>
  <c r="N13" i="133"/>
  <c r="N14" i="133" s="1"/>
  <c r="O13" i="133"/>
  <c r="P13" i="133"/>
  <c r="Q13" i="133"/>
  <c r="R13" i="133"/>
  <c r="S13" i="133"/>
  <c r="S14" i="133" s="1"/>
  <c r="T13" i="133"/>
  <c r="U13" i="133"/>
  <c r="D5" i="133"/>
  <c r="V5" i="133" s="1"/>
  <c r="E5" i="133"/>
  <c r="G12" i="136"/>
  <c r="F5" i="133"/>
  <c r="G11" i="137"/>
  <c r="G5" i="133"/>
  <c r="G8" i="133" s="1"/>
  <c r="H5" i="133"/>
  <c r="I5" i="133"/>
  <c r="I8" i="133" s="1"/>
  <c r="J5" i="133"/>
  <c r="K5" i="133"/>
  <c r="L5" i="133"/>
  <c r="L8" i="133" s="1"/>
  <c r="M5" i="133"/>
  <c r="M8" i="133" s="1"/>
  <c r="N5" i="133"/>
  <c r="N8" i="133"/>
  <c r="O5" i="133"/>
  <c r="O8" i="133"/>
  <c r="P5" i="133"/>
  <c r="Q5" i="133"/>
  <c r="R5" i="133"/>
  <c r="S5" i="133"/>
  <c r="S8" i="133"/>
  <c r="T5" i="133"/>
  <c r="T8" i="133"/>
  <c r="U5" i="133"/>
  <c r="U8" i="133" s="1"/>
  <c r="D6" i="133"/>
  <c r="V6" i="133" s="1"/>
  <c r="E6" i="133"/>
  <c r="E8" i="133" s="1"/>
  <c r="G14" i="136"/>
  <c r="F6" i="133"/>
  <c r="G6" i="133"/>
  <c r="H6" i="133"/>
  <c r="H8" i="133" s="1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F15" i="152"/>
  <c r="D7" i="133"/>
  <c r="G15" i="132" s="1"/>
  <c r="E7" i="133"/>
  <c r="G15" i="136"/>
  <c r="F7" i="133"/>
  <c r="V7" i="133" s="1"/>
  <c r="G7" i="133"/>
  <c r="F24" i="148"/>
  <c r="H7" i="133"/>
  <c r="F25" i="148"/>
  <c r="I7" i="133"/>
  <c r="F26" i="148"/>
  <c r="J7" i="133"/>
  <c r="F27" i="148" s="1"/>
  <c r="K7" i="133"/>
  <c r="K8" i="133" s="1"/>
  <c r="L7" i="133"/>
  <c r="M7" i="133"/>
  <c r="N7" i="133"/>
  <c r="O7" i="133"/>
  <c r="P7" i="133"/>
  <c r="Q7" i="133"/>
  <c r="R7" i="133"/>
  <c r="S7" i="133"/>
  <c r="T7" i="133"/>
  <c r="U7" i="133"/>
  <c r="F16" i="152"/>
  <c r="E5" i="142"/>
  <c r="E4" i="142"/>
  <c r="E3" i="142"/>
  <c r="E2" i="142"/>
  <c r="L14" i="142" s="1"/>
  <c r="M15" i="142"/>
  <c r="D5" i="142"/>
  <c r="K8" i="142" s="1"/>
  <c r="D4" i="142"/>
  <c r="K7" i="142"/>
  <c r="D3" i="142"/>
  <c r="K6" i="142"/>
  <c r="C5" i="142"/>
  <c r="J8" i="142"/>
  <c r="D17" i="142"/>
  <c r="C4" i="142"/>
  <c r="J7" i="142"/>
  <c r="D16" i="142"/>
  <c r="C3" i="142"/>
  <c r="J6" i="142"/>
  <c r="D15" i="142" s="1"/>
  <c r="E15" i="152"/>
  <c r="E16" i="152"/>
  <c r="D2" i="152"/>
  <c r="C2" i="152"/>
  <c r="C16" i="152" s="1"/>
  <c r="H16" i="152"/>
  <c r="H15" i="152"/>
  <c r="F2" i="152"/>
  <c r="E2" i="152"/>
  <c r="F14" i="152"/>
  <c r="E23" i="148"/>
  <c r="E30" i="148"/>
  <c r="E22" i="148"/>
  <c r="E29" i="148"/>
  <c r="E21" i="148"/>
  <c r="E28" i="148"/>
  <c r="E20" i="148"/>
  <c r="E27" i="148"/>
  <c r="E19" i="148"/>
  <c r="E26" i="148"/>
  <c r="E18" i="148"/>
  <c r="E25" i="148"/>
  <c r="E17" i="148"/>
  <c r="E24" i="148" s="1"/>
  <c r="H17" i="148"/>
  <c r="J20" i="148" s="1"/>
  <c r="B20" i="148" s="1"/>
  <c r="E8" i="148"/>
  <c r="E7" i="148"/>
  <c r="E6" i="148"/>
  <c r="E5" i="148"/>
  <c r="E4" i="148"/>
  <c r="E3" i="148"/>
  <c r="E2" i="148"/>
  <c r="L8" i="148" s="1"/>
  <c r="D8" i="148"/>
  <c r="K23" i="148" s="1"/>
  <c r="D7" i="148"/>
  <c r="K10" i="148" s="1"/>
  <c r="D6" i="148"/>
  <c r="K9" i="148"/>
  <c r="D5" i="148"/>
  <c r="K8" i="148"/>
  <c r="D4" i="148"/>
  <c r="K7" i="148"/>
  <c r="D3" i="148"/>
  <c r="K6" i="148"/>
  <c r="D2" i="148"/>
  <c r="K5" i="148" s="1"/>
  <c r="C8" i="148"/>
  <c r="J11" i="148"/>
  <c r="C7" i="148"/>
  <c r="J29" i="148" s="1"/>
  <c r="C6" i="148"/>
  <c r="D21" i="148" s="1"/>
  <c r="J28" i="148"/>
  <c r="B28" i="148" s="1"/>
  <c r="J9" i="148"/>
  <c r="C5" i="148"/>
  <c r="J27" i="148" s="1"/>
  <c r="B27" i="148" s="1"/>
  <c r="J8" i="148"/>
  <c r="C4" i="148"/>
  <c r="J26" i="148" s="1"/>
  <c r="B26" i="148" s="1"/>
  <c r="C3" i="148"/>
  <c r="J25" i="148" s="1"/>
  <c r="B25" i="148" s="1"/>
  <c r="D18" i="148"/>
  <c r="C2" i="148"/>
  <c r="D17" i="148" s="1"/>
  <c r="H24" i="148"/>
  <c r="F2" i="148"/>
  <c r="D18" i="147"/>
  <c r="D17" i="147"/>
  <c r="D16" i="147"/>
  <c r="D15" i="147"/>
  <c r="D14" i="147"/>
  <c r="D13" i="147"/>
  <c r="D12" i="147"/>
  <c r="C12" i="147"/>
  <c r="L12" i="147"/>
  <c r="M12" i="147"/>
  <c r="O12" i="147"/>
  <c r="E11" i="147"/>
  <c r="G2" i="147"/>
  <c r="E2" i="147"/>
  <c r="N12" i="147" s="1"/>
  <c r="D2" i="144"/>
  <c r="K5" i="144"/>
  <c r="C2" i="144"/>
  <c r="J5" i="144"/>
  <c r="D11" i="144" s="1"/>
  <c r="H11" i="144"/>
  <c r="F2" i="144"/>
  <c r="E10" i="144" s="1"/>
  <c r="E2" i="144"/>
  <c r="M11" i="144" s="1"/>
  <c r="L5" i="144"/>
  <c r="F2" i="142"/>
  <c r="E13" i="142" s="1"/>
  <c r="H14" i="142"/>
  <c r="J17" i="142" s="1"/>
  <c r="D2" i="142"/>
  <c r="K5" i="142" s="1"/>
  <c r="C2" i="142"/>
  <c r="J5" i="142" s="1"/>
  <c r="D14" i="142" s="1"/>
  <c r="E2" i="137"/>
  <c r="M12" i="137" s="1"/>
  <c r="M11" i="137"/>
  <c r="F2" i="137"/>
  <c r="F10" i="137" s="1"/>
  <c r="E2" i="136"/>
  <c r="M14" i="136" s="1"/>
  <c r="N14" i="136"/>
  <c r="F2" i="136"/>
  <c r="F10" i="136"/>
  <c r="E2" i="132"/>
  <c r="M11" i="132" s="1"/>
  <c r="F2" i="132"/>
  <c r="F10" i="132" s="1"/>
  <c r="I11" i="137"/>
  <c r="K11" i="137" s="1"/>
  <c r="B11" i="137" s="1"/>
  <c r="I11" i="136"/>
  <c r="K13" i="136" s="1"/>
  <c r="K12" i="136"/>
  <c r="L12" i="136" s="1"/>
  <c r="I11" i="132"/>
  <c r="K13" i="132" s="1"/>
  <c r="K11" i="132"/>
  <c r="B11" i="132" s="1"/>
  <c r="D2" i="137"/>
  <c r="C2" i="137"/>
  <c r="K5" i="137" s="1"/>
  <c r="I15" i="137"/>
  <c r="K15" i="137" s="1"/>
  <c r="I14" i="137"/>
  <c r="K14" i="137"/>
  <c r="B14" i="137" s="1"/>
  <c r="D2" i="136"/>
  <c r="C2" i="136"/>
  <c r="K5" i="136"/>
  <c r="D11" i="136" s="1"/>
  <c r="D14" i="136"/>
  <c r="I15" i="136"/>
  <c r="I14" i="136"/>
  <c r="K14" i="136"/>
  <c r="B14" i="136" s="1"/>
  <c r="I15" i="132"/>
  <c r="I14" i="132"/>
  <c r="D2" i="132"/>
  <c r="L15" i="132" s="1"/>
  <c r="C2" i="132"/>
  <c r="K14" i="132"/>
  <c r="G10" i="132"/>
  <c r="J30" i="148"/>
  <c r="K30" i="148" s="1"/>
  <c r="B30" i="148"/>
  <c r="M13" i="132"/>
  <c r="L16" i="152"/>
  <c r="J11" i="144"/>
  <c r="B11" i="144" s="1"/>
  <c r="F10" i="144"/>
  <c r="L15" i="142"/>
  <c r="L26" i="148"/>
  <c r="G10" i="136"/>
  <c r="M13" i="136"/>
  <c r="N11" i="136"/>
  <c r="K11" i="148"/>
  <c r="C29" i="148"/>
  <c r="J23" i="148"/>
  <c r="B23" i="148"/>
  <c r="G11" i="136"/>
  <c r="F30" i="148"/>
  <c r="J15" i="152"/>
  <c r="B15" i="152"/>
  <c r="C28" i="148"/>
  <c r="J21" i="148"/>
  <c r="K21" i="148" s="1"/>
  <c r="N11" i="137"/>
  <c r="K11" i="136"/>
  <c r="L11" i="136" s="1"/>
  <c r="L15" i="152"/>
  <c r="E10" i="137"/>
  <c r="B12" i="147"/>
  <c r="M16" i="142"/>
  <c r="L7" i="142"/>
  <c r="L8" i="142"/>
  <c r="L17" i="142"/>
  <c r="M14" i="142"/>
  <c r="F13" i="142"/>
  <c r="N12" i="137"/>
  <c r="L5" i="142"/>
  <c r="M17" i="142"/>
  <c r="M15" i="137"/>
  <c r="L6" i="142"/>
  <c r="E18" i="147"/>
  <c r="J19" i="148"/>
  <c r="K19" i="148"/>
  <c r="B19" i="148"/>
  <c r="E14" i="152"/>
  <c r="F29" i="148"/>
  <c r="B14" i="132"/>
  <c r="L14" i="132"/>
  <c r="D13" i="136"/>
  <c r="M5" i="136"/>
  <c r="K11" i="144"/>
  <c r="K28" i="148"/>
  <c r="D15" i="152"/>
  <c r="K15" i="152"/>
  <c r="G10" i="137"/>
  <c r="M13" i="137"/>
  <c r="N15" i="137"/>
  <c r="D12" i="136"/>
  <c r="J16" i="152"/>
  <c r="K16" i="152" s="1"/>
  <c r="K15" i="132"/>
  <c r="B15" i="132"/>
  <c r="L5" i="136"/>
  <c r="N11" i="132"/>
  <c r="N12" i="132"/>
  <c r="D23" i="148"/>
  <c r="C30" i="148"/>
  <c r="D20" i="148"/>
  <c r="M11" i="136"/>
  <c r="F8" i="133"/>
  <c r="C15" i="136"/>
  <c r="E10" i="136"/>
  <c r="K15" i="136"/>
  <c r="B15" i="136" s="1"/>
  <c r="N14" i="137"/>
  <c r="N13" i="136"/>
  <c r="N13" i="137"/>
  <c r="G12" i="137"/>
  <c r="N15" i="136"/>
  <c r="M12" i="136"/>
  <c r="M14" i="132"/>
  <c r="M5" i="137"/>
  <c r="M14" i="133"/>
  <c r="M14" i="137"/>
  <c r="K12" i="132"/>
  <c r="B12" i="132"/>
  <c r="K5" i="132"/>
  <c r="D11" i="132" s="1"/>
  <c r="L12" i="132"/>
  <c r="L15" i="136"/>
  <c r="B13" i="136" l="1"/>
  <c r="L13" i="136"/>
  <c r="K26" i="148"/>
  <c r="V14" i="133"/>
  <c r="K25" i="148"/>
  <c r="K17" i="142"/>
  <c r="B17" i="142"/>
  <c r="B29" i="148"/>
  <c r="K29" i="148"/>
  <c r="V8" i="133"/>
  <c r="B15" i="137"/>
  <c r="L15" i="137"/>
  <c r="D12" i="137"/>
  <c r="D11" i="137"/>
  <c r="D14" i="137"/>
  <c r="C15" i="137"/>
  <c r="D13" i="137"/>
  <c r="K27" i="148"/>
  <c r="L11" i="137"/>
  <c r="B13" i="132"/>
  <c r="L13" i="132"/>
  <c r="C24" i="148"/>
  <c r="F28" i="148"/>
  <c r="G11" i="132"/>
  <c r="C26" i="148"/>
  <c r="L25" i="148"/>
  <c r="L12" i="137"/>
  <c r="D19" i="148"/>
  <c r="L11" i="144"/>
  <c r="L5" i="137"/>
  <c r="L6" i="148"/>
  <c r="K12" i="137"/>
  <c r="B12" i="137" s="1"/>
  <c r="G15" i="137"/>
  <c r="J24" i="148"/>
  <c r="L14" i="137"/>
  <c r="C25" i="148"/>
  <c r="J5" i="148"/>
  <c r="B21" i="148"/>
  <c r="B12" i="136"/>
  <c r="J7" i="148"/>
  <c r="J10" i="148"/>
  <c r="E16" i="147"/>
  <c r="J16" i="142"/>
  <c r="B16" i="142" s="1"/>
  <c r="J17" i="148"/>
  <c r="D8" i="133"/>
  <c r="L10" i="148"/>
  <c r="L7" i="148"/>
  <c r="L11" i="148"/>
  <c r="M5" i="132"/>
  <c r="L21" i="148"/>
  <c r="D22" i="148"/>
  <c r="L5" i="148"/>
  <c r="N13" i="132"/>
  <c r="L5" i="132"/>
  <c r="E10" i="132"/>
  <c r="L19" i="148"/>
  <c r="J6" i="148"/>
  <c r="F16" i="148"/>
  <c r="J15" i="142"/>
  <c r="B15" i="142" s="1"/>
  <c r="E17" i="147"/>
  <c r="J18" i="148"/>
  <c r="B18" i="148" s="1"/>
  <c r="L29" i="148"/>
  <c r="E12" i="147"/>
  <c r="J8" i="133"/>
  <c r="L18" i="148"/>
  <c r="D13" i="132"/>
  <c r="L17" i="148"/>
  <c r="J14" i="133"/>
  <c r="L11" i="132"/>
  <c r="D14" i="133"/>
  <c r="N14" i="132"/>
  <c r="L9" i="148"/>
  <c r="K13" i="137"/>
  <c r="B13" i="137" s="1"/>
  <c r="L13" i="137"/>
  <c r="L30" i="148"/>
  <c r="L28" i="148"/>
  <c r="L16" i="142"/>
  <c r="B16" i="152"/>
  <c r="N15" i="132"/>
  <c r="K20" i="148"/>
  <c r="L27" i="148"/>
  <c r="J14" i="142"/>
  <c r="D14" i="132"/>
  <c r="M15" i="136"/>
  <c r="L14" i="136"/>
  <c r="M15" i="132"/>
  <c r="J22" i="148"/>
  <c r="M12" i="132"/>
  <c r="L23" i="148"/>
  <c r="E16" i="148"/>
  <c r="C27" i="148"/>
  <c r="B11" i="136"/>
  <c r="G12" i="132"/>
  <c r="L22" i="148"/>
  <c r="L20" i="148"/>
  <c r="L24" i="148"/>
  <c r="D12" i="132"/>
  <c r="C15" i="132"/>
  <c r="N12" i="136"/>
  <c r="K18" i="148" l="1"/>
  <c r="B22" i="148"/>
  <c r="K22" i="148"/>
  <c r="B17" i="148"/>
  <c r="K17" i="148"/>
  <c r="B24" i="148"/>
  <c r="K24" i="148"/>
  <c r="K16" i="142"/>
  <c r="K14" i="142"/>
  <c r="B14" i="142"/>
  <c r="K15" i="1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 xr:uid="{00000000-0006-0000-07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 xr:uid="{00000000-0006-0000-07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 xr:uid="{00000000-0006-0000-08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 xr:uid="{00000000-0006-0000-08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 xr:uid="{00000000-0006-0000-08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10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10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10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0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10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<sst xmlns="http://schemas.openxmlformats.org/spreadsheetml/2006/main" count="586" uniqueCount="146">
  <si>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</si>
  <si>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</si>
  <si>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</si>
  <si>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</si>
  <si>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</si>
  <si>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</si>
  <si>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</si>
  <si>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</si>
  <si>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</si>
  <si>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</si>
  <si>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</si>
  <si>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</si>
  <si>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</si>
  <si>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</si>
  <si>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</si>
  <si>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</si>
  <si>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</si>
  <si>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</si>
  <si>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</si>
  <si>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</si>
  <si>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</si>
  <si>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</si>
  <si>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</si>
  <si>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</si>
  <si>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</si>
  <si>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</si>
  <si>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</si>
  <si>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</si>
  <si>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</si>
  <si>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</si>
  <si>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</si>
  <si>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</si>
  <si>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</si>
  <si>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</si>
  <si>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</si>
  <si>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</si>
  <si>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</si>
  <si>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</si>
  <si>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</si>
  <si>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</si>
  <si>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</si>
  <si>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</si>
  <si>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</si>
  <si>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</si>
  <si>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</si>
  <si>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</si>
  <si>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</si>
  <si>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</si>
  <si>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</si>
  <si>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</si>
  <si>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</si>
  <si>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</si>
  <si>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</si>
  <si>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</si>
  <si>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</si>
  <si>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</si>
  <si>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</si>
  <si>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</si>
  <si>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</si>
  <si>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</si>
  <si>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</si>
  <si>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</si>
  <si>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</si>
  <si>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</si>
  <si>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REF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</si>
  <si>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</si>
  <si>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</si>
  <si>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</si>
  <si>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</si>
  <si>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</si>
  <si>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</si>
  <si>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</si>
  <si>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</si>
  <si>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</si>
  <si>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</si>
  <si>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</si>
  <si>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</si>
  <si>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</si>
  <si>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</si>
  <si>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</si>
  <si>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</si>
  <si>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</si>
  <si>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</si>
  <si>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</si>
  <si>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</si>
  <si>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</si>
  <si>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</si>
  <si>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</si>
  <si>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</si>
  <si>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</si>
  <si>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</si>
  <si>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</si>
  <si>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</si>
  <si>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</si>
  <si>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</si>
  <si>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</si>
  <si>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</si>
  <si>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</si>
  <si>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</si>
  <si>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</si>
  <si>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</si>
  <si>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</si>
  <si>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</si>
  <si>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</si>
  <si>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</si>
  <si>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Refinery</t>
  </si>
  <si>
    <t>Pja</t>
  </si>
  <si>
    <t>Activity Bound</t>
  </si>
  <si>
    <t>Output Share</t>
  </si>
  <si>
    <t>Share-O~UP</t>
  </si>
  <si>
    <t>NRGI</t>
  </si>
  <si>
    <t>Diesel oil</t>
  </si>
  <si>
    <t>PRI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</si>
  <si>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</si>
  <si>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</si>
  <si>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</si>
  <si>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</si>
  <si>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</si>
  <si>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Conversion (Refinery)</t>
  </si>
  <si>
    <t>Primary Supply (Mining, Import/Export)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</si>
  <si>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</si>
  <si>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</si>
  <si>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</si>
  <si>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</si>
  <si>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</si>
  <si>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</si>
  <si>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</si>
  <si>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</si>
  <si>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</si>
  <si>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</si>
  <si>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</si>
  <si>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</si>
  <si>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REG1</t>
  </si>
  <si>
    <t>CONVERSION</t>
  </si>
  <si>
    <t>ESC</t>
  </si>
  <si>
    <t>Energy Sector Consumption</t>
  </si>
  <si>
    <t>Electricity Plants</t>
  </si>
  <si>
    <t>HPL</t>
  </si>
  <si>
    <t>Heat Plants</t>
  </si>
  <si>
    <t>Petroleum Refineries</t>
  </si>
  <si>
    <t>Total Conversion</t>
  </si>
  <si>
    <t>Crude Oil</t>
  </si>
  <si>
    <t>ENV</t>
  </si>
  <si>
    <t>Total CO2</t>
  </si>
  <si>
    <t>~FI_T: FX</t>
  </si>
  <si>
    <t>TOTCO2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</si>
</sst>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8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6" applyNumberFormat="0" applyAlignment="0" applyProtection="0"/>
    <xf numFmtId="164" fontId="13" fillId="0" borderId="0" applyFont="0" applyFill="0" applyBorder="0" applyAlignment="0" applyProtection="0"/>
    <xf numFmtId="0" fontId="16" fillId="7" borderId="0" applyNumberFormat="0" applyBorder="0" applyAlignment="0" applyProtection="0"/>
    <xf numFmtId="0" fontId="17" fillId="8" borderId="16" applyNumberFormat="0" applyAlignment="0" applyProtection="0"/>
    <xf numFmtId="164" fontId="12" fillId="0" borderId="0" applyFont="0" applyFill="0" applyBorder="0" applyAlignment="0" applyProtection="0"/>
    <xf numFmtId="0" fontId="18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" fillId="0" borderId="0"/>
  </cellStyleXfs>
  <cellXfs count="114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5" borderId="0" xfId="3"/>
    <xf numFmtId="0" fontId="19" fillId="0" borderId="0" xfId="6" applyFont="1" applyFill="1"/>
    <xf numFmtId="0" fontId="20" fillId="0" borderId="0" xfId="0" applyFont="1" applyFill="1"/>
    <xf numFmtId="0" fontId="19" fillId="10" borderId="0" xfId="6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2" xfId="1" applyFont="1" applyBorder="1" applyAlignment="1">
      <alignment horizontal="center" wrapText="1"/>
    </xf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3" fillId="2" borderId="1" xfId="12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19" fillId="10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4" xfId="0" applyFont="1" applyBorder="1"/>
    <xf numFmtId="0" fontId="4" fillId="0" borderId="5" xfId="0" applyFont="1" applyBorder="1"/>
    <xf numFmtId="9" fontId="20" fillId="0" borderId="5" xfId="17" applyFont="1" applyBorder="1" applyAlignment="1"/>
    <xf numFmtId="0" fontId="4" fillId="0" borderId="6" xfId="0" applyFont="1" applyBorder="1"/>
    <xf numFmtId="9" fontId="20" fillId="0" borderId="6" xfId="17" applyFont="1" applyBorder="1" applyAlignment="1"/>
    <xf numFmtId="0" fontId="14" fillId="5" borderId="0" xfId="3" applyAlignment="1">
      <alignment wrapText="1"/>
    </xf>
    <xf numFmtId="2" fontId="4" fillId="0" borderId="0" xfId="0" applyNumberFormat="1" applyFont="1" applyFill="1" applyBorder="1"/>
    <xf numFmtId="0" fontId="3" fillId="0" borderId="0" xfId="0" applyFont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3" fillId="0" borderId="0" xfId="12" applyFont="1" applyFill="1" applyBorder="1" applyAlignment="1">
      <alignment horizontal="right" vertical="center" wrapText="1"/>
    </xf>
    <xf numFmtId="2" fontId="4" fillId="0" borderId="0" xfId="10" applyNumberFormat="1"/>
    <xf numFmtId="0" fontId="23" fillId="0" borderId="0" xfId="6" applyFont="1" applyFill="1"/>
    <xf numFmtId="0" fontId="24" fillId="0" borderId="0" xfId="3" applyFont="1" applyFill="1" applyAlignment="1">
      <alignment wrapText="1"/>
    </xf>
    <xf numFmtId="0" fontId="14" fillId="0" borderId="0" xfId="3" applyFill="1"/>
    <xf numFmtId="2" fontId="4" fillId="0" borderId="0" xfId="10" applyNumberFormat="1" applyFill="1" applyBorder="1"/>
    <xf numFmtId="1" fontId="4" fillId="0" borderId="0" xfId="10" applyNumberFormat="1" applyFill="1" applyBorder="1"/>
    <xf numFmtId="9" fontId="4" fillId="0" borderId="0" xfId="10" applyNumberFormat="1"/>
    <xf numFmtId="0" fontId="19" fillId="10" borderId="0" xfId="6" applyFont="1" applyFill="1" applyAlignment="1">
      <alignment horizontal="left"/>
    </xf>
    <xf numFmtId="1" fontId="0" fillId="11" borderId="0" xfId="0" applyNumberFormat="1" applyFill="1" applyBorder="1" applyAlignment="1"/>
    <xf numFmtId="0" fontId="25" fillId="12" borderId="0" xfId="0" applyFont="1" applyFill="1"/>
    <xf numFmtId="0" fontId="0" fillId="13" borderId="0" xfId="0" applyFill="1"/>
    <xf numFmtId="1" fontId="17" fillId="8" borderId="0" xfId="7" applyNumberFormat="1" applyBorder="1" applyAlignment="1"/>
    <xf numFmtId="165" fontId="15" fillId="6" borderId="4" xfId="4" applyNumberFormat="1" applyBorder="1" applyAlignment="1">
      <alignment horizontal="right" vertical="center"/>
    </xf>
    <xf numFmtId="1" fontId="15" fillId="6" borderId="17" xfId="4" applyNumberFormat="1" applyBorder="1" applyAlignment="1">
      <alignment horizontal="right"/>
    </xf>
    <xf numFmtId="1" fontId="15" fillId="6" borderId="18" xfId="4" applyNumberFormat="1" applyBorder="1" applyAlignment="1">
      <alignment horizontal="right"/>
    </xf>
    <xf numFmtId="1" fontId="0" fillId="13" borderId="0" xfId="0" applyNumberFormat="1" applyFill="1"/>
    <xf numFmtId="1" fontId="4" fillId="14" borderId="0" xfId="0" applyNumberFormat="1" applyFont="1" applyFill="1"/>
    <xf numFmtId="1" fontId="0" fillId="14" borderId="0" xfId="0" applyNumberFormat="1" applyFill="1"/>
    <xf numFmtId="0" fontId="0" fillId="14" borderId="0" xfId="0" applyFill="1"/>
    <xf numFmtId="2" fontId="0" fillId="14" borderId="0" xfId="0" applyNumberFormat="1" applyFill="1"/>
    <xf numFmtId="0" fontId="4" fillId="13" borderId="0" xfId="9" applyFont="1" applyFill="1"/>
    <xf numFmtId="2" fontId="0" fillId="13" borderId="0" xfId="0" applyNumberFormat="1" applyFill="1"/>
    <xf numFmtId="2" fontId="4" fillId="13" borderId="0" xfId="0" applyNumberFormat="1" applyFont="1" applyFill="1" applyBorder="1"/>
    <xf numFmtId="2" fontId="0" fillId="0" borderId="0" xfId="0" applyNumberFormat="1" applyFill="1"/>
    <xf numFmtId="0" fontId="26" fillId="0" borderId="0" xfId="0" applyFont="1"/>
    <xf numFmtId="0" fontId="3" fillId="15" borderId="0" xfId="0" applyFont="1" applyFill="1"/>
    <xf numFmtId="0" fontId="3" fillId="0" borderId="0" xfId="0" applyFont="1" applyFill="1"/>
    <xf numFmtId="0" fontId="3" fillId="2" borderId="1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14" fillId="4" borderId="0" xfId="2"/>
    <xf numFmtId="0" fontId="0" fillId="0" borderId="7" xfId="0" applyBorder="1" applyAlignment="1"/>
    <xf numFmtId="1" fontId="3" fillId="11" borderId="8" xfId="0" applyNumberFormat="1" applyFont="1" applyFill="1" applyBorder="1" applyAlignment="1"/>
    <xf numFmtId="0" fontId="11" fillId="0" borderId="0" xfId="0" applyFont="1" applyBorder="1" applyAlignment="1"/>
    <xf numFmtId="0" fontId="25" fillId="12" borderId="0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165" fontId="8" fillId="0" borderId="10" xfId="0" applyNumberFormat="1" applyFont="1" applyBorder="1" applyAlignment="1">
      <alignment horizontal="left" vertical="center"/>
    </xf>
    <xf numFmtId="0" fontId="0" fillId="0" borderId="3" xfId="0" applyBorder="1" applyAlignment="1"/>
    <xf numFmtId="165" fontId="9" fillId="11" borderId="11" xfId="0" applyNumberFormat="1" applyFont="1" applyFill="1" applyBorder="1" applyAlignment="1">
      <alignment horizontal="left" vertical="center"/>
    </xf>
    <xf numFmtId="1" fontId="0" fillId="11" borderId="12" xfId="0" applyNumberFormat="1" applyFill="1" applyBorder="1" applyAlignment="1"/>
    <xf numFmtId="1" fontId="0" fillId="11" borderId="11" xfId="0" applyNumberFormat="1" applyFill="1" applyBorder="1" applyAlignment="1"/>
    <xf numFmtId="1" fontId="0" fillId="11" borderId="13" xfId="0" applyNumberFormat="1" applyFill="1" applyBorder="1" applyAlignment="1"/>
    <xf numFmtId="1" fontId="15" fillId="6" borderId="19" xfId="4" applyNumberFormat="1" applyBorder="1" applyAlignment="1">
      <alignment horizontal="right"/>
    </xf>
    <xf numFmtId="0" fontId="3" fillId="12" borderId="10" xfId="0" applyFont="1" applyFill="1" applyBorder="1" applyAlignment="1">
      <alignment wrapText="1"/>
    </xf>
    <xf numFmtId="0" fontId="3" fillId="12" borderId="3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27" fillId="5" borderId="9" xfId="3" applyFont="1" applyBorder="1" applyAlignment="1">
      <alignment horizontal="left" vertical="center"/>
    </xf>
    <xf numFmtId="0" fontId="25" fillId="0" borderId="0" xfId="0" applyFont="1" applyFill="1"/>
    <xf numFmtId="165" fontId="8" fillId="0" borderId="13" xfId="0" applyNumberFormat="1" applyFont="1" applyBorder="1" applyAlignment="1">
      <alignment horizontal="left" vertical="center"/>
    </xf>
    <xf numFmtId="0" fontId="0" fillId="0" borderId="9" xfId="0" applyBorder="1" applyAlignment="1"/>
    <xf numFmtId="0" fontId="3" fillId="0" borderId="14" xfId="0" applyFont="1" applyBorder="1" applyAlignment="1"/>
    <xf numFmtId="165" fontId="9" fillId="13" borderId="5" xfId="0" applyNumberFormat="1" applyFont="1" applyFill="1" applyBorder="1" applyAlignment="1">
      <alignment horizontal="left" vertical="center"/>
    </xf>
    <xf numFmtId="1" fontId="0" fillId="13" borderId="0" xfId="0" applyNumberFormat="1" applyFill="1" applyBorder="1" applyAlignment="1"/>
    <xf numFmtId="1" fontId="3" fillId="13" borderId="8" xfId="0" applyNumberFormat="1" applyFont="1" applyFill="1" applyBorder="1" applyAlignment="1"/>
    <xf numFmtId="165" fontId="9" fillId="13" borderId="15" xfId="0" applyNumberFormat="1" applyFont="1" applyFill="1" applyBorder="1" applyAlignment="1">
      <alignment horizontal="left" vertical="center"/>
    </xf>
    <xf numFmtId="1" fontId="15" fillId="6" borderId="20" xfId="4" applyNumberFormat="1" applyBorder="1" applyAlignment="1">
      <alignment horizontal="right"/>
    </xf>
    <xf numFmtId="9" fontId="4" fillId="14" borderId="0" xfId="18" applyFont="1" applyFill="1"/>
    <xf numFmtId="0" fontId="16" fillId="0" borderId="0" xfId="6" applyFill="1" applyBorder="1" applyAlignment="1">
      <alignment horizontal="right"/>
    </xf>
    <xf numFmtId="0" fontId="14" fillId="0" borderId="0" xfId="3" applyFill="1" applyAlignment="1">
      <alignment wrapText="1"/>
    </xf>
    <xf numFmtId="0" fontId="3" fillId="0" borderId="0" xfId="12" applyFont="1" applyFill="1" applyBorder="1" applyAlignment="1">
      <alignment horizontal="center" vertical="center" wrapText="1"/>
    </xf>
    <xf numFmtId="0" fontId="21" fillId="0" borderId="0" xfId="1" applyFont="1" applyFill="1" applyBorder="1" applyAlignment="1">
      <alignment horizontal="left" wrapText="1"/>
    </xf>
    <xf numFmtId="0" fontId="21" fillId="0" borderId="0" xfId="1" applyFont="1" applyFill="1" applyBorder="1" applyAlignment="1">
      <alignment horizontal="center" wrapText="1"/>
    </xf>
    <xf numFmtId="166" fontId="5" fillId="0" borderId="0" xfId="0" applyNumberFormat="1" applyFont="1"/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left"/>
    </xf>
    <xf numFmtId="166" fontId="3" fillId="2" borderId="3" xfId="0" applyNumberFormat="1" applyFont="1" applyFill="1" applyBorder="1" applyAlignment="1">
      <alignment horizontal="left"/>
    </xf>
    <xf numFmtId="166" fontId="21" fillId="3" borderId="2" xfId="1" applyNumberFormat="1" applyFont="1" applyBorder="1" applyAlignment="1">
      <alignment horizontal="left" wrapText="1"/>
    </xf>
    <xf numFmtId="166" fontId="4" fillId="0" borderId="0" xfId="0" applyNumberFormat="1" applyFont="1" applyFill="1"/>
    <xf numFmtId="166" fontId="0" fillId="0" borderId="0" xfId="0" applyNumberFormat="1" applyFill="1"/>
    <xf numFmtId="166" fontId="0" fillId="0" borderId="0" xfId="0" applyNumberFormat="1"/>
    <xf numFmtId="166" fontId="21" fillId="3" borderId="2" xfId="1" applyNumberFormat="1" applyFont="1" applyBorder="1" applyAlignment="1">
      <alignment horizontal="center" wrapText="1"/>
    </xf>
    <xf numFmtId="166" fontId="0" fillId="0" borderId="0" xfId="0" applyNumberFormat="1" applyFill="1" applyAlignment="1">
      <alignment wrapText="1"/>
    </xf>
    <xf numFmtId="0" fontId="11" fillId="0" borderId="1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7" xfId="0" applyFont="1" applyBorder="1" applyAlignment="1">
      <alignment horizontal="center"/>
    </xf>
  </cellXfs>
  <cellStyles count="22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Migliaia_tab emissioni" xfId="8" xr:uid="{00000000-0005-0000-0000-000007000000}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18</xdr:row>
      <xdr:rowOff>11906</xdr:rowOff>
    </xdr:from>
    <xdr:to>
      <xdr:col>13</xdr:col>
      <xdr:colOff>7498</xdr:colOff>
      <xdr:row>22</xdr:row>
      <xdr:rowOff>18256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37EB3A8-64B1-43AC-B30F-3271384DABAB}"/>
            </a:ext>
          </a:extLst>
        </xdr:cNvPr>
        <xdr:cNvSpPr txBox="1"/>
      </xdr:nvSpPr>
      <xdr:spPr>
        <a:xfrm>
          <a:off x="7072312" y="6226969"/>
          <a:ext cx="4365186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571462</xdr:colOff>
      <xdr:row>24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3E5A98-990F-46B6-9D47-BF3E1D7A6871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18460</xdr:colOff>
      <xdr:row>18</xdr:row>
      <xdr:rowOff>4663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80CA99-6192-4CA0-9378-2AAF22E13C29}"/>
            </a:ext>
          </a:extLst>
        </xdr:cNvPr>
        <xdr:cNvSpPr txBox="1"/>
      </xdr:nvSpPr>
      <xdr:spPr>
        <a:xfrm>
          <a:off x="611188" y="3309938"/>
          <a:ext cx="5070840" cy="6301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~COMAGG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an aggregated commodity, TOTCO2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example, multiplying the sectoral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emissions by a coefficient 1 (cells C1:H1). It is possible to add more aggregated commodities and change multipliers.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</xdr:rowOff>
    </xdr:from>
    <xdr:to>
      <xdr:col>2</xdr:col>
      <xdr:colOff>285750</xdr:colOff>
      <xdr:row>19</xdr:row>
      <xdr:rowOff>152400</xdr:rowOff>
    </xdr:to>
    <xdr:pic>
      <xdr:nvPicPr>
        <xdr:cNvPr id="58259" name="Picture 6">
          <a:extLst>
            <a:ext uri="{FF2B5EF4-FFF2-40B4-BE49-F238E27FC236}">
              <a16:creationId xmlns:a16="http://schemas.microsoft.com/office/drawing/2014/main" id="{0B506F25-AD29-428C-9623-8503D41EE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266700</xdr:colOff>
      <xdr:row>9</xdr:row>
      <xdr:rowOff>0</xdr:rowOff>
    </xdr:from>
    <xdr:to>
      <xdr:col>14</xdr:col>
      <xdr:colOff>1457325</xdr:colOff>
      <xdr:row>15</xdr:row>
      <xdr:rowOff>142875</xdr:rowOff>
    </xdr:to>
    <xdr:pic>
      <xdr:nvPicPr>
        <xdr:cNvPr id="58260" name="Picture 15">
          <a:extLst>
            <a:ext uri="{FF2B5EF4-FFF2-40B4-BE49-F238E27FC236}">
              <a16:creationId xmlns:a16="http://schemas.microsoft.com/office/drawing/2014/main" id="{C347861E-9EBE-44D7-82F7-1F8FFE4D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590675"/>
          <a:ext cx="33813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44</xdr:row>
      <xdr:rowOff>0</xdr:rowOff>
    </xdr:from>
    <xdr:to>
      <xdr:col>8</xdr:col>
      <xdr:colOff>561975</xdr:colOff>
      <xdr:row>51</xdr:row>
      <xdr:rowOff>57150</xdr:rowOff>
    </xdr:to>
    <xdr:pic>
      <xdr:nvPicPr>
        <xdr:cNvPr id="58261" name="Picture 7">
          <a:extLst>
            <a:ext uri="{FF2B5EF4-FFF2-40B4-BE49-F238E27FC236}">
              <a16:creationId xmlns:a16="http://schemas.microsoft.com/office/drawing/2014/main" id="{675AF34A-7AED-43B0-99D7-96EC13133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258050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75</xdr:row>
      <xdr:rowOff>47625</xdr:rowOff>
    </xdr:from>
    <xdr:to>
      <xdr:col>9</xdr:col>
      <xdr:colOff>466725</xdr:colOff>
      <xdr:row>87</xdr:row>
      <xdr:rowOff>142875</xdr:rowOff>
    </xdr:to>
    <xdr:pic>
      <xdr:nvPicPr>
        <xdr:cNvPr id="58262" name="Picture 18">
          <a:extLst>
            <a:ext uri="{FF2B5EF4-FFF2-40B4-BE49-F238E27FC236}">
              <a16:creationId xmlns:a16="http://schemas.microsoft.com/office/drawing/2014/main" id="{4F631EE1-AD73-4A2F-A186-4846F5CCD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325350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51</xdr:row>
      <xdr:rowOff>57150</xdr:rowOff>
    </xdr:from>
    <xdr:to>
      <xdr:col>8</xdr:col>
      <xdr:colOff>361950</xdr:colOff>
      <xdr:row>58</xdr:row>
      <xdr:rowOff>95250</xdr:rowOff>
    </xdr:to>
    <xdr:pic>
      <xdr:nvPicPr>
        <xdr:cNvPr id="58263" name="Picture 19">
          <a:extLst>
            <a:ext uri="{FF2B5EF4-FFF2-40B4-BE49-F238E27FC236}">
              <a16:creationId xmlns:a16="http://schemas.microsoft.com/office/drawing/2014/main" id="{625A621E-A882-4346-915A-B066900A4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44867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58</xdr:row>
      <xdr:rowOff>95250</xdr:rowOff>
    </xdr:from>
    <xdr:to>
      <xdr:col>8</xdr:col>
      <xdr:colOff>361950</xdr:colOff>
      <xdr:row>65</xdr:row>
      <xdr:rowOff>133350</xdr:rowOff>
    </xdr:to>
    <xdr:pic>
      <xdr:nvPicPr>
        <xdr:cNvPr id="58264" name="Picture 20">
          <a:extLst>
            <a:ext uri="{FF2B5EF4-FFF2-40B4-BE49-F238E27FC236}">
              <a16:creationId xmlns:a16="http://schemas.microsoft.com/office/drawing/2014/main" id="{D1037A1B-C044-49F9-8C79-1053E9B9B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65</xdr:row>
      <xdr:rowOff>123825</xdr:rowOff>
    </xdr:from>
    <xdr:to>
      <xdr:col>9</xdr:col>
      <xdr:colOff>0</xdr:colOff>
      <xdr:row>75</xdr:row>
      <xdr:rowOff>47625</xdr:rowOff>
    </xdr:to>
    <xdr:pic>
      <xdr:nvPicPr>
        <xdr:cNvPr id="58265" name="Picture 21">
          <a:extLst>
            <a:ext uri="{FF2B5EF4-FFF2-40B4-BE49-F238E27FC236}">
              <a16:creationId xmlns:a16="http://schemas.microsoft.com/office/drawing/2014/main" id="{73F64186-679A-4253-8D83-88C035A7D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782300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35</xdr:row>
      <xdr:rowOff>133350</xdr:rowOff>
    </xdr:from>
    <xdr:to>
      <xdr:col>10</xdr:col>
      <xdr:colOff>28575</xdr:colOff>
      <xdr:row>44</xdr:row>
      <xdr:rowOff>9525</xdr:rowOff>
    </xdr:to>
    <xdr:pic>
      <xdr:nvPicPr>
        <xdr:cNvPr id="58266" name="Picture 22">
          <a:extLst>
            <a:ext uri="{FF2B5EF4-FFF2-40B4-BE49-F238E27FC236}">
              <a16:creationId xmlns:a16="http://schemas.microsoft.com/office/drawing/2014/main" id="{21FBD264-4ABD-45A9-862C-4654C5FBC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934075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21</xdr:row>
      <xdr:rowOff>161925</xdr:rowOff>
    </xdr:from>
    <xdr:to>
      <xdr:col>11</xdr:col>
      <xdr:colOff>9525</xdr:colOff>
      <xdr:row>35</xdr:row>
      <xdr:rowOff>133350</xdr:rowOff>
    </xdr:to>
    <xdr:pic>
      <xdr:nvPicPr>
        <xdr:cNvPr id="58267" name="Picture 23">
          <a:extLst>
            <a:ext uri="{FF2B5EF4-FFF2-40B4-BE49-F238E27FC236}">
              <a16:creationId xmlns:a16="http://schemas.microsoft.com/office/drawing/2014/main" id="{3E9C655E-5518-49BE-862D-78763FEC5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695700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9</xdr:row>
      <xdr:rowOff>19050</xdr:rowOff>
    </xdr:from>
    <xdr:to>
      <xdr:col>9</xdr:col>
      <xdr:colOff>419100</xdr:colOff>
      <xdr:row>21</xdr:row>
      <xdr:rowOff>161925</xdr:rowOff>
    </xdr:to>
    <xdr:pic>
      <xdr:nvPicPr>
        <xdr:cNvPr id="58268" name="Picture 24">
          <a:extLst>
            <a:ext uri="{FF2B5EF4-FFF2-40B4-BE49-F238E27FC236}">
              <a16:creationId xmlns:a16="http://schemas.microsoft.com/office/drawing/2014/main" id="{8CF12ACF-2E9C-40BF-B9A9-D45A019AD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609725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16</xdr:row>
      <xdr:rowOff>85725</xdr:rowOff>
    </xdr:from>
    <xdr:to>
      <xdr:col>16</xdr:col>
      <xdr:colOff>371475</xdr:colOff>
      <xdr:row>30</xdr:row>
      <xdr:rowOff>104775</xdr:rowOff>
    </xdr:to>
    <xdr:pic>
      <xdr:nvPicPr>
        <xdr:cNvPr id="58269" name="Picture 25">
          <a:extLst>
            <a:ext uri="{FF2B5EF4-FFF2-40B4-BE49-F238E27FC236}">
              <a16:creationId xmlns:a16="http://schemas.microsoft.com/office/drawing/2014/main" id="{FD1A42D5-C8BD-4D5F-85B3-8CB60747E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2809875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30</xdr:row>
      <xdr:rowOff>114300</xdr:rowOff>
    </xdr:from>
    <xdr:to>
      <xdr:col>16</xdr:col>
      <xdr:colOff>219075</xdr:colOff>
      <xdr:row>43</xdr:row>
      <xdr:rowOff>85725</xdr:rowOff>
    </xdr:to>
    <xdr:pic>
      <xdr:nvPicPr>
        <xdr:cNvPr id="58270" name="Picture 26">
          <a:extLst>
            <a:ext uri="{FF2B5EF4-FFF2-40B4-BE49-F238E27FC236}">
              <a16:creationId xmlns:a16="http://schemas.microsoft.com/office/drawing/2014/main" id="{D9BCD51B-36C0-45CA-8FC9-D75F7BDB0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105400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43</xdr:row>
      <xdr:rowOff>95250</xdr:rowOff>
    </xdr:from>
    <xdr:to>
      <xdr:col>16</xdr:col>
      <xdr:colOff>257175</xdr:colOff>
      <xdr:row>56</xdr:row>
      <xdr:rowOff>95250</xdr:rowOff>
    </xdr:to>
    <xdr:pic>
      <xdr:nvPicPr>
        <xdr:cNvPr id="58271" name="Picture 27">
          <a:extLst>
            <a:ext uri="{FF2B5EF4-FFF2-40B4-BE49-F238E27FC236}">
              <a16:creationId xmlns:a16="http://schemas.microsoft.com/office/drawing/2014/main" id="{453238BE-6176-4A56-890E-FBE47B6A8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7191375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56</xdr:row>
      <xdr:rowOff>104775</xdr:rowOff>
    </xdr:from>
    <xdr:to>
      <xdr:col>16</xdr:col>
      <xdr:colOff>85725</xdr:colOff>
      <xdr:row>68</xdr:row>
      <xdr:rowOff>85725</xdr:rowOff>
    </xdr:to>
    <xdr:pic>
      <xdr:nvPicPr>
        <xdr:cNvPr id="58272" name="Picture 28">
          <a:extLst>
            <a:ext uri="{FF2B5EF4-FFF2-40B4-BE49-F238E27FC236}">
              <a16:creationId xmlns:a16="http://schemas.microsoft.com/office/drawing/2014/main" id="{FD9E8BDF-A8DC-42D7-AF3C-78EE742E9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9305925"/>
          <a:ext cx="413385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68</xdr:row>
      <xdr:rowOff>95250</xdr:rowOff>
    </xdr:from>
    <xdr:to>
      <xdr:col>16</xdr:col>
      <xdr:colOff>390525</xdr:colOff>
      <xdr:row>82</xdr:row>
      <xdr:rowOff>57150</xdr:rowOff>
    </xdr:to>
    <xdr:pic>
      <xdr:nvPicPr>
        <xdr:cNvPr id="58273" name="Picture 29">
          <a:extLst>
            <a:ext uri="{FF2B5EF4-FFF2-40B4-BE49-F238E27FC236}">
              <a16:creationId xmlns:a16="http://schemas.microsoft.com/office/drawing/2014/main" id="{74C93F0F-3995-4359-9712-714B0BE17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1239500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82</xdr:row>
      <xdr:rowOff>57150</xdr:rowOff>
    </xdr:from>
    <xdr:to>
      <xdr:col>15</xdr:col>
      <xdr:colOff>190500</xdr:colOff>
      <xdr:row>90</xdr:row>
      <xdr:rowOff>152400</xdr:rowOff>
    </xdr:to>
    <xdr:pic>
      <xdr:nvPicPr>
        <xdr:cNvPr id="58274" name="Picture 30">
          <a:extLst>
            <a:ext uri="{FF2B5EF4-FFF2-40B4-BE49-F238E27FC236}">
              <a16:creationId xmlns:a16="http://schemas.microsoft.com/office/drawing/2014/main" id="{9AB63998-C974-4EFE-9613-5BCD12CB0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3468350"/>
          <a:ext cx="362902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90</xdr:row>
      <xdr:rowOff>114300</xdr:rowOff>
    </xdr:from>
    <xdr:to>
      <xdr:col>16</xdr:col>
      <xdr:colOff>228600</xdr:colOff>
      <xdr:row>103</xdr:row>
      <xdr:rowOff>38100</xdr:rowOff>
    </xdr:to>
    <xdr:pic>
      <xdr:nvPicPr>
        <xdr:cNvPr id="58275" name="Picture 31">
          <a:extLst>
            <a:ext uri="{FF2B5EF4-FFF2-40B4-BE49-F238E27FC236}">
              <a16:creationId xmlns:a16="http://schemas.microsoft.com/office/drawing/2014/main" id="{696130D8-85F5-4D4E-95E6-BC7F554BE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820900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3775</xdr:colOff>
      <xdr:row>25</xdr:row>
      <xdr:rowOff>76166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F6EC3C-5B09-4E9A-987B-0D5D263ADB75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19</xdr:row>
      <xdr:rowOff>0</xdr:rowOff>
    </xdr:from>
    <xdr:to>
      <xdr:col>12</xdr:col>
      <xdr:colOff>3773</xdr:colOff>
      <xdr:row>25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99B5ED-E2BA-4EB1-B6C8-D487BC1A5FA3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0</xdr:colOff>
      <xdr:row>25</xdr:row>
      <xdr:rowOff>76166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15A585-5A74-4152-BFC1-7E18441B1D99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10</xdr:col>
      <xdr:colOff>1984597</xdr:colOff>
      <xdr:row>21</xdr:row>
      <xdr:rowOff>131462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F89181-2436-448F-8164-18172591BA66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18</xdr:row>
      <xdr:rowOff>7620</xdr:rowOff>
    </xdr:from>
    <xdr:to>
      <xdr:col>11</xdr:col>
      <xdr:colOff>7560</xdr:colOff>
      <xdr:row>24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224266-9FB5-40A9-89C8-182C4D387384}"/>
            </a:ext>
          </a:extLst>
        </xdr:cNvPr>
        <xdr:cNvSpPr txBox="1"/>
      </xdr:nvSpPr>
      <xdr:spPr>
        <a:xfrm>
          <a:off x="6648450" y="3790950"/>
          <a:ext cx="478149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11</xdr:col>
      <xdr:colOff>3858</xdr:colOff>
      <xdr:row>39</xdr:row>
      <xdr:rowOff>76166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B64684-3544-48EE-8A93-DC63528466FB}"/>
            </a:ext>
          </a:extLst>
        </xdr:cNvPr>
        <xdr:cNvSpPr txBox="1"/>
      </xdr:nvSpPr>
      <xdr:spPr>
        <a:xfrm>
          <a:off x="7000875" y="634365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11</xdr:col>
      <xdr:colOff>3858</xdr:colOff>
      <xdr:row>25</xdr:row>
      <xdr:rowOff>85933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5FFFFB-3793-4D85-87AB-377CB08841B8}"/>
            </a:ext>
          </a:extLst>
        </xdr:cNvPr>
        <xdr:cNvSpPr txBox="1"/>
      </xdr:nvSpPr>
      <xdr:spPr>
        <a:xfrm>
          <a:off x="7200900" y="6076950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426858</xdr:colOff>
      <xdr:row>8</xdr:row>
      <xdr:rowOff>60868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3E3748B-B2EF-4C5D-85AA-80A6654A6E6E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  <cell r="E5">
            <v>3159.7988000000005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4455</v>
          </cell>
          <cell r="O5">
            <v>2261.9700000000003</v>
          </cell>
          <cell r="P5">
            <v>502.66000000000008</v>
          </cell>
          <cell r="Q5">
            <v>263.8965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4200.7361500000006</v>
          </cell>
          <cell r="E6">
            <v>5316.6916000000001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84.764250000000004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-745.59484999999995</v>
          </cell>
          <cell r="E7">
            <v>-1006.5324000000001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-54.302999999999997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A22"/>
  <sheetViews>
    <sheetView zoomScale="80" zoomScaleNormal="80" workbookViewId="0">
      <selection activeCell="T27" sqref="T27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27" s="5" customFormat="1" x14ac:dyDescent="0.2">
      <c r="X1" s="24" t="s">
        <v>80</v>
      </c>
      <c r="Y1" s="1" t="s">
        <v>81</v>
      </c>
      <c r="Z1" s="1" t="s">
        <v>82</v>
      </c>
      <c r="AA1" s="1" t="s">
        <v>85</v>
      </c>
    </row>
    <row r="2" spans="1:27" ht="15.75" x14ac:dyDescent="0.25">
      <c r="C2" s="6"/>
      <c r="D2" s="73" t="s">
        <v>44</v>
      </c>
      <c r="E2" s="73" t="s">
        <v>45</v>
      </c>
      <c r="F2" s="73" t="s">
        <v>46</v>
      </c>
      <c r="G2" s="73" t="s">
        <v>93</v>
      </c>
      <c r="H2" s="73" t="s">
        <v>94</v>
      </c>
      <c r="I2" s="73" t="s">
        <v>95</v>
      </c>
      <c r="J2" s="73" t="s">
        <v>96</v>
      </c>
      <c r="K2" s="73" t="s">
        <v>97</v>
      </c>
      <c r="L2" s="73" t="s">
        <v>98</v>
      </c>
      <c r="M2" s="73" t="s">
        <v>99</v>
      </c>
      <c r="N2" s="73" t="s">
        <v>47</v>
      </c>
      <c r="O2" s="73" t="s">
        <v>124</v>
      </c>
      <c r="P2" s="73" t="s">
        <v>125</v>
      </c>
      <c r="Q2" s="73" t="s">
        <v>126</v>
      </c>
      <c r="R2" s="73" t="s">
        <v>127</v>
      </c>
      <c r="S2" s="73" t="s">
        <v>48</v>
      </c>
      <c r="T2" s="73" t="s">
        <v>49</v>
      </c>
      <c r="U2" s="73" t="s">
        <v>50</v>
      </c>
      <c r="V2" s="32"/>
      <c r="X2" s="7"/>
      <c r="Y2" s="45" t="s">
        <v>113</v>
      </c>
      <c r="Z2" s="14" t="s">
        <v>69</v>
      </c>
      <c r="AA2" s="14" t="s">
        <v>86</v>
      </c>
    </row>
    <row r="3" spans="1:27" ht="25.5" x14ac:dyDescent="0.2">
      <c r="C3" s="85" t="s">
        <v>132</v>
      </c>
      <c r="D3" s="82" t="s">
        <v>51</v>
      </c>
      <c r="E3" s="83" t="s">
        <v>52</v>
      </c>
      <c r="F3" s="83" t="s">
        <v>141</v>
      </c>
      <c r="G3" s="83" t="s">
        <v>111</v>
      </c>
      <c r="H3" s="83" t="s">
        <v>102</v>
      </c>
      <c r="I3" s="83" t="s">
        <v>95</v>
      </c>
      <c r="J3" s="83" t="s">
        <v>103</v>
      </c>
      <c r="K3" s="83" t="s">
        <v>104</v>
      </c>
      <c r="L3" s="83" t="s">
        <v>100</v>
      </c>
      <c r="M3" s="83" t="s">
        <v>101</v>
      </c>
      <c r="N3" s="83" t="s">
        <v>53</v>
      </c>
      <c r="O3" s="83" t="s">
        <v>128</v>
      </c>
      <c r="P3" s="83" t="s">
        <v>129</v>
      </c>
      <c r="Q3" s="83" t="s">
        <v>130</v>
      </c>
      <c r="R3" s="83" t="s">
        <v>131</v>
      </c>
      <c r="S3" s="83" t="s">
        <v>54</v>
      </c>
      <c r="T3" s="83" t="s">
        <v>55</v>
      </c>
      <c r="U3" s="84" t="s">
        <v>75</v>
      </c>
      <c r="V3" s="74" t="s">
        <v>56</v>
      </c>
    </row>
    <row r="4" spans="1:27" x14ac:dyDescent="0.2">
      <c r="C4" s="75" t="s">
        <v>57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0"/>
    </row>
    <row r="5" spans="1:27" x14ac:dyDescent="0.2">
      <c r="B5" s="47" t="s">
        <v>58</v>
      </c>
      <c r="C5" s="77" t="s">
        <v>59</v>
      </c>
      <c r="D5" s="78">
        <f>[2]EB1!D5</f>
        <v>5263.9327000000003</v>
      </c>
      <c r="E5" s="46">
        <f>[2]EB1!E5</f>
        <v>3159.7988000000005</v>
      </c>
      <c r="F5" s="46">
        <f>[2]EB1!F5</f>
        <v>2686.252</v>
      </c>
      <c r="G5" s="46">
        <f>[2]EB1!G5</f>
        <v>6.4000000000000001E-2</v>
      </c>
      <c r="H5" s="46">
        <f>[2]EB1!H5</f>
        <v>0</v>
      </c>
      <c r="I5" s="46">
        <f>[2]EB1!I5</f>
        <v>0</v>
      </c>
      <c r="J5" s="46">
        <f>[2]EB1!J5</f>
        <v>0</v>
      </c>
      <c r="K5" s="46">
        <f>[2]EB1!K5</f>
        <v>0</v>
      </c>
      <c r="L5" s="46">
        <f>[2]EB1!L5</f>
        <v>0</v>
      </c>
      <c r="M5" s="46">
        <f>[2]EB1!M5</f>
        <v>0</v>
      </c>
      <c r="N5" s="46">
        <f>[2]EB1!N5</f>
        <v>4455</v>
      </c>
      <c r="O5" s="46">
        <f>[2]EB1!O5</f>
        <v>2261.9700000000003</v>
      </c>
      <c r="P5" s="46">
        <f>[2]EB1!P5</f>
        <v>502.66000000000008</v>
      </c>
      <c r="Q5" s="46">
        <f>[2]EB1!Q5</f>
        <v>263.8965</v>
      </c>
      <c r="R5" s="46">
        <f>[2]EB1!R5</f>
        <v>125.66500000000008</v>
      </c>
      <c r="S5" s="46">
        <f>[2]EB1!S5</f>
        <v>0</v>
      </c>
      <c r="T5" s="46">
        <f>[2]EB1!T5</f>
        <v>0</v>
      </c>
      <c r="U5" s="46">
        <f>[2]EB1!U5</f>
        <v>0</v>
      </c>
      <c r="V5" s="71">
        <f>SUM(D5:U5)</f>
        <v>18719.239000000001</v>
      </c>
      <c r="X5" s="8"/>
    </row>
    <row r="6" spans="1:27" x14ac:dyDescent="0.2">
      <c r="B6" s="47" t="s">
        <v>60</v>
      </c>
      <c r="C6" s="77" t="s">
        <v>61</v>
      </c>
      <c r="D6" s="79">
        <f>[2]EB1!D6</f>
        <v>4200.7361500000006</v>
      </c>
      <c r="E6" s="46">
        <f>[2]EB1!E6</f>
        <v>5316.6916000000001</v>
      </c>
      <c r="F6" s="46">
        <f>[2]EB1!F6</f>
        <v>13824.328000000001</v>
      </c>
      <c r="G6" s="46">
        <f>[2]EB1!G6</f>
        <v>2204.8490000000002</v>
      </c>
      <c r="H6" s="46">
        <f>[2]EB1!H6</f>
        <v>604.98850000000004</v>
      </c>
      <c r="I6" s="46">
        <f>[2]EB1!I6</f>
        <v>326.12950000000001</v>
      </c>
      <c r="J6" s="46">
        <f>[2]EB1!J6</f>
        <v>660</v>
      </c>
      <c r="K6" s="46">
        <f>[2]EB1!K6</f>
        <v>683.1</v>
      </c>
      <c r="L6" s="46">
        <f>[2]EB1!L6</f>
        <v>1079.56</v>
      </c>
      <c r="M6" s="46">
        <f>[2]EB1!M6</f>
        <v>597.03499999999997</v>
      </c>
      <c r="N6" s="46">
        <f>[2]EB1!N6</f>
        <v>0</v>
      </c>
      <c r="O6" s="46">
        <f>[2]EB1!O6</f>
        <v>84.764250000000004</v>
      </c>
      <c r="P6" s="46">
        <f>[2]EB1!P6</f>
        <v>0</v>
      </c>
      <c r="Q6" s="46">
        <f>[2]EB1!Q6</f>
        <v>0</v>
      </c>
      <c r="R6" s="46">
        <f>[2]EB1!R6</f>
        <v>0</v>
      </c>
      <c r="S6" s="46">
        <f>[2]EB1!S6</f>
        <v>3.5000000000000001E-3</v>
      </c>
      <c r="T6" s="46">
        <f>[2]EB1!T6</f>
        <v>7.6499999999999999E-2</v>
      </c>
      <c r="U6" s="46">
        <f>[2]EB1!U6</f>
        <v>583.76</v>
      </c>
      <c r="V6" s="71">
        <f>SUM(D6:U6)</f>
        <v>30166.022000000001</v>
      </c>
    </row>
    <row r="7" spans="1:27" x14ac:dyDescent="0.2">
      <c r="B7" s="47" t="s">
        <v>62</v>
      </c>
      <c r="C7" s="77" t="s">
        <v>63</v>
      </c>
      <c r="D7" s="80">
        <f>[2]EB1!D7</f>
        <v>-745.59484999999995</v>
      </c>
      <c r="E7" s="46">
        <f>[2]EB1!E7</f>
        <v>-1006.5324000000001</v>
      </c>
      <c r="F7" s="46">
        <f>[2]EB1!F7</f>
        <v>-1648.4854999999998</v>
      </c>
      <c r="G7" s="46">
        <f>[2]EB1!G7</f>
        <v>-1683.1424999999999</v>
      </c>
      <c r="H7" s="46">
        <f>[2]EB1!H7</f>
        <v>-295.38850000000002</v>
      </c>
      <c r="I7" s="46">
        <f>[2]EB1!I7</f>
        <v>-194.51650000000001</v>
      </c>
      <c r="J7" s="46">
        <f>[2]EB1!J7</f>
        <v>-1500.6420000000001</v>
      </c>
      <c r="K7" s="46">
        <f>[2]EB1!K7</f>
        <v>-400.84</v>
      </c>
      <c r="L7" s="46">
        <f>[2]EB1!L7</f>
        <v>-1239.28</v>
      </c>
      <c r="M7" s="46">
        <f>[2]EB1!M7</f>
        <v>-453.036</v>
      </c>
      <c r="N7" s="46">
        <f>[2]EB1!N7</f>
        <v>0</v>
      </c>
      <c r="O7" s="46">
        <f>[2]EB1!O7</f>
        <v>-54.302999999999997</v>
      </c>
      <c r="P7" s="46">
        <f>[2]EB1!P7</f>
        <v>0</v>
      </c>
      <c r="Q7" s="46">
        <f>[2]EB1!Q7</f>
        <v>0</v>
      </c>
      <c r="R7" s="46">
        <f>[2]EB1!R7</f>
        <v>0</v>
      </c>
      <c r="S7" s="46">
        <f>[2]EB1!S7</f>
        <v>0</v>
      </c>
      <c r="T7" s="46">
        <f>[2]EB1!T7</f>
        <v>-6.4500000000000002E-2</v>
      </c>
      <c r="U7" s="46">
        <f>[2]EB1!U7</f>
        <v>-563.40200000000004</v>
      </c>
      <c r="V7" s="71">
        <f>SUM(D7:U7)</f>
        <v>-9785.22775</v>
      </c>
      <c r="X7" s="8"/>
    </row>
    <row r="8" spans="1:27" ht="15" x14ac:dyDescent="0.25">
      <c r="B8" s="69" t="s">
        <v>121</v>
      </c>
      <c r="C8" s="50" t="s">
        <v>122</v>
      </c>
      <c r="D8" s="81">
        <f>SUM(D5:D7)</f>
        <v>8719.0740000000023</v>
      </c>
      <c r="E8" s="51">
        <f t="shared" ref="E8:U8" si="0">SUM(E5:E7)</f>
        <v>7469.9580000000005</v>
      </c>
      <c r="F8" s="51">
        <f t="shared" si="0"/>
        <v>14862.094500000003</v>
      </c>
      <c r="G8" s="51">
        <f t="shared" si="0"/>
        <v>521.77050000000008</v>
      </c>
      <c r="H8" s="51">
        <f t="shared" si="0"/>
        <v>309.60000000000002</v>
      </c>
      <c r="I8" s="51">
        <f t="shared" si="0"/>
        <v>131.613</v>
      </c>
      <c r="J8" s="51">
        <f t="shared" si="0"/>
        <v>-840.64200000000005</v>
      </c>
      <c r="K8" s="51">
        <f t="shared" si="0"/>
        <v>282.26000000000005</v>
      </c>
      <c r="L8" s="51">
        <f t="shared" si="0"/>
        <v>-159.72000000000003</v>
      </c>
      <c r="M8" s="51">
        <f t="shared" si="0"/>
        <v>143.99899999999997</v>
      </c>
      <c r="N8" s="51">
        <f t="shared" si="0"/>
        <v>4455</v>
      </c>
      <c r="O8" s="51">
        <f t="shared" si="0"/>
        <v>2292.4312500000005</v>
      </c>
      <c r="P8" s="51"/>
      <c r="Q8" s="51"/>
      <c r="R8" s="51"/>
      <c r="S8" s="51">
        <f t="shared" si="0"/>
        <v>3.5000000000000001E-3</v>
      </c>
      <c r="T8" s="51">
        <f t="shared" si="0"/>
        <v>1.1999999999999997E-2</v>
      </c>
      <c r="U8" s="51">
        <f t="shared" si="0"/>
        <v>20.357999999999947</v>
      </c>
      <c r="V8" s="52">
        <f>SUM(V5:V7)</f>
        <v>39100.03325</v>
      </c>
    </row>
    <row r="9" spans="1:27" x14ac:dyDescent="0.2">
      <c r="B9" s="86"/>
      <c r="C9" s="87" t="s">
        <v>133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9"/>
    </row>
    <row r="10" spans="1:27" x14ac:dyDescent="0.2">
      <c r="B10" s="47" t="s">
        <v>134</v>
      </c>
      <c r="C10" s="90" t="s">
        <v>135</v>
      </c>
      <c r="D10" s="91">
        <f>[2]EB1!D10</f>
        <v>-37.464700000000001</v>
      </c>
      <c r="E10" s="91">
        <f>[2]EB1!E10</f>
        <v>-317.19200000000001</v>
      </c>
      <c r="F10" s="91">
        <f>[2]EB1!F10</f>
        <v>0</v>
      </c>
      <c r="G10" s="91">
        <f>[2]EB1!G10</f>
        <v>-16.283999999999999</v>
      </c>
      <c r="H10" s="91">
        <f>[2]EB1!H10</f>
        <v>-2.1499999999999998E-2</v>
      </c>
      <c r="I10" s="91">
        <f>[2]EB1!I10</f>
        <v>-528.76099999999997</v>
      </c>
      <c r="J10" s="91">
        <f>[2]EB1!J10</f>
        <v>-164.50800000000001</v>
      </c>
      <c r="K10" s="91">
        <f>[2]EB1!K10</f>
        <v>-0.61599999999999999</v>
      </c>
      <c r="L10" s="91">
        <f>[2]EB1!L10</f>
        <v>-205.88</v>
      </c>
      <c r="M10" s="91">
        <f>[2]EB1!M10</f>
        <v>0</v>
      </c>
      <c r="N10" s="91">
        <f>[2]EB1!N10</f>
        <v>0</v>
      </c>
      <c r="O10" s="91">
        <f>[2]EB1!O10</f>
        <v>-3.21225</v>
      </c>
      <c r="P10" s="91">
        <f>[2]EB1!P10</f>
        <v>0</v>
      </c>
      <c r="Q10" s="91">
        <f>[2]EB1!Q10</f>
        <v>0</v>
      </c>
      <c r="R10" s="91">
        <f>[2]EB1!R10</f>
        <v>0</v>
      </c>
      <c r="S10" s="91">
        <f>[2]EB1!S10</f>
        <v>-0.76</v>
      </c>
      <c r="T10" s="91">
        <f>[2]EB1!T10</f>
        <v>0</v>
      </c>
      <c r="U10" s="91">
        <f>[2]EB1!U10</f>
        <v>0</v>
      </c>
      <c r="V10" s="92">
        <f>SUM(D10:U10)</f>
        <v>-1274.6994499999998</v>
      </c>
    </row>
    <row r="11" spans="1:27" x14ac:dyDescent="0.2">
      <c r="B11" s="47" t="s">
        <v>50</v>
      </c>
      <c r="C11" s="93" t="s">
        <v>136</v>
      </c>
      <c r="D11" s="91">
        <f>[2]EB1!D11</f>
        <v>-6238.7780000000012</v>
      </c>
      <c r="E11" s="91">
        <f>[2]EB1!E11</f>
        <v>-2254.2175999999999</v>
      </c>
      <c r="F11" s="91">
        <f>[2]EB1!F11</f>
        <v>0</v>
      </c>
      <c r="G11" s="91">
        <f>[2]EB1!G11</f>
        <v>-30.160499999999999</v>
      </c>
      <c r="H11" s="91">
        <f>[2]EB1!H11</f>
        <v>0</v>
      </c>
      <c r="I11" s="91">
        <f>[2]EB1!I11</f>
        <v>-23.835000000000001</v>
      </c>
      <c r="J11" s="91">
        <f>[2]EB1!J11</f>
        <v>0</v>
      </c>
      <c r="K11" s="91">
        <f>[2]EB1!K11</f>
        <v>0</v>
      </c>
      <c r="L11" s="91">
        <f>[2]EB1!L11</f>
        <v>-524.78</v>
      </c>
      <c r="M11" s="91">
        <f>[2]EB1!M11</f>
        <v>-33.529000000000003</v>
      </c>
      <c r="N11" s="91">
        <f>[2]EB1!N11</f>
        <v>-4455</v>
      </c>
      <c r="O11" s="91">
        <f>[2]EB1!O11</f>
        <v>-527.25918750000005</v>
      </c>
      <c r="P11" s="91">
        <f>[2]EB1!P11</f>
        <v>-502.66000000000008</v>
      </c>
      <c r="Q11" s="91">
        <f>[2]EB1!Q11</f>
        <v>-263.8965</v>
      </c>
      <c r="R11" s="91">
        <f>[2]EB1!R11</f>
        <v>-68</v>
      </c>
      <c r="S11" s="91">
        <f>[2]EB1!S11</f>
        <v>-16.474499999999999</v>
      </c>
      <c r="T11" s="91">
        <f>[2]EB1!T11</f>
        <v>868.77949999999998</v>
      </c>
      <c r="U11" s="91">
        <f>[2]EB1!U11</f>
        <v>5790.5</v>
      </c>
      <c r="V11" s="92">
        <f>SUM(D11:U11)</f>
        <v>-8279.3107875000023</v>
      </c>
    </row>
    <row r="12" spans="1:27" x14ac:dyDescent="0.2">
      <c r="B12" s="47" t="s">
        <v>137</v>
      </c>
      <c r="C12" s="93" t="s">
        <v>138</v>
      </c>
      <c r="D12" s="91">
        <f>[2]EB1!D12</f>
        <v>-104.9074</v>
      </c>
      <c r="E12" s="91">
        <f>[2]EB1!E12</f>
        <v>-120.5204</v>
      </c>
      <c r="F12" s="91">
        <f>[2]EB1!F12</f>
        <v>0</v>
      </c>
      <c r="G12" s="91">
        <f>[2]EB1!G12</f>
        <v>-7.6189999999999998</v>
      </c>
      <c r="H12" s="91">
        <f>[2]EB1!H12</f>
        <v>0</v>
      </c>
      <c r="I12" s="91">
        <f>[2]EB1!I12</f>
        <v>-0.23350000000000001</v>
      </c>
      <c r="J12" s="91">
        <f>[2]EB1!J12</f>
        <v>0</v>
      </c>
      <c r="K12" s="91">
        <f>[2]EB1!K12</f>
        <v>0</v>
      </c>
      <c r="L12" s="91">
        <f>[2]EB1!L12</f>
        <v>-15.2</v>
      </c>
      <c r="M12" s="91">
        <f>[2]EB1!M12</f>
        <v>-1.772</v>
      </c>
      <c r="N12" s="91">
        <f>[2]EB1!N12</f>
        <v>0</v>
      </c>
      <c r="O12" s="91">
        <f>[2]EB1!O12</f>
        <v>-105.15525</v>
      </c>
      <c r="P12" s="91">
        <f>[2]EB1!P12</f>
        <v>0</v>
      </c>
      <c r="Q12" s="91">
        <f>[2]EB1!Q12</f>
        <v>0</v>
      </c>
      <c r="R12" s="91">
        <f>[2]EB1!R12</f>
        <v>0</v>
      </c>
      <c r="S12" s="91">
        <f>[2]EB1!S12</f>
        <v>-0.78449999999999998</v>
      </c>
      <c r="T12" s="91">
        <f>[2]EB1!T12</f>
        <v>329.37150000000003</v>
      </c>
      <c r="U12" s="91">
        <f>[2]EB1!U12</f>
        <v>0</v>
      </c>
      <c r="V12" s="92">
        <f>SUM(D12:U12)</f>
        <v>-26.820549999999912</v>
      </c>
    </row>
    <row r="13" spans="1:27" ht="15" x14ac:dyDescent="0.25">
      <c r="B13" s="47" t="s">
        <v>64</v>
      </c>
      <c r="C13" s="93" t="s">
        <v>139</v>
      </c>
      <c r="D13" s="91">
        <f>[2]EB1!D13</f>
        <v>0</v>
      </c>
      <c r="E13" s="91">
        <f>[2]EB1!E13</f>
        <v>0</v>
      </c>
      <c r="F13" s="49">
        <f>[2]EB1!F13</f>
        <v>-15868.2305</v>
      </c>
      <c r="G13" s="49">
        <f>[2]EB1!G13</f>
        <v>5701.34</v>
      </c>
      <c r="H13" s="49">
        <f>[2]EB1!H13</f>
        <v>969.47799999999995</v>
      </c>
      <c r="I13" s="49">
        <f>[2]EB1!I13</f>
        <v>1086.3040000000001</v>
      </c>
      <c r="J13" s="49">
        <f>[2]EB1!J13</f>
        <v>3354.9119999999998</v>
      </c>
      <c r="K13" s="49">
        <f>[2]EB1!K13</f>
        <v>970.28800000000001</v>
      </c>
      <c r="L13" s="49">
        <f>[2]EB1!L13</f>
        <v>2285.1019999999999</v>
      </c>
      <c r="M13" s="49">
        <f>[2]EB1!M13</f>
        <v>1299.9449999999999</v>
      </c>
      <c r="N13" s="91">
        <f>[2]EB1!N13</f>
        <v>0</v>
      </c>
      <c r="O13" s="91">
        <f>[2]EB1!O13</f>
        <v>0</v>
      </c>
      <c r="P13" s="91">
        <f>[2]EB1!P13</f>
        <v>0</v>
      </c>
      <c r="Q13" s="91">
        <f>[2]EB1!Q13</f>
        <v>0</v>
      </c>
      <c r="R13" s="91">
        <f>[2]EB1!R13</f>
        <v>0</v>
      </c>
      <c r="S13" s="91">
        <f>[2]EB1!S13</f>
        <v>0</v>
      </c>
      <c r="T13" s="91">
        <f>[2]EB1!T13</f>
        <v>0</v>
      </c>
      <c r="U13" s="91">
        <f>[2]EB1!U13</f>
        <v>0</v>
      </c>
      <c r="V13" s="92">
        <f>SUM(D13:U13)</f>
        <v>-200.86150000000021</v>
      </c>
    </row>
    <row r="14" spans="1:27" ht="15" x14ac:dyDescent="0.25">
      <c r="B14" s="86"/>
      <c r="C14" s="50" t="s">
        <v>140</v>
      </c>
      <c r="D14" s="94">
        <f>SUM(D10:D13)</f>
        <v>-6381.1501000000017</v>
      </c>
      <c r="E14" s="51">
        <f t="shared" ref="E14:U14" si="1">SUM(E10:E13)</f>
        <v>-2691.93</v>
      </c>
      <c r="F14" s="51">
        <f t="shared" si="1"/>
        <v>-15868.2305</v>
      </c>
      <c r="G14" s="51">
        <f t="shared" si="1"/>
        <v>5647.2764999999999</v>
      </c>
      <c r="H14" s="51">
        <f t="shared" si="1"/>
        <v>969.45650000000001</v>
      </c>
      <c r="I14" s="51">
        <f t="shared" si="1"/>
        <v>533.47450000000003</v>
      </c>
      <c r="J14" s="51">
        <f t="shared" si="1"/>
        <v>3190.404</v>
      </c>
      <c r="K14" s="51">
        <f t="shared" si="1"/>
        <v>969.67200000000003</v>
      </c>
      <c r="L14" s="51">
        <f t="shared" si="1"/>
        <v>1539.2419999999997</v>
      </c>
      <c r="M14" s="51">
        <f t="shared" si="1"/>
        <v>1264.644</v>
      </c>
      <c r="N14" s="51">
        <f t="shared" si="1"/>
        <v>-4455</v>
      </c>
      <c r="O14" s="51">
        <f t="shared" si="1"/>
        <v>-635.62668750000012</v>
      </c>
      <c r="P14" s="51"/>
      <c r="Q14" s="51"/>
      <c r="R14" s="51"/>
      <c r="S14" s="51">
        <f t="shared" si="1"/>
        <v>-18.019000000000002</v>
      </c>
      <c r="T14" s="51">
        <f t="shared" si="1"/>
        <v>1198.1510000000001</v>
      </c>
      <c r="U14" s="51">
        <f t="shared" si="1"/>
        <v>5790.5</v>
      </c>
      <c r="V14" s="52">
        <f>SUM(V10:V13)</f>
        <v>-9781.6922875000037</v>
      </c>
    </row>
    <row r="15" spans="1:27" x14ac:dyDescent="0.2">
      <c r="A15" s="5"/>
      <c r="D15" s="8"/>
      <c r="F15" s="8"/>
      <c r="G15" s="8"/>
      <c r="H15" s="8"/>
      <c r="I15" s="8"/>
      <c r="J15" s="8"/>
      <c r="K15" s="8"/>
      <c r="L15" s="8"/>
      <c r="M15" s="8"/>
    </row>
    <row r="16" spans="1:27" x14ac:dyDescent="0.2">
      <c r="A16" s="5"/>
      <c r="D16" s="8"/>
      <c r="F16" s="8"/>
      <c r="G16" s="8"/>
      <c r="H16" s="8"/>
      <c r="I16" s="8"/>
      <c r="J16" s="8"/>
      <c r="K16" s="8"/>
      <c r="L16" s="8"/>
      <c r="M16" s="8"/>
    </row>
    <row r="17" spans="1:13" ht="15" x14ac:dyDescent="0.25">
      <c r="A17" s="5"/>
      <c r="C17" s="49" t="s">
        <v>114</v>
      </c>
      <c r="D17" s="49"/>
      <c r="E17" s="49"/>
      <c r="F17" s="8"/>
      <c r="G17" s="8"/>
      <c r="H17" s="8"/>
      <c r="I17" s="8"/>
      <c r="J17" s="8"/>
      <c r="K17" s="8"/>
      <c r="L17" s="8"/>
      <c r="M17" s="8"/>
    </row>
    <row r="20" spans="1:13" x14ac:dyDescent="0.2">
      <c r="D20" s="25" t="s">
        <v>44</v>
      </c>
      <c r="E20" s="25" t="s">
        <v>45</v>
      </c>
      <c r="F20" s="25" t="s">
        <v>46</v>
      </c>
    </row>
    <row r="21" spans="1:13" x14ac:dyDescent="0.2">
      <c r="C21" s="26" t="s">
        <v>89</v>
      </c>
      <c r="D21" s="27">
        <v>0.75</v>
      </c>
      <c r="E21" s="27">
        <v>0.5</v>
      </c>
      <c r="F21" s="27">
        <v>0.8</v>
      </c>
    </row>
    <row r="22" spans="1:13" x14ac:dyDescent="0.2">
      <c r="C22" s="28" t="s">
        <v>90</v>
      </c>
      <c r="D22" s="29">
        <v>0.25</v>
      </c>
      <c r="E22" s="29">
        <v>0.5</v>
      </c>
      <c r="F22" s="29">
        <v>0.2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24"/>
  <sheetViews>
    <sheetView zoomScaleNormal="100" workbookViewId="0">
      <selection activeCell="G27" sqref="G27"/>
    </sheetView>
  </sheetViews>
  <sheetFormatPr defaultColWidth="8.85546875" defaultRowHeight="12.75" x14ac:dyDescent="0.2"/>
  <cols>
    <col min="1" max="1" width="3" style="33" customWidth="1"/>
    <col min="2" max="2" width="14" style="33" bestFit="1" customWidth="1"/>
    <col min="3" max="3" width="12.7109375" style="33" customWidth="1"/>
    <col min="4" max="4" width="11.28515625" style="33" customWidth="1"/>
    <col min="5" max="5" width="12.5703125" style="33" customWidth="1"/>
    <col min="6" max="6" width="13.85546875" style="33" customWidth="1"/>
    <col min="7" max="7" width="13.140625" style="33" bestFit="1" customWidth="1"/>
    <col min="8" max="8" width="7.85546875" style="33" bestFit="1" customWidth="1"/>
    <col min="9" max="9" width="2" style="33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3.5703125" customWidth="1"/>
    <col min="17" max="17" width="13.7109375" customWidth="1"/>
    <col min="18" max="18" width="7.5703125" bestFit="1" customWidth="1"/>
    <col min="19" max="16384" width="8.85546875" style="33"/>
  </cols>
  <sheetData>
    <row r="1" spans="2:18" ht="15" x14ac:dyDescent="0.25">
      <c r="B1" s="30" t="s">
        <v>66</v>
      </c>
      <c r="C1" s="11" t="s">
        <v>68</v>
      </c>
      <c r="D1" s="11" t="s">
        <v>88</v>
      </c>
      <c r="E1" s="30" t="s">
        <v>23</v>
      </c>
      <c r="F1" s="30" t="s">
        <v>91</v>
      </c>
      <c r="G1" s="30" t="s">
        <v>71</v>
      </c>
      <c r="H1" s="30" t="s">
        <v>83</v>
      </c>
    </row>
    <row r="2" spans="2:18" ht="15.75" x14ac:dyDescent="0.25">
      <c r="B2" s="14" t="s">
        <v>64</v>
      </c>
      <c r="C2" s="14" t="s">
        <v>105</v>
      </c>
      <c r="D2" s="22" t="s">
        <v>105</v>
      </c>
      <c r="E2" s="14" t="str">
        <f>'EB1'!Z2</f>
        <v>PJ</v>
      </c>
      <c r="F2" s="14" t="s">
        <v>106</v>
      </c>
      <c r="G2" s="14" t="str">
        <f>'EB1'!Y2</f>
        <v>M€2005</v>
      </c>
      <c r="H2" s="14" t="s">
        <v>84</v>
      </c>
      <c r="J2" s="101" t="s">
        <v>14</v>
      </c>
      <c r="K2" s="101"/>
      <c r="L2" s="102"/>
      <c r="M2" s="102"/>
      <c r="N2" s="102"/>
      <c r="O2" s="102"/>
      <c r="P2" s="102"/>
      <c r="Q2" s="102"/>
      <c r="R2" s="102"/>
    </row>
    <row r="3" spans="2:18" x14ac:dyDescent="0.2">
      <c r="J3" s="103" t="s">
        <v>7</v>
      </c>
      <c r="K3" s="104" t="s">
        <v>30</v>
      </c>
      <c r="L3" s="103" t="s">
        <v>0</v>
      </c>
      <c r="M3" s="103" t="s">
        <v>3</v>
      </c>
      <c r="N3" s="103" t="s">
        <v>4</v>
      </c>
      <c r="O3" s="103" t="s">
        <v>8</v>
      </c>
      <c r="P3" s="103" t="s">
        <v>9</v>
      </c>
      <c r="Q3" s="103" t="s">
        <v>10</v>
      </c>
      <c r="R3" s="103" t="s">
        <v>12</v>
      </c>
    </row>
    <row r="4" spans="2:18" s="35" customFormat="1" ht="24" thickBot="1" x14ac:dyDescent="0.3">
      <c r="B4" s="40"/>
      <c r="C4" s="41"/>
      <c r="D4" s="41"/>
      <c r="E4" s="41"/>
      <c r="H4" s="97"/>
      <c r="J4" s="105" t="s">
        <v>37</v>
      </c>
      <c r="K4" s="105" t="s">
        <v>31</v>
      </c>
      <c r="L4" s="105" t="s">
        <v>26</v>
      </c>
      <c r="M4" s="105" t="s">
        <v>27</v>
      </c>
      <c r="N4" s="105" t="s">
        <v>4</v>
      </c>
      <c r="O4" s="105" t="s">
        <v>40</v>
      </c>
      <c r="P4" s="105" t="s">
        <v>41</v>
      </c>
      <c r="Q4" s="105" t="s">
        <v>28</v>
      </c>
      <c r="R4" s="105" t="s">
        <v>29</v>
      </c>
    </row>
    <row r="5" spans="2:18" s="35" customFormat="1" ht="15.75" x14ac:dyDescent="0.25">
      <c r="B5" s="39"/>
      <c r="C5" s="12"/>
      <c r="D5" s="12"/>
      <c r="E5" s="12"/>
      <c r="H5" s="12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96"/>
      <c r="H8" s="96"/>
      <c r="I8" s="35"/>
      <c r="J8" s="101" t="s">
        <v>15</v>
      </c>
      <c r="K8" s="101"/>
      <c r="L8" s="102"/>
      <c r="M8" s="102"/>
      <c r="N8" s="102"/>
      <c r="O8" s="102"/>
      <c r="P8" s="102"/>
      <c r="Q8" s="102"/>
      <c r="R8" s="102"/>
    </row>
    <row r="9" spans="2:18" ht="25.15" customHeight="1" x14ac:dyDescent="0.2">
      <c r="B9" s="20" t="s">
        <v>1</v>
      </c>
      <c r="C9" s="20" t="s">
        <v>5</v>
      </c>
      <c r="D9" s="20" t="s">
        <v>6</v>
      </c>
      <c r="E9" s="65" t="s">
        <v>109</v>
      </c>
      <c r="F9" s="65" t="s">
        <v>74</v>
      </c>
      <c r="G9" s="65" t="s">
        <v>72</v>
      </c>
      <c r="H9" s="98"/>
      <c r="I9" s="37"/>
      <c r="J9" s="103" t="s">
        <v>11</v>
      </c>
      <c r="K9" s="104" t="s">
        <v>30</v>
      </c>
      <c r="L9" s="103" t="s">
        <v>1</v>
      </c>
      <c r="M9" s="103" t="s">
        <v>2</v>
      </c>
      <c r="N9" s="103" t="s">
        <v>16</v>
      </c>
      <c r="O9" s="103" t="s">
        <v>17</v>
      </c>
      <c r="P9" s="103" t="s">
        <v>18</v>
      </c>
      <c r="Q9" s="103" t="s">
        <v>19</v>
      </c>
      <c r="R9" s="103" t="s">
        <v>20</v>
      </c>
    </row>
    <row r="10" spans="2:18" ht="23.25" thickBot="1" x14ac:dyDescent="0.25">
      <c r="B10" s="19" t="s">
        <v>39</v>
      </c>
      <c r="C10" s="19" t="s">
        <v>32</v>
      </c>
      <c r="D10" s="19" t="s">
        <v>33</v>
      </c>
      <c r="E10" s="19" t="s">
        <v>108</v>
      </c>
      <c r="F10" s="19" t="s">
        <v>76</v>
      </c>
      <c r="G10" s="19" t="s">
        <v>107</v>
      </c>
      <c r="H10" s="99"/>
      <c r="I10" s="35"/>
      <c r="J10" s="105" t="s">
        <v>38</v>
      </c>
      <c r="K10" s="105" t="s">
        <v>31</v>
      </c>
      <c r="L10" s="105" t="s">
        <v>21</v>
      </c>
      <c r="M10" s="105" t="s">
        <v>22</v>
      </c>
      <c r="N10" s="105" t="s">
        <v>23</v>
      </c>
      <c r="O10" s="105" t="s">
        <v>24</v>
      </c>
      <c r="P10" s="105" t="s">
        <v>43</v>
      </c>
      <c r="Q10" s="105" t="s">
        <v>42</v>
      </c>
      <c r="R10" s="105" t="s">
        <v>25</v>
      </c>
    </row>
    <row r="11" spans="2:18" ht="13.5" thickBot="1" x14ac:dyDescent="0.25">
      <c r="B11" s="18" t="s">
        <v>77</v>
      </c>
      <c r="C11" s="18"/>
      <c r="D11" s="18"/>
      <c r="E11" s="17" t="str">
        <f>$F$2</f>
        <v>Pja</v>
      </c>
      <c r="F11" s="17"/>
      <c r="G11" s="17"/>
      <c r="H11" s="100"/>
      <c r="I11" s="35"/>
      <c r="J11" s="105" t="s">
        <v>73</v>
      </c>
      <c r="K11" s="105"/>
      <c r="L11" s="105"/>
      <c r="M11" s="105"/>
      <c r="N11" s="105"/>
      <c r="O11" s="105"/>
      <c r="P11" s="105"/>
      <c r="Q11" s="105"/>
      <c r="R11" s="105"/>
    </row>
    <row r="12" spans="2:18" x14ac:dyDescent="0.2">
      <c r="B12" s="33" t="str">
        <f>L12</f>
        <v>REFEOIL00</v>
      </c>
      <c r="C12" s="33" t="str">
        <f>'EB1'!F2</f>
        <v>OIL</v>
      </c>
      <c r="D12" s="33" t="str">
        <f>'EB1'!G2</f>
        <v>DSL</v>
      </c>
      <c r="E12" s="95">
        <f>'EB1'!G$13/SUM('EB1'!$G$13:$M$13)</f>
        <v>0.36389900563393895</v>
      </c>
      <c r="F12" s="57">
        <f>-SUM('EB1'!F13)/SUM('EB1'!G13:M13)</f>
        <v>1.0128203720739584</v>
      </c>
      <c r="G12" s="55">
        <f>SUM('EB1'!G13:M13)</f>
        <v>15667.368999999999</v>
      </c>
      <c r="H12" s="16"/>
      <c r="I12" s="35"/>
      <c r="J12" s="106" t="s">
        <v>87</v>
      </c>
      <c r="K12" s="107"/>
      <c r="L12" s="107" t="str">
        <f>$B$2&amp;$H$2&amp;'EB1'!F2&amp;"00"</f>
        <v>REFEOIL00</v>
      </c>
      <c r="M12" s="110" t="str">
        <f>$D$2&amp;" "&amp;$H$1&amp;RIGHT(L12,2)</f>
        <v>Refinery Existing00</v>
      </c>
      <c r="N12" s="107" t="str">
        <f>$E$2</f>
        <v>PJ</v>
      </c>
      <c r="O12" s="107" t="str">
        <f>$F$2</f>
        <v>Pja</v>
      </c>
      <c r="P12" s="106"/>
      <c r="Q12" s="106" t="s">
        <v>110</v>
      </c>
      <c r="R12" s="107"/>
    </row>
    <row r="13" spans="2:18" x14ac:dyDescent="0.2">
      <c r="D13" s="33" t="str">
        <f>'EB1'!H2</f>
        <v>KER</v>
      </c>
      <c r="E13" s="95">
        <f>'EB1'!H$13/SUM('EB1'!$G$13:$M$13)</f>
        <v>6.1878800454626431E-2</v>
      </c>
      <c r="F13" s="38"/>
      <c r="H13" s="35"/>
      <c r="I13" s="35"/>
      <c r="J13" s="5"/>
      <c r="K13" s="5"/>
      <c r="L13" s="5"/>
      <c r="M13" s="23"/>
      <c r="N13" s="5"/>
      <c r="O13" s="5"/>
      <c r="P13" s="5"/>
      <c r="Q13" s="5"/>
      <c r="R13" s="5"/>
    </row>
    <row r="14" spans="2:18" x14ac:dyDescent="0.2">
      <c r="B14" s="36"/>
      <c r="C14" s="36"/>
      <c r="D14" s="36" t="str">
        <f>'EB1'!I2</f>
        <v>LPG</v>
      </c>
      <c r="E14" s="95">
        <f>'EB1'!I$13/SUM('EB1'!$G$13:$M$13)</f>
        <v>6.9335444898246806E-2</v>
      </c>
      <c r="F14" s="42"/>
      <c r="G14" s="36"/>
      <c r="H14" s="36"/>
      <c r="I14" s="35"/>
      <c r="J14" s="5"/>
      <c r="K14" s="5"/>
      <c r="L14" s="5"/>
      <c r="M14" s="23"/>
      <c r="N14" s="5"/>
      <c r="O14" s="5"/>
      <c r="P14" s="5"/>
      <c r="Q14" s="5"/>
      <c r="R14" s="5"/>
    </row>
    <row r="15" spans="2:18" x14ac:dyDescent="0.2">
      <c r="B15" s="36"/>
      <c r="C15" s="36"/>
      <c r="D15" s="36" t="str">
        <f>'EB1'!J2</f>
        <v>GSL</v>
      </c>
      <c r="E15" s="95">
        <f>'EB1'!J$13/SUM('EB1'!$G$13:$M$13)</f>
        <v>0.21413371957984778</v>
      </c>
      <c r="F15" s="42"/>
      <c r="G15" s="36"/>
      <c r="H15" s="36"/>
      <c r="I15" s="36"/>
      <c r="J15" s="5"/>
      <c r="K15" s="5"/>
      <c r="L15" s="5"/>
      <c r="M15" s="23"/>
      <c r="N15" s="5"/>
      <c r="O15" s="5"/>
      <c r="P15" s="5"/>
      <c r="Q15" s="5"/>
      <c r="R15" s="5"/>
    </row>
    <row r="16" spans="2:18" x14ac:dyDescent="0.2">
      <c r="B16" s="36"/>
      <c r="C16" s="36"/>
      <c r="D16" s="36" t="str">
        <f>'EB1'!K2</f>
        <v>NAP</v>
      </c>
      <c r="E16" s="95">
        <f>'EB1'!K$13/SUM('EB1'!$G$13:$M$13)</f>
        <v>6.1930500264594526E-2</v>
      </c>
      <c r="F16" s="42"/>
      <c r="G16" s="36"/>
      <c r="H16" s="36"/>
      <c r="I16" s="36"/>
      <c r="J16" s="5"/>
      <c r="K16" s="5"/>
      <c r="L16" s="5"/>
      <c r="M16" s="23"/>
      <c r="N16" s="5"/>
      <c r="O16" s="5"/>
      <c r="P16" s="10"/>
      <c r="Q16" s="5"/>
      <c r="R16" s="5"/>
    </row>
    <row r="17" spans="2:18" x14ac:dyDescent="0.2">
      <c r="B17" s="36"/>
      <c r="C17" s="36"/>
      <c r="D17" s="36" t="str">
        <f>'EB1'!L2</f>
        <v>HFO</v>
      </c>
      <c r="E17" s="95">
        <f>'EB1'!L$13/SUM('EB1'!$G$13:$M$13)</f>
        <v>0.1458510359971735</v>
      </c>
      <c r="F17" s="42"/>
      <c r="G17" s="36"/>
      <c r="H17" s="36"/>
      <c r="I17" s="36"/>
      <c r="J17" s="5"/>
      <c r="K17" s="5"/>
      <c r="L17" s="5"/>
      <c r="M17" s="5"/>
      <c r="N17" s="5"/>
      <c r="O17" s="5"/>
      <c r="P17" s="10"/>
      <c r="Q17" s="5"/>
      <c r="R17" s="5"/>
    </row>
    <row r="18" spans="2:18" x14ac:dyDescent="0.2">
      <c r="B18" s="36"/>
      <c r="C18" s="36"/>
      <c r="D18" s="36" t="str">
        <f>'EB1'!M2</f>
        <v>OPP</v>
      </c>
      <c r="E18" s="95">
        <f>'EB1'!M$13/SUM('EB1'!$G$13:$M$13)</f>
        <v>8.2971493171572083E-2</v>
      </c>
      <c r="F18" s="42"/>
      <c r="G18" s="43"/>
      <c r="H18" s="43"/>
      <c r="I18" s="36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6"/>
      <c r="C19" s="36"/>
      <c r="D19" s="36"/>
      <c r="E19" s="43"/>
      <c r="F19" s="36"/>
      <c r="G19" s="36"/>
      <c r="H19" s="36"/>
      <c r="I19" s="36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44"/>
      <c r="I20" s="36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E21" s="44"/>
    </row>
    <row r="23" spans="2:18" x14ac:dyDescent="0.2">
      <c r="B23" s="48"/>
      <c r="C23" s="1" t="s">
        <v>115</v>
      </c>
    </row>
    <row r="24" spans="2:18" x14ac:dyDescent="0.2">
      <c r="B24" s="56"/>
      <c r="C24" s="1" t="s">
        <v>116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7:S12"/>
  <sheetViews>
    <sheetView tabSelected="1" zoomScale="120" zoomScaleNormal="120" workbookViewId="0">
      <selection activeCell="D13" sqref="D13"/>
    </sheetView>
  </sheetViews>
  <sheetFormatPr defaultRowHeight="12.75" x14ac:dyDescent="0.2"/>
  <cols>
    <col min="2" max="2" width="11.7109375" bestFit="1" customWidth="1"/>
    <col min="11" max="11" width="13.85546875" customWidth="1"/>
    <col min="13" max="13" width="12.28515625" bestFit="1" customWidth="1"/>
    <col min="14" max="14" width="11.7109375" bestFit="1" customWidth="1"/>
    <col min="16" max="16" width="12" customWidth="1"/>
  </cols>
  <sheetData>
    <row r="7" spans="2:19" x14ac:dyDescent="0.2">
      <c r="K7" s="10"/>
      <c r="L7" s="5"/>
      <c r="M7" s="10"/>
      <c r="N7" s="10"/>
      <c r="O7" s="10"/>
      <c r="P7" s="10"/>
      <c r="Q7" s="10"/>
      <c r="R7" s="10"/>
      <c r="S7" s="10"/>
    </row>
    <row r="9" spans="2:19" x14ac:dyDescent="0.2">
      <c r="B9" s="101" t="s">
        <v>14</v>
      </c>
      <c r="C9" s="101"/>
      <c r="D9" s="102"/>
      <c r="E9" s="102"/>
      <c r="F9" s="102"/>
      <c r="G9" s="102"/>
      <c r="H9" s="102"/>
      <c r="I9" s="102"/>
      <c r="J9" s="102"/>
    </row>
    <row r="10" spans="2:19" x14ac:dyDescent="0.2">
      <c r="B10" s="103" t="s">
        <v>7</v>
      </c>
      <c r="C10" s="104" t="s">
        <v>30</v>
      </c>
      <c r="D10" s="103" t="s">
        <v>0</v>
      </c>
      <c r="E10" s="103" t="s">
        <v>3</v>
      </c>
      <c r="F10" s="103" t="s">
        <v>4</v>
      </c>
      <c r="G10" s="103" t="s">
        <v>8</v>
      </c>
      <c r="H10" s="103" t="s">
        <v>9</v>
      </c>
      <c r="I10" s="103" t="s">
        <v>10</v>
      </c>
      <c r="J10" s="103" t="s">
        <v>12</v>
      </c>
    </row>
    <row r="11" spans="2:19" ht="34.5" thickBot="1" x14ac:dyDescent="0.25">
      <c r="B11" s="105" t="s">
        <v>37</v>
      </c>
      <c r="C11" s="105" t="s">
        <v>31</v>
      </c>
      <c r="D11" s="105" t="s">
        <v>26</v>
      </c>
      <c r="E11" s="105" t="s">
        <v>27</v>
      </c>
      <c r="F11" s="105" t="s">
        <v>4</v>
      </c>
      <c r="G11" s="105" t="s">
        <v>40</v>
      </c>
      <c r="H11" s="105" t="s">
        <v>41</v>
      </c>
      <c r="I11" s="105" t="s">
        <v>28</v>
      </c>
      <c r="J11" s="105" t="s">
        <v>29</v>
      </c>
    </row>
    <row r="12" spans="2:19" x14ac:dyDescent="0.2">
      <c r="B12" s="106" t="s">
        <v>142</v>
      </c>
      <c r="C12" s="107"/>
      <c r="D12" s="106" t="s">
        <v>145</v>
      </c>
      <c r="E12" s="106" t="s">
        <v>143</v>
      </c>
      <c r="F12" s="106" t="str">
        <f>'EB1'!AA2</f>
        <v>kt</v>
      </c>
      <c r="G12" s="106"/>
      <c r="H12" s="106"/>
      <c r="I12" s="106"/>
      <c r="J12" s="106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R44"/>
  <sheetViews>
    <sheetView zoomScale="60" zoomScaleNormal="60" workbookViewId="0">
      <selection activeCell="S15" sqref="S15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3" max="13" width="6.7109375" customWidth="1"/>
    <col min="14" max="14" width="26.140625" customWidth="1"/>
    <col min="15" max="15" width="22.5703125" customWidth="1"/>
    <col min="18" max="18" width="2.7109375" customWidth="1"/>
  </cols>
  <sheetData>
    <row r="3" spans="2:18" ht="18" x14ac:dyDescent="0.25">
      <c r="B3" s="62" t="s">
        <v>117</v>
      </c>
    </row>
    <row r="5" spans="2:18" ht="18" x14ac:dyDescent="0.25">
      <c r="D5" s="111" t="s">
        <v>123</v>
      </c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  <c r="R5" s="72"/>
    </row>
    <row r="6" spans="2:18" ht="12.75" customHeight="1" x14ac:dyDescent="0.2">
      <c r="D6" s="63" t="s">
        <v>119</v>
      </c>
      <c r="E6" s="63"/>
      <c r="F6" s="63"/>
      <c r="G6" s="63"/>
      <c r="H6" s="63"/>
      <c r="I6" s="63"/>
      <c r="M6" s="63" t="s">
        <v>118</v>
      </c>
      <c r="N6" s="63"/>
      <c r="O6" s="63"/>
      <c r="P6" s="63"/>
      <c r="Q6" s="64"/>
    </row>
    <row r="7" spans="2:18" x14ac:dyDescent="0.2">
      <c r="M7" s="63" t="s">
        <v>120</v>
      </c>
      <c r="N7" s="63"/>
      <c r="O7" s="63"/>
      <c r="P7" s="63"/>
    </row>
    <row r="44" spans="14:18" x14ac:dyDescent="0.2">
      <c r="N44" s="64"/>
      <c r="O44" s="64"/>
      <c r="P44" s="64"/>
      <c r="Q44" s="5"/>
      <c r="R44" s="5"/>
    </row>
  </sheetData>
  <mergeCells count="1">
    <mergeCell ref="D5:Q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2"/>
  <sheetViews>
    <sheetView zoomScaleNormal="100" workbookViewId="0">
      <selection activeCell="D8" sqref="D8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42578125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bestFit="1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'EB1'!D2</f>
        <v>COA</v>
      </c>
      <c r="D2" s="14" t="str">
        <f>'EB1'!D3</f>
        <v>Solid Fuels</v>
      </c>
      <c r="E2" s="14" t="str">
        <f>'EB1'!Z2</f>
        <v>PJ</v>
      </c>
      <c r="F2" s="14" t="str">
        <f>'EB1'!Y2</f>
        <v>M€2005</v>
      </c>
      <c r="I2" s="101" t="s">
        <v>14</v>
      </c>
      <c r="J2" s="101"/>
      <c r="K2" s="102"/>
      <c r="L2" s="102"/>
      <c r="M2" s="102"/>
      <c r="N2" s="102"/>
      <c r="O2" s="102"/>
      <c r="P2" s="102"/>
      <c r="Q2" s="102"/>
    </row>
    <row r="3" spans="2:18" x14ac:dyDescent="0.2">
      <c r="I3" s="103" t="s">
        <v>7</v>
      </c>
      <c r="J3" s="104" t="s">
        <v>30</v>
      </c>
      <c r="K3" s="103" t="s">
        <v>0</v>
      </c>
      <c r="L3" s="103" t="s">
        <v>3</v>
      </c>
      <c r="M3" s="103" t="s">
        <v>4</v>
      </c>
      <c r="N3" s="103" t="s">
        <v>8</v>
      </c>
      <c r="O3" s="103" t="s">
        <v>9</v>
      </c>
      <c r="P3" s="103" t="s">
        <v>10</v>
      </c>
      <c r="Q3" s="103" t="s">
        <v>12</v>
      </c>
    </row>
    <row r="4" spans="2:18" ht="23.25" thickBot="1" x14ac:dyDescent="0.25">
      <c r="C4" s="1"/>
      <c r="I4" s="105" t="s">
        <v>37</v>
      </c>
      <c r="J4" s="105" t="s">
        <v>31</v>
      </c>
      <c r="K4" s="105" t="s">
        <v>26</v>
      </c>
      <c r="L4" s="105" t="s">
        <v>27</v>
      </c>
      <c r="M4" s="105" t="s">
        <v>4</v>
      </c>
      <c r="N4" s="105" t="s">
        <v>40</v>
      </c>
      <c r="O4" s="105" t="s">
        <v>41</v>
      </c>
      <c r="P4" s="105" t="s">
        <v>28</v>
      </c>
      <c r="Q4" s="105" t="s">
        <v>29</v>
      </c>
    </row>
    <row r="5" spans="2:18" x14ac:dyDescent="0.2">
      <c r="I5" s="106" t="s">
        <v>65</v>
      </c>
      <c r="J5" s="107"/>
      <c r="K5" s="106" t="str">
        <f>C2</f>
        <v>COA</v>
      </c>
      <c r="L5" s="106" t="str">
        <f>D2</f>
        <v>Solid Fuels</v>
      </c>
      <c r="M5" s="106" t="str">
        <f>$E$2</f>
        <v>PJ</v>
      </c>
      <c r="N5" s="106"/>
      <c r="O5" s="106"/>
      <c r="P5" s="106"/>
      <c r="Q5" s="106"/>
    </row>
    <row r="7" spans="2:18" x14ac:dyDescent="0.2">
      <c r="D7" s="4" t="s">
        <v>144</v>
      </c>
      <c r="F7" s="4"/>
      <c r="I7" s="101" t="s">
        <v>15</v>
      </c>
      <c r="J7" s="101"/>
      <c r="K7" s="108"/>
      <c r="L7" s="108"/>
      <c r="M7" s="108"/>
      <c r="N7" s="108"/>
      <c r="O7" s="108"/>
      <c r="P7" s="108"/>
      <c r="Q7" s="108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H8" s="5"/>
      <c r="I8" s="103" t="s">
        <v>11</v>
      </c>
      <c r="J8" s="104" t="s">
        <v>30</v>
      </c>
      <c r="K8" s="103" t="s">
        <v>1</v>
      </c>
      <c r="L8" s="103" t="s">
        <v>2</v>
      </c>
      <c r="M8" s="103" t="s">
        <v>16</v>
      </c>
      <c r="N8" s="103" t="s">
        <v>17</v>
      </c>
      <c r="O8" s="103" t="s">
        <v>18</v>
      </c>
      <c r="P8" s="103" t="s">
        <v>19</v>
      </c>
      <c r="Q8" s="103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05" t="s">
        <v>38</v>
      </c>
      <c r="J9" s="105" t="s">
        <v>31</v>
      </c>
      <c r="K9" s="105" t="s">
        <v>21</v>
      </c>
      <c r="L9" s="105" t="s">
        <v>22</v>
      </c>
      <c r="M9" s="105" t="s">
        <v>23</v>
      </c>
      <c r="N9" s="105" t="s">
        <v>24</v>
      </c>
      <c r="O9" s="105" t="s">
        <v>43</v>
      </c>
      <c r="P9" s="105" t="s">
        <v>42</v>
      </c>
      <c r="Q9" s="105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5" t="s">
        <v>73</v>
      </c>
      <c r="J10" s="109"/>
      <c r="K10" s="109"/>
      <c r="L10" s="109"/>
      <c r="M10" s="109"/>
      <c r="N10" s="109"/>
      <c r="O10" s="109"/>
      <c r="P10" s="109"/>
      <c r="Q10" s="109"/>
    </row>
    <row r="11" spans="2:18" s="5" customFormat="1" x14ac:dyDescent="0.2">
      <c r="B11" s="10" t="str">
        <f>K11</f>
        <v>MINCOA1</v>
      </c>
      <c r="C11" s="10"/>
      <c r="D11" s="10" t="str">
        <f>$K$5</f>
        <v>COA</v>
      </c>
      <c r="E11" s="58">
        <v>80000</v>
      </c>
      <c r="F11" s="60">
        <v>2</v>
      </c>
      <c r="G11" s="54">
        <f>'EB1'!$D$5*'EB1'!D21</f>
        <v>3947.949525</v>
      </c>
      <c r="I11" s="106" t="str">
        <f>'EB1'!$B$5</f>
        <v>MIN</v>
      </c>
      <c r="J11" s="107"/>
      <c r="K11" s="107" t="str">
        <f>$I$11&amp;$C$2&amp;1</f>
        <v>MINCOA1</v>
      </c>
      <c r="L11" s="110" t="str">
        <f>"Domestic Supply of "&amp;$D$2&amp; " Step "&amp;RIGHT(K11,1)</f>
        <v>Domestic Supply of Solid Fuels Step 1</v>
      </c>
      <c r="M11" s="107" t="str">
        <f>$E$2</f>
        <v>PJ</v>
      </c>
      <c r="N11" s="107" t="str">
        <f>$E$2&amp;"a"</f>
        <v>PJa</v>
      </c>
      <c r="O11" s="107"/>
      <c r="P11" s="107"/>
      <c r="Q11" s="107"/>
    </row>
    <row r="12" spans="2:18" x14ac:dyDescent="0.2">
      <c r="B12" s="10" t="str">
        <f>K12</f>
        <v>MINCOA2</v>
      </c>
      <c r="C12" s="10"/>
      <c r="D12" s="10" t="str">
        <f>$K$5</f>
        <v>COA</v>
      </c>
      <c r="E12" s="58">
        <v>160000</v>
      </c>
      <c r="F12" s="60">
        <v>2.5</v>
      </c>
      <c r="G12" s="54">
        <f>'EB1'!$D$5*'EB1'!D22</f>
        <v>1315.9831750000001</v>
      </c>
      <c r="I12" s="107"/>
      <c r="J12" s="107"/>
      <c r="K12" s="107" t="str">
        <f>$I$11&amp;$C$2&amp;2</f>
        <v>MINCOA2</v>
      </c>
      <c r="L12" s="110" t="str">
        <f>"Domestic Supply of "&amp;$D$2&amp; " Step "&amp;RIGHT(K12,1)</f>
        <v>Domestic Supply of Solid Fuels Step 2</v>
      </c>
      <c r="M12" s="107" t="str">
        <f>$E$2</f>
        <v>PJ</v>
      </c>
      <c r="N12" s="107" t="str">
        <f>$E$2&amp;"a"</f>
        <v>PJa</v>
      </c>
      <c r="O12" s="107"/>
      <c r="P12" s="107"/>
      <c r="Q12" s="107"/>
      <c r="R12" s="5"/>
    </row>
    <row r="13" spans="2:18" x14ac:dyDescent="0.2">
      <c r="B13" s="10" t="str">
        <f>K13</f>
        <v>MINCOA3</v>
      </c>
      <c r="C13" s="10"/>
      <c r="D13" s="10" t="str">
        <f>$K$5</f>
        <v>COA</v>
      </c>
      <c r="E13" s="58">
        <v>3000000</v>
      </c>
      <c r="F13" s="60">
        <v>2.6</v>
      </c>
      <c r="G13" s="58">
        <v>5000</v>
      </c>
      <c r="I13" s="107"/>
      <c r="J13" s="107"/>
      <c r="K13" s="107" t="str">
        <f>$I$11&amp;$C$2&amp;3</f>
        <v>MINCOA3</v>
      </c>
      <c r="L13" s="110" t="str">
        <f>"Domestic Supply of "&amp;$D$2&amp; " Step "&amp;RIGHT(K13,1)</f>
        <v>Domestic Supply of Solid Fuels Step 3</v>
      </c>
      <c r="M13" s="107" t="str">
        <f>$E$2</f>
        <v>PJ</v>
      </c>
      <c r="N13" s="107" t="str">
        <f>$E$2&amp;"a"</f>
        <v>PJa</v>
      </c>
      <c r="O13" s="107"/>
      <c r="P13" s="107"/>
      <c r="Q13" s="107"/>
    </row>
    <row r="14" spans="2:18" x14ac:dyDescent="0.2">
      <c r="B14" s="10" t="str">
        <f>K14</f>
        <v>IMPCOA1</v>
      </c>
      <c r="C14" s="10"/>
      <c r="D14" s="10" t="str">
        <f>$K$5</f>
        <v>COA</v>
      </c>
      <c r="E14" s="9"/>
      <c r="F14" s="60">
        <v>2.75</v>
      </c>
      <c r="G14" s="16"/>
      <c r="I14" s="107" t="str">
        <f>'EB1'!$B$6</f>
        <v>IMP</v>
      </c>
      <c r="J14" s="107"/>
      <c r="K14" s="107" t="str">
        <f>$I$14&amp;$C$2&amp;1</f>
        <v>IMPCOA1</v>
      </c>
      <c r="L14" s="110" t="str">
        <f>"Import of "&amp;$D$2&amp; " Step "&amp;RIGHT(K14,1)</f>
        <v>Import of Solid Fuels Step 1</v>
      </c>
      <c r="M14" s="107" t="str">
        <f>$E$2</f>
        <v>PJ</v>
      </c>
      <c r="N14" s="107" t="str">
        <f>$E$2&amp;"a"</f>
        <v>PJa</v>
      </c>
      <c r="O14" s="107"/>
      <c r="P14" s="107"/>
      <c r="Q14" s="107"/>
    </row>
    <row r="15" spans="2:18" s="5" customFormat="1" x14ac:dyDescent="0.2">
      <c r="B15" s="10" t="str">
        <f>K15</f>
        <v>EXPCOA1</v>
      </c>
      <c r="C15" s="10" t="str">
        <f>$K$5</f>
        <v>COA</v>
      </c>
      <c r="D15" s="10"/>
      <c r="F15" s="60">
        <f>2.75*0.99</f>
        <v>2.7225000000000001</v>
      </c>
      <c r="G15" s="55">
        <f>-'EB1'!D7</f>
        <v>745.59484999999995</v>
      </c>
      <c r="I15" s="107" t="str">
        <f>'EB1'!B7</f>
        <v>EXP</v>
      </c>
      <c r="J15" s="107"/>
      <c r="K15" s="107" t="str">
        <f>$I$15&amp;$C$2&amp;1</f>
        <v>EXPCOA1</v>
      </c>
      <c r="L15" s="110" t="str">
        <f>"Export of "&amp;$D$2&amp; " Step "&amp;RIGHT(K15,1)</f>
        <v>Export of Solid Fuels Step 1</v>
      </c>
      <c r="M15" s="107" t="str">
        <f>$E$2</f>
        <v>PJ</v>
      </c>
      <c r="N15" s="107" t="str">
        <f>$E$2&amp;"a"</f>
        <v>PJa</v>
      </c>
      <c r="O15" s="107"/>
      <c r="P15" s="107"/>
      <c r="Q15" s="107"/>
      <c r="R15"/>
    </row>
    <row r="16" spans="2:18" s="5" customFormat="1" x14ac:dyDescent="0.2">
      <c r="B16" s="10"/>
      <c r="C16" s="10"/>
      <c r="E16" s="9"/>
      <c r="G16" s="15"/>
    </row>
    <row r="17" spans="2:18" s="5" customFormat="1" x14ac:dyDescent="0.2">
      <c r="B17" s="1"/>
    </row>
    <row r="18" spans="2:18" s="5" customFormat="1" x14ac:dyDescent="0.2"/>
    <row r="19" spans="2:18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R23" s="1"/>
    </row>
    <row r="25" spans="2:18" s="5" customFormat="1" x14ac:dyDescent="0.2">
      <c r="B25" s="58"/>
      <c r="C25" s="1" t="s">
        <v>115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 s="56"/>
      <c r="C26" s="1" t="s">
        <v>116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4"/>
  <sheetViews>
    <sheetView zoomScaleNormal="100" workbookViewId="0">
      <selection activeCell="E13" sqref="E13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'EB1'!E2</f>
        <v>GAS</v>
      </c>
      <c r="D2" s="14" t="str">
        <f>'EB1'!E3</f>
        <v>Natural Gas</v>
      </c>
      <c r="E2" s="14" t="str">
        <f>'EB1'!Z2</f>
        <v>PJ</v>
      </c>
      <c r="F2" s="14" t="str">
        <f>'EB1'!Y2</f>
        <v>M€2005</v>
      </c>
      <c r="I2" s="101" t="s">
        <v>14</v>
      </c>
      <c r="J2" s="101"/>
      <c r="K2" s="102"/>
      <c r="L2" s="102"/>
      <c r="M2" s="102"/>
      <c r="N2" s="102"/>
      <c r="O2" s="102"/>
      <c r="P2" s="102"/>
      <c r="Q2" s="102"/>
    </row>
    <row r="3" spans="2:18" x14ac:dyDescent="0.2">
      <c r="I3" s="103" t="s">
        <v>7</v>
      </c>
      <c r="J3" s="104" t="s">
        <v>30</v>
      </c>
      <c r="K3" s="103" t="s">
        <v>0</v>
      </c>
      <c r="L3" s="103" t="s">
        <v>3</v>
      </c>
      <c r="M3" s="103" t="s">
        <v>4</v>
      </c>
      <c r="N3" s="103" t="s">
        <v>8</v>
      </c>
      <c r="O3" s="103" t="s">
        <v>9</v>
      </c>
      <c r="P3" s="103" t="s">
        <v>10</v>
      </c>
      <c r="Q3" s="103" t="s">
        <v>12</v>
      </c>
    </row>
    <row r="4" spans="2:18" ht="23.25" thickBot="1" x14ac:dyDescent="0.25">
      <c r="C4" s="1"/>
      <c r="I4" s="105" t="s">
        <v>37</v>
      </c>
      <c r="J4" s="105" t="s">
        <v>31</v>
      </c>
      <c r="K4" s="105" t="s">
        <v>26</v>
      </c>
      <c r="L4" s="105" t="s">
        <v>27</v>
      </c>
      <c r="M4" s="105" t="s">
        <v>4</v>
      </c>
      <c r="N4" s="105" t="s">
        <v>40</v>
      </c>
      <c r="O4" s="105" t="s">
        <v>41</v>
      </c>
      <c r="P4" s="105" t="s">
        <v>28</v>
      </c>
      <c r="Q4" s="105" t="s">
        <v>29</v>
      </c>
    </row>
    <row r="5" spans="2:18" x14ac:dyDescent="0.2">
      <c r="I5" s="106" t="s">
        <v>65</v>
      </c>
      <c r="J5" s="107"/>
      <c r="K5" s="106" t="str">
        <f>C2</f>
        <v>GAS</v>
      </c>
      <c r="L5" s="106" t="str">
        <f>D2</f>
        <v>Natural Gas</v>
      </c>
      <c r="M5" s="106" t="str">
        <f>$E$2</f>
        <v>PJ</v>
      </c>
      <c r="N5" s="106"/>
      <c r="O5" s="106"/>
      <c r="P5" s="106"/>
      <c r="Q5" s="106"/>
    </row>
    <row r="7" spans="2:18" x14ac:dyDescent="0.2">
      <c r="D7" s="4" t="s">
        <v>13</v>
      </c>
      <c r="F7" s="4"/>
      <c r="I7" s="101" t="s">
        <v>15</v>
      </c>
      <c r="J7" s="101"/>
      <c r="K7" s="108"/>
      <c r="L7" s="108"/>
      <c r="M7" s="108"/>
      <c r="N7" s="108"/>
      <c r="O7" s="108"/>
      <c r="P7" s="108"/>
      <c r="Q7" s="108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3" t="s">
        <v>11</v>
      </c>
      <c r="J8" s="104" t="s">
        <v>30</v>
      </c>
      <c r="K8" s="103" t="s">
        <v>1</v>
      </c>
      <c r="L8" s="103" t="s">
        <v>2</v>
      </c>
      <c r="M8" s="103" t="s">
        <v>16</v>
      </c>
      <c r="N8" s="103" t="s">
        <v>17</v>
      </c>
      <c r="O8" s="103" t="s">
        <v>18</v>
      </c>
      <c r="P8" s="103" t="s">
        <v>19</v>
      </c>
      <c r="Q8" s="103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05" t="s">
        <v>38</v>
      </c>
      <c r="J9" s="105" t="s">
        <v>31</v>
      </c>
      <c r="K9" s="105" t="s">
        <v>21</v>
      </c>
      <c r="L9" s="105" t="s">
        <v>22</v>
      </c>
      <c r="M9" s="105" t="s">
        <v>23</v>
      </c>
      <c r="N9" s="105" t="s">
        <v>24</v>
      </c>
      <c r="O9" s="105" t="s">
        <v>43</v>
      </c>
      <c r="P9" s="105" t="s">
        <v>42</v>
      </c>
      <c r="Q9" s="105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5" t="s">
        <v>73</v>
      </c>
      <c r="J10" s="109"/>
      <c r="K10" s="109"/>
      <c r="L10" s="109"/>
      <c r="M10" s="109"/>
      <c r="N10" s="109"/>
      <c r="O10" s="109"/>
      <c r="P10" s="109"/>
      <c r="Q10" s="109"/>
    </row>
    <row r="11" spans="2:18" s="5" customFormat="1" x14ac:dyDescent="0.2">
      <c r="B11" s="10" t="str">
        <f>K11</f>
        <v>MINGAS1</v>
      </c>
      <c r="C11" s="10"/>
      <c r="D11" s="10" t="str">
        <f>$K$5</f>
        <v>GAS</v>
      </c>
      <c r="E11" s="53">
        <v>15000</v>
      </c>
      <c r="F11" s="59">
        <v>3.6</v>
      </c>
      <c r="G11" s="55">
        <f>'EB1'!$E$5*'EB1'!E21</f>
        <v>1579.8994000000002</v>
      </c>
      <c r="I11" s="106" t="str">
        <f>'EB1'!$B$5</f>
        <v>MIN</v>
      </c>
      <c r="J11" s="107"/>
      <c r="K11" s="107" t="str">
        <f>$I$11&amp;$C$2&amp;1</f>
        <v>MINGAS1</v>
      </c>
      <c r="L11" s="110" t="str">
        <f>"Domestic Supply of "&amp;$D$2&amp; " Step "&amp;RIGHT(K11,1)</f>
        <v>Domestic Supply of Natural Gas Step 1</v>
      </c>
      <c r="M11" s="107" t="str">
        <f>$E$2</f>
        <v>PJ</v>
      </c>
      <c r="N11" s="107" t="str">
        <f>$E$2&amp;"a"</f>
        <v>PJa</v>
      </c>
      <c r="O11" s="107"/>
      <c r="P11" s="107"/>
      <c r="Q11" s="107"/>
    </row>
    <row r="12" spans="2:18" x14ac:dyDescent="0.2">
      <c r="B12" s="10" t="str">
        <f>K12</f>
        <v>MINGAS2</v>
      </c>
      <c r="C12" s="10"/>
      <c r="D12" s="10" t="str">
        <f>$K$5</f>
        <v>GAS</v>
      </c>
      <c r="E12" s="53">
        <v>20000</v>
      </c>
      <c r="F12" s="59">
        <v>4.1399999999999997</v>
      </c>
      <c r="G12" s="55">
        <f>'EB1'!$E$5*'EB1'!E22</f>
        <v>1579.8994000000002</v>
      </c>
      <c r="H12" s="5"/>
      <c r="I12" s="107"/>
      <c r="J12" s="107"/>
      <c r="K12" s="107" t="str">
        <f>$I$11&amp;$C$2&amp;2</f>
        <v>MINGAS2</v>
      </c>
      <c r="L12" s="110" t="str">
        <f>"Domestic Supply of "&amp;$D$2&amp; " Step "&amp;RIGHT(K12,1)</f>
        <v>Domestic Supply of Natural Gas Step 2</v>
      </c>
      <c r="M12" s="107" t="str">
        <f>$E$2</f>
        <v>PJ</v>
      </c>
      <c r="N12" s="107" t="str">
        <f>$E$2&amp;"a"</f>
        <v>PJa</v>
      </c>
      <c r="O12" s="107"/>
      <c r="P12" s="107"/>
      <c r="Q12" s="107"/>
      <c r="R12" s="5"/>
    </row>
    <row r="13" spans="2:18" x14ac:dyDescent="0.2">
      <c r="B13" s="10" t="str">
        <f>K13</f>
        <v>MINGAS3</v>
      </c>
      <c r="C13" s="10"/>
      <c r="D13" s="10" t="str">
        <f>$K$5</f>
        <v>GAS</v>
      </c>
      <c r="E13" s="59">
        <v>0</v>
      </c>
      <c r="F13" s="59">
        <v>5.4</v>
      </c>
      <c r="G13" s="53">
        <v>0</v>
      </c>
      <c r="I13" s="107"/>
      <c r="J13" s="107"/>
      <c r="K13" s="107" t="str">
        <f>$I$11&amp;$C$2&amp;3</f>
        <v>MINGAS3</v>
      </c>
      <c r="L13" s="110" t="str">
        <f>"Domestic Supply of "&amp;$D$2&amp; " Step "&amp;RIGHT(K13,1)</f>
        <v>Domestic Supply of Natural Gas Step 3</v>
      </c>
      <c r="M13" s="107" t="str">
        <f>$E$2</f>
        <v>PJ</v>
      </c>
      <c r="N13" s="107" t="str">
        <f>$E$2&amp;"a"</f>
        <v>PJa</v>
      </c>
      <c r="O13" s="107"/>
      <c r="P13" s="107"/>
      <c r="Q13" s="107"/>
    </row>
    <row r="14" spans="2:18" x14ac:dyDescent="0.2">
      <c r="B14" s="10" t="str">
        <f>K14</f>
        <v>IMPGAS1</v>
      </c>
      <c r="C14" s="10"/>
      <c r="D14" s="10" t="str">
        <f>$K$5</f>
        <v>GAS</v>
      </c>
      <c r="E14" s="5"/>
      <c r="F14" s="59">
        <v>4.5</v>
      </c>
      <c r="G14" s="55">
        <f>'EB1'!E6</f>
        <v>5316.6916000000001</v>
      </c>
      <c r="I14" s="107" t="str">
        <f>'EB1'!$B$6</f>
        <v>IMP</v>
      </c>
      <c r="J14" s="107"/>
      <c r="K14" s="107" t="str">
        <f>$I$14&amp;$C$2&amp;1</f>
        <v>IMPGAS1</v>
      </c>
      <c r="L14" s="110" t="str">
        <f>"Import of "&amp;$D$2&amp; " Step "&amp;RIGHT(K14,1)</f>
        <v>Import of Natural Gas Step 1</v>
      </c>
      <c r="M14" s="107" t="str">
        <f>$E$2</f>
        <v>PJ</v>
      </c>
      <c r="N14" s="107" t="str">
        <f>$E$2&amp;"a"</f>
        <v>PJa</v>
      </c>
      <c r="O14" s="107"/>
      <c r="P14" s="107"/>
      <c r="Q14" s="107"/>
    </row>
    <row r="15" spans="2:18" s="5" customFormat="1" x14ac:dyDescent="0.2">
      <c r="B15" s="10" t="str">
        <f>K15</f>
        <v>EXPGAS1</v>
      </c>
      <c r="C15" s="10" t="str">
        <f>$K$5</f>
        <v>GAS</v>
      </c>
      <c r="F15" s="59">
        <f>4.5*0.99</f>
        <v>4.4550000000000001</v>
      </c>
      <c r="G15" s="55">
        <f>-'EB1'!E7</f>
        <v>1006.5324000000001</v>
      </c>
      <c r="H15"/>
      <c r="I15" s="107" t="str">
        <f>'EB1'!B7</f>
        <v>EXP</v>
      </c>
      <c r="J15" s="107"/>
      <c r="K15" s="107" t="str">
        <f>$I$15&amp;$C$2&amp;1</f>
        <v>EXPGAS1</v>
      </c>
      <c r="L15" s="110" t="str">
        <f>"Export of "&amp;$D$2&amp; " Step "&amp;RIGHT(K15,1)</f>
        <v>Export of Natural Gas Step 1</v>
      </c>
      <c r="M15" s="107" t="str">
        <f>$E$2</f>
        <v>PJ</v>
      </c>
      <c r="N15" s="107" t="str">
        <f>$E$2&amp;"a"</f>
        <v>PJa</v>
      </c>
      <c r="O15" s="107"/>
      <c r="P15" s="107"/>
      <c r="Q15" s="107"/>
      <c r="R15"/>
    </row>
    <row r="16" spans="2:18" s="5" customFormat="1" x14ac:dyDescent="0.2">
      <c r="B16" s="1"/>
      <c r="F16" s="61"/>
    </row>
    <row r="17" spans="2:18" s="5" customFormat="1" x14ac:dyDescent="0.2"/>
    <row r="18" spans="2:18" s="5" customFormat="1" x14ac:dyDescent="0.2"/>
    <row r="19" spans="2:18" s="5" customFormat="1" x14ac:dyDescent="0.2">
      <c r="C19"/>
      <c r="D19"/>
      <c r="E19"/>
      <c r="F19"/>
      <c r="G19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I21" s="5"/>
      <c r="J21" s="5"/>
      <c r="K21" s="5"/>
      <c r="L21" s="5"/>
      <c r="M21" s="5"/>
      <c r="N21" s="5"/>
      <c r="O21" s="5"/>
      <c r="P21" s="5"/>
      <c r="Q21" s="5"/>
    </row>
    <row r="22" spans="2:18" x14ac:dyDescent="0.2">
      <c r="B22" s="58"/>
      <c r="C22" s="1" t="s">
        <v>115</v>
      </c>
    </row>
    <row r="23" spans="2:18" s="1" customFormat="1" x14ac:dyDescent="0.2">
      <c r="B23" s="56"/>
      <c r="C23" s="1" t="s">
        <v>116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4"/>
  <sheetViews>
    <sheetView zoomScaleNormal="100" workbookViewId="0">
      <selection activeCell="F14" sqref="F14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3" ht="15.75" x14ac:dyDescent="0.25">
      <c r="B2" s="14"/>
      <c r="C2" s="14" t="str">
        <f>'EB1'!F2</f>
        <v>OIL</v>
      </c>
      <c r="D2" s="14" t="str">
        <f>'EB1'!F3</f>
        <v>Crude Oil</v>
      </c>
      <c r="E2" s="14" t="str">
        <f>'EB1'!Z2</f>
        <v>PJ</v>
      </c>
      <c r="F2" s="14" t="str">
        <f>'EB1'!Y2</f>
        <v>M€2005</v>
      </c>
      <c r="I2" s="101" t="s">
        <v>14</v>
      </c>
      <c r="J2" s="101"/>
      <c r="K2" s="102"/>
      <c r="L2" s="102"/>
      <c r="M2" s="102"/>
      <c r="N2" s="102"/>
      <c r="O2" s="102"/>
      <c r="P2" s="102"/>
      <c r="Q2" s="102"/>
    </row>
    <row r="3" spans="2:23" x14ac:dyDescent="0.2">
      <c r="I3" s="103" t="s">
        <v>7</v>
      </c>
      <c r="J3" s="104" t="s">
        <v>30</v>
      </c>
      <c r="K3" s="103" t="s">
        <v>0</v>
      </c>
      <c r="L3" s="103" t="s">
        <v>3</v>
      </c>
      <c r="M3" s="103" t="s">
        <v>4</v>
      </c>
      <c r="N3" s="103" t="s">
        <v>8</v>
      </c>
      <c r="O3" s="103" t="s">
        <v>9</v>
      </c>
      <c r="P3" s="103" t="s">
        <v>10</v>
      </c>
      <c r="Q3" s="103" t="s">
        <v>12</v>
      </c>
    </row>
    <row r="4" spans="2:23" ht="23.25" thickBot="1" x14ac:dyDescent="0.25">
      <c r="C4" s="1"/>
      <c r="I4" s="105" t="s">
        <v>37</v>
      </c>
      <c r="J4" s="105" t="s">
        <v>31</v>
      </c>
      <c r="K4" s="105" t="s">
        <v>26</v>
      </c>
      <c r="L4" s="105" t="s">
        <v>27</v>
      </c>
      <c r="M4" s="105" t="s">
        <v>4</v>
      </c>
      <c r="N4" s="105" t="s">
        <v>40</v>
      </c>
      <c r="O4" s="105" t="s">
        <v>41</v>
      </c>
      <c r="P4" s="105" t="s">
        <v>28</v>
      </c>
      <c r="Q4" s="105" t="s">
        <v>29</v>
      </c>
      <c r="T4" s="5"/>
      <c r="U4" s="5"/>
    </row>
    <row r="5" spans="2:23" x14ac:dyDescent="0.2">
      <c r="I5" s="106" t="s">
        <v>65</v>
      </c>
      <c r="J5" s="107"/>
      <c r="K5" s="106" t="str">
        <f>C2</f>
        <v>OIL</v>
      </c>
      <c r="L5" s="106" t="str">
        <f>D2</f>
        <v>Crude Oil</v>
      </c>
      <c r="M5" s="106" t="str">
        <f>$E$2</f>
        <v>PJ</v>
      </c>
      <c r="N5" s="106"/>
      <c r="O5" s="106"/>
      <c r="P5" s="106"/>
      <c r="Q5" s="106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01" t="s">
        <v>15</v>
      </c>
      <c r="J7" s="101"/>
      <c r="K7" s="108"/>
      <c r="L7" s="108"/>
      <c r="M7" s="108"/>
      <c r="N7" s="108"/>
      <c r="O7" s="108"/>
      <c r="P7" s="108"/>
      <c r="Q7" s="108"/>
      <c r="V7" s="5"/>
      <c r="W7" s="5"/>
    </row>
    <row r="8" spans="2:23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3" t="s">
        <v>11</v>
      </c>
      <c r="J8" s="104" t="s">
        <v>30</v>
      </c>
      <c r="K8" s="103" t="s">
        <v>1</v>
      </c>
      <c r="L8" s="103" t="s">
        <v>2</v>
      </c>
      <c r="M8" s="103" t="s">
        <v>16</v>
      </c>
      <c r="N8" s="103" t="s">
        <v>17</v>
      </c>
      <c r="O8" s="103" t="s">
        <v>18</v>
      </c>
      <c r="P8" s="103" t="s">
        <v>19</v>
      </c>
      <c r="Q8" s="103" t="s">
        <v>20</v>
      </c>
    </row>
    <row r="9" spans="2:23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H9" s="5"/>
      <c r="I9" s="105" t="s">
        <v>38</v>
      </c>
      <c r="J9" s="105" t="s">
        <v>31</v>
      </c>
      <c r="K9" s="105" t="s">
        <v>21</v>
      </c>
      <c r="L9" s="105" t="s">
        <v>22</v>
      </c>
      <c r="M9" s="105" t="s">
        <v>23</v>
      </c>
      <c r="N9" s="105" t="s">
        <v>24</v>
      </c>
      <c r="O9" s="105" t="s">
        <v>43</v>
      </c>
      <c r="P9" s="105" t="s">
        <v>42</v>
      </c>
      <c r="Q9" s="105" t="s">
        <v>25</v>
      </c>
    </row>
    <row r="10" spans="2:23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5" t="s">
        <v>73</v>
      </c>
      <c r="J10" s="109"/>
      <c r="K10" s="109"/>
      <c r="L10" s="109"/>
      <c r="M10" s="109"/>
      <c r="N10" s="109"/>
      <c r="O10" s="109"/>
      <c r="P10" s="109"/>
      <c r="Q10" s="109"/>
      <c r="R10"/>
      <c r="V10"/>
      <c r="W10"/>
    </row>
    <row r="11" spans="2:23" s="5" customFormat="1" x14ac:dyDescent="0.2">
      <c r="B11" s="10" t="str">
        <f>K11</f>
        <v>MINOIL1</v>
      </c>
      <c r="C11" s="10"/>
      <c r="D11" s="10" t="str">
        <f>$K$5</f>
        <v>OIL</v>
      </c>
      <c r="E11" s="48">
        <v>7200</v>
      </c>
      <c r="F11" s="59">
        <v>6.4</v>
      </c>
      <c r="G11" s="55">
        <f>'EB1'!$F$5*'EB1'!F21</f>
        <v>2149.0016000000001</v>
      </c>
      <c r="I11" s="106" t="str">
        <f>'EB1'!$B$5</f>
        <v>MIN</v>
      </c>
      <c r="J11" s="107"/>
      <c r="K11" s="107" t="str">
        <f>$I$11&amp;$C$2&amp;1</f>
        <v>MINOIL1</v>
      </c>
      <c r="L11" s="110" t="str">
        <f>"Domestic Supply of "&amp;$D$2&amp; " Step "&amp;RIGHT(K11,1)</f>
        <v>Domestic Supply of Crude Oil Step 1</v>
      </c>
      <c r="M11" s="107" t="str">
        <f>$E$2</f>
        <v>PJ</v>
      </c>
      <c r="N11" s="107" t="str">
        <f>$E$2&amp;"a"</f>
        <v>PJa</v>
      </c>
      <c r="O11" s="107"/>
      <c r="P11" s="107"/>
      <c r="Q11" s="107"/>
    </row>
    <row r="12" spans="2:23" s="5" customFormat="1" x14ac:dyDescent="0.2">
      <c r="B12" s="10" t="str">
        <f>K12</f>
        <v>MINOIL2</v>
      </c>
      <c r="C12" s="10"/>
      <c r="D12" s="10" t="str">
        <f>$K$5</f>
        <v>OIL</v>
      </c>
      <c r="E12" s="48">
        <v>1800</v>
      </c>
      <c r="F12" s="59">
        <v>7.3599999999999994</v>
      </c>
      <c r="G12" s="55">
        <f>'EB1'!$F$5*'EB1'!F22</f>
        <v>537.25040000000001</v>
      </c>
      <c r="I12" s="107"/>
      <c r="J12" s="107"/>
      <c r="K12" s="107" t="str">
        <f>$I$11&amp;$C$2&amp;2</f>
        <v>MINOIL2</v>
      </c>
      <c r="L12" s="110" t="str">
        <f>"Domestic Supply of "&amp;$D$2&amp; " Step "&amp;RIGHT(K12,1)</f>
        <v>Domestic Supply of Crude Oil Step 2</v>
      </c>
      <c r="M12" s="107" t="str">
        <f>$E$2</f>
        <v>PJ</v>
      </c>
      <c r="N12" s="107" t="str">
        <f>$E$2&amp;"a"</f>
        <v>PJa</v>
      </c>
      <c r="O12" s="107"/>
      <c r="P12" s="107"/>
      <c r="Q12" s="107"/>
    </row>
    <row r="13" spans="2:23" x14ac:dyDescent="0.2">
      <c r="B13" s="10" t="str">
        <f>K13</f>
        <v>MINOIL3</v>
      </c>
      <c r="C13" s="10"/>
      <c r="D13" s="10" t="str">
        <f>$K$5</f>
        <v>OIL</v>
      </c>
      <c r="E13" s="48">
        <v>1200000</v>
      </c>
      <c r="F13" s="59">
        <v>9.6000000000000014</v>
      </c>
      <c r="G13" s="48">
        <v>5000</v>
      </c>
      <c r="I13" s="107"/>
      <c r="J13" s="107"/>
      <c r="K13" s="107" t="str">
        <f>$I$11&amp;$C$2&amp;3</f>
        <v>MINOIL3</v>
      </c>
      <c r="L13" s="110" t="str">
        <f>"Domestic Supply of "&amp;$D$2&amp; " Step "&amp;RIGHT(K13,1)</f>
        <v>Domestic Supply of Crude Oil Step 3</v>
      </c>
      <c r="M13" s="107" t="str">
        <f>$E$2</f>
        <v>PJ</v>
      </c>
      <c r="N13" s="107" t="str">
        <f>$E$2&amp;"a"</f>
        <v>PJa</v>
      </c>
      <c r="O13" s="107"/>
      <c r="P13" s="107"/>
      <c r="Q13" s="107"/>
      <c r="R13" s="5"/>
      <c r="S13" s="5"/>
      <c r="T13" s="5"/>
      <c r="U13" s="5"/>
      <c r="V13" s="5"/>
      <c r="W13" s="5"/>
    </row>
    <row r="14" spans="2:23" x14ac:dyDescent="0.2">
      <c r="B14" s="10" t="str">
        <f>K14</f>
        <v>IMPOIL1</v>
      </c>
      <c r="C14" s="10"/>
      <c r="D14" s="10" t="str">
        <f>$K$5</f>
        <v>OIL</v>
      </c>
      <c r="E14" s="48"/>
      <c r="F14" s="59">
        <v>8</v>
      </c>
      <c r="G14" s="15"/>
      <c r="I14" s="107" t="str">
        <f>'EB1'!$B$6</f>
        <v>IMP</v>
      </c>
      <c r="J14" s="107"/>
      <c r="K14" s="107" t="str">
        <f>$I$14&amp;$C$2&amp;1</f>
        <v>IMPOIL1</v>
      </c>
      <c r="L14" s="110" t="str">
        <f>"Import of "&amp;$D$2&amp; " Step "&amp;RIGHT(K14,1)</f>
        <v>Import of Crude Oil Step 1</v>
      </c>
      <c r="M14" s="107" t="str">
        <f>$E$2</f>
        <v>PJ</v>
      </c>
      <c r="N14" s="107" t="str">
        <f>$E$2&amp;"a"</f>
        <v>PJa</v>
      </c>
      <c r="O14" s="107"/>
      <c r="P14" s="107"/>
      <c r="Q14" s="107"/>
      <c r="S14" s="5"/>
      <c r="T14" s="5"/>
      <c r="U14" s="5"/>
      <c r="V14" s="5"/>
      <c r="W14" s="5"/>
    </row>
    <row r="15" spans="2:23" x14ac:dyDescent="0.2">
      <c r="B15" s="10" t="str">
        <f>K15</f>
        <v>EXPOIL1</v>
      </c>
      <c r="C15" s="10" t="str">
        <f>$K$5</f>
        <v>OIL</v>
      </c>
      <c r="D15" s="10"/>
      <c r="E15" s="48"/>
      <c r="F15" s="59">
        <f>8*0.99</f>
        <v>7.92</v>
      </c>
      <c r="G15" s="54">
        <f>-'EB1'!F7</f>
        <v>1648.4854999999998</v>
      </c>
      <c r="I15" s="107" t="str">
        <f>'EB1'!B7</f>
        <v>EXP</v>
      </c>
      <c r="J15" s="107"/>
      <c r="K15" s="107" t="str">
        <f>$I$15&amp;$C$2&amp;1</f>
        <v>EXPOIL1</v>
      </c>
      <c r="L15" s="110" t="str">
        <f>"Export of "&amp;$D$2&amp; " Step "&amp;RIGHT(K15,1)</f>
        <v>Export of Crude Oil Step 1</v>
      </c>
      <c r="M15" s="107" t="str">
        <f>$E$2</f>
        <v>PJ</v>
      </c>
      <c r="N15" s="107" t="str">
        <f>$E$2&amp;"a"</f>
        <v>PJa</v>
      </c>
      <c r="O15" s="107"/>
      <c r="P15" s="107"/>
      <c r="Q15" s="107"/>
      <c r="V15" s="5"/>
      <c r="W15" s="5"/>
    </row>
    <row r="16" spans="2:23" s="5" customFormat="1" x14ac:dyDescent="0.2">
      <c r="B16" s="10"/>
      <c r="C16" s="10"/>
      <c r="F16" s="61"/>
      <c r="R16"/>
      <c r="T16"/>
      <c r="U16"/>
      <c r="V16"/>
      <c r="W16"/>
    </row>
    <row r="17" spans="2:23" s="5" customFormat="1" x14ac:dyDescent="0.2">
      <c r="B17" s="1"/>
      <c r="F17" s="61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58"/>
      <c r="C23" s="1" t="s">
        <v>115</v>
      </c>
      <c r="R23" s="5"/>
    </row>
    <row r="24" spans="2:23" x14ac:dyDescent="0.2">
      <c r="B24" s="56"/>
      <c r="C24" s="1" t="s">
        <v>116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38"/>
  <sheetViews>
    <sheetView zoomScaleNormal="100" workbookViewId="0">
      <selection activeCell="F12" sqref="F12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'EB1'!N2</f>
        <v>NUC</v>
      </c>
      <c r="D2" s="14" t="str">
        <f>'EB1'!N3</f>
        <v>Nuclear Energy</v>
      </c>
      <c r="E2" s="14" t="str">
        <f>'EB1'!Z2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17" x14ac:dyDescent="0.2">
      <c r="F3" s="13"/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17" ht="23.25" thickBot="1" x14ac:dyDescent="0.25">
      <c r="B4" s="1"/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</row>
    <row r="5" spans="2:17" x14ac:dyDescent="0.2">
      <c r="H5" s="106" t="s">
        <v>65</v>
      </c>
      <c r="I5" s="107"/>
      <c r="J5" s="106" t="str">
        <f>C2</f>
        <v>NUC</v>
      </c>
      <c r="K5" s="106" t="str">
        <f>D2</f>
        <v>Nuclear Energy</v>
      </c>
      <c r="L5" s="106" t="str">
        <f>$E$2</f>
        <v>PJ</v>
      </c>
      <c r="M5" s="106"/>
      <c r="N5" s="106"/>
      <c r="O5" s="106"/>
      <c r="P5" s="106"/>
    </row>
    <row r="7" spans="2:17" x14ac:dyDescent="0.2">
      <c r="D7" s="4" t="s">
        <v>13</v>
      </c>
      <c r="E7" s="4"/>
      <c r="H7" s="101" t="s">
        <v>15</v>
      </c>
      <c r="I7" s="101"/>
      <c r="J7" s="108"/>
      <c r="K7" s="108"/>
      <c r="L7" s="108"/>
      <c r="M7" s="108"/>
      <c r="N7" s="108"/>
      <c r="O7" s="108"/>
      <c r="P7" s="108"/>
    </row>
    <row r="8" spans="2:17" x14ac:dyDescent="0.2">
      <c r="B8" s="3" t="s">
        <v>1</v>
      </c>
      <c r="C8" s="21" t="s">
        <v>5</v>
      </c>
      <c r="D8" s="3" t="s">
        <v>6</v>
      </c>
      <c r="E8" s="66" t="s">
        <v>35</v>
      </c>
      <c r="F8" s="66" t="s">
        <v>72</v>
      </c>
      <c r="H8" s="103" t="s">
        <v>11</v>
      </c>
      <c r="I8" s="104" t="s">
        <v>30</v>
      </c>
      <c r="J8" s="103" t="s">
        <v>1</v>
      </c>
      <c r="K8" s="103" t="s">
        <v>2</v>
      </c>
      <c r="L8" s="103" t="s">
        <v>16</v>
      </c>
      <c r="M8" s="103" t="s">
        <v>17</v>
      </c>
      <c r="N8" s="103" t="s">
        <v>18</v>
      </c>
      <c r="O8" s="103" t="s">
        <v>19</v>
      </c>
      <c r="P8" s="103" t="s">
        <v>20</v>
      </c>
    </row>
    <row r="9" spans="2:17" ht="23.25" thickBot="1" x14ac:dyDescent="0.25">
      <c r="B9" s="18" t="s">
        <v>39</v>
      </c>
      <c r="C9" s="18" t="s">
        <v>32</v>
      </c>
      <c r="D9" s="18" t="s">
        <v>33</v>
      </c>
      <c r="E9" s="18" t="s">
        <v>79</v>
      </c>
      <c r="F9" s="18" t="s">
        <v>78</v>
      </c>
      <c r="H9" s="105" t="s">
        <v>38</v>
      </c>
      <c r="I9" s="105" t="s">
        <v>31</v>
      </c>
      <c r="J9" s="105" t="s">
        <v>21</v>
      </c>
      <c r="K9" s="105" t="s">
        <v>22</v>
      </c>
      <c r="L9" s="105" t="s">
        <v>23</v>
      </c>
      <c r="M9" s="105" t="s">
        <v>24</v>
      </c>
      <c r="N9" s="105" t="s">
        <v>43</v>
      </c>
      <c r="O9" s="105" t="s">
        <v>42</v>
      </c>
      <c r="P9" s="105" t="s">
        <v>25</v>
      </c>
    </row>
    <row r="10" spans="2:17" s="35" customFormat="1" ht="13.5" thickBot="1" x14ac:dyDescent="0.25">
      <c r="B10" s="18" t="s">
        <v>77</v>
      </c>
      <c r="C10" s="17"/>
      <c r="D10" s="17"/>
      <c r="E10" s="17" t="str">
        <f>$F$2&amp;"/"&amp;$E$2</f>
        <v>M€2005/PJ</v>
      </c>
      <c r="F10" s="17" t="str">
        <f>$E$2</f>
        <v>PJ</v>
      </c>
      <c r="G10" s="33"/>
      <c r="H10" s="105" t="s">
        <v>73</v>
      </c>
      <c r="I10" s="109"/>
      <c r="J10" s="109"/>
      <c r="K10" s="109"/>
      <c r="L10" s="109"/>
      <c r="M10" s="109"/>
      <c r="N10" s="109"/>
      <c r="O10" s="109"/>
      <c r="P10" s="109"/>
      <c r="Q10" s="33"/>
    </row>
    <row r="11" spans="2:17" s="35" customFormat="1" x14ac:dyDescent="0.2">
      <c r="B11" s="10" t="str">
        <f>J11</f>
        <v>MINNUC1</v>
      </c>
      <c r="C11" s="10"/>
      <c r="D11" s="10" t="str">
        <f>$J$5</f>
        <v>NUC</v>
      </c>
      <c r="E11" s="67">
        <v>0.25</v>
      </c>
      <c r="F11" s="68"/>
      <c r="H11" s="106" t="str">
        <f>'EB1'!$B$5</f>
        <v>MIN</v>
      </c>
      <c r="I11" s="107"/>
      <c r="J11" s="107" t="str">
        <f>$H$11&amp;$C$2&amp;1</f>
        <v>MINNUC1</v>
      </c>
      <c r="K11" s="110" t="str">
        <f>"Domestic Supply of "&amp;$D$2&amp; " Step "&amp;RIGHT(J11,1)</f>
        <v>Domestic Supply of Nuclear Energy Step 1</v>
      </c>
      <c r="L11" s="107" t="str">
        <f>$E$2</f>
        <v>PJ</v>
      </c>
      <c r="M11" s="107" t="str">
        <f>$E$2&amp;"a"</f>
        <v>PJa</v>
      </c>
      <c r="N11" s="107"/>
      <c r="O11" s="107"/>
      <c r="P11" s="107"/>
    </row>
    <row r="12" spans="2:17" s="35" customFormat="1" x14ac:dyDescent="0.2">
      <c r="B12" s="10"/>
      <c r="C12" s="10"/>
      <c r="D12" s="10"/>
      <c r="E12" s="67"/>
      <c r="F12" s="68"/>
      <c r="H12" s="5"/>
      <c r="I12" s="5"/>
      <c r="J12" s="5"/>
      <c r="K12" s="23"/>
      <c r="L12" s="5"/>
      <c r="M12" s="5"/>
      <c r="N12" s="5"/>
      <c r="O12" s="5"/>
      <c r="P12" s="5"/>
    </row>
    <row r="13" spans="2:17" x14ac:dyDescent="0.2">
      <c r="B13" s="10"/>
      <c r="C13" s="10"/>
      <c r="D13" s="10"/>
      <c r="E13" s="67"/>
      <c r="F13" s="68"/>
      <c r="G13" s="35"/>
      <c r="H13" s="5"/>
      <c r="I13" s="5"/>
      <c r="J13" s="5"/>
      <c r="K13" s="23"/>
      <c r="L13" s="5"/>
      <c r="M13" s="5"/>
      <c r="N13" s="5"/>
      <c r="O13" s="5"/>
      <c r="P13" s="5"/>
      <c r="Q13" s="35"/>
    </row>
    <row r="14" spans="2:17" x14ac:dyDescent="0.2">
      <c r="B14" s="10"/>
      <c r="C14" s="10"/>
      <c r="D14" s="10"/>
      <c r="E14" s="31"/>
      <c r="F14" s="5"/>
      <c r="H14" s="5"/>
      <c r="I14" s="5"/>
      <c r="J14" s="5"/>
      <c r="K14" s="23"/>
      <c r="L14" s="5"/>
      <c r="M14" s="5"/>
      <c r="N14" s="5"/>
      <c r="O14" s="5"/>
      <c r="P14" s="5"/>
    </row>
    <row r="15" spans="2:17" x14ac:dyDescent="0.2">
      <c r="B15" s="10"/>
      <c r="C15" s="10"/>
      <c r="D15" s="10"/>
      <c r="E15" s="31"/>
      <c r="F15" s="16"/>
      <c r="H15" s="5"/>
      <c r="I15" s="5"/>
      <c r="J15" s="5"/>
      <c r="K15" s="23"/>
      <c r="L15" s="5"/>
      <c r="M15" s="5"/>
      <c r="N15" s="5"/>
      <c r="O15" s="5"/>
      <c r="P15" s="5"/>
    </row>
    <row r="16" spans="2:17" s="35" customFormat="1" x14ac:dyDescent="0.2">
      <c r="B16" s="10"/>
      <c r="C16" s="10"/>
      <c r="D16" s="5"/>
      <c r="E16" s="9"/>
      <c r="F16" s="16"/>
      <c r="G16" s="33"/>
      <c r="H16" s="5"/>
      <c r="I16" s="5"/>
      <c r="J16" s="5"/>
      <c r="K16" s="5"/>
      <c r="L16" s="5"/>
      <c r="M16" s="5"/>
      <c r="N16" s="5"/>
      <c r="O16" s="5"/>
      <c r="P16" s="5"/>
      <c r="Q16" s="33"/>
    </row>
    <row r="17" spans="2:17" s="35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4" customFormat="1" ht="19.5" customHeight="1" x14ac:dyDescent="0.2">
      <c r="B20" s="5"/>
      <c r="C20" s="5"/>
      <c r="D20" s="5"/>
      <c r="E20" s="5"/>
      <c r="F20" s="5"/>
      <c r="G20" s="33"/>
      <c r="H20" s="5"/>
      <c r="I20" s="5"/>
      <c r="J20" s="5"/>
      <c r="K20" s="5"/>
      <c r="L20" s="5"/>
      <c r="M20" s="5"/>
      <c r="N20" s="5"/>
      <c r="O20" s="5"/>
      <c r="P20" s="5"/>
      <c r="Q20" s="33"/>
    </row>
    <row r="21" spans="2:17" x14ac:dyDescent="0.2">
      <c r="B21" s="5"/>
      <c r="C21" s="5"/>
      <c r="D21" s="5"/>
      <c r="E21" s="5"/>
      <c r="F21" s="5"/>
      <c r="G21" s="34"/>
      <c r="H21" s="5"/>
      <c r="I21" s="5"/>
      <c r="J21" s="5"/>
      <c r="K21" s="5"/>
      <c r="L21" s="5"/>
      <c r="M21" s="5"/>
      <c r="N21" s="5"/>
      <c r="O21" s="5"/>
      <c r="P21" s="5"/>
      <c r="Q21" s="34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5" customFormat="1" x14ac:dyDescent="0.2">
      <c r="B23" s="48"/>
      <c r="C23" s="1" t="s">
        <v>115</v>
      </c>
      <c r="D23"/>
      <c r="E23"/>
      <c r="F23"/>
      <c r="G23" s="33"/>
      <c r="H23"/>
      <c r="I23"/>
      <c r="J23"/>
      <c r="K23"/>
      <c r="L23"/>
      <c r="M23"/>
      <c r="N23"/>
      <c r="O23"/>
      <c r="P23"/>
      <c r="Q23" s="33"/>
    </row>
    <row r="24" spans="2:17" s="35" customFormat="1" x14ac:dyDescent="0.2">
      <c r="B24" s="56"/>
      <c r="C24" s="1" t="s">
        <v>116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5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5"/>
      <c r="Q26" s="35"/>
    </row>
    <row r="30" spans="2:17" x14ac:dyDescent="0.2">
      <c r="G30" s="36"/>
    </row>
    <row r="31" spans="2:17" x14ac:dyDescent="0.2">
      <c r="G31" s="36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'EB1'!O2</f>
        <v>BIO</v>
      </c>
      <c r="D2" s="14" t="str">
        <f>'EB1'!O3</f>
        <v>Biomass</v>
      </c>
      <c r="E2" s="14" t="str">
        <f>'EB1'!$Z$2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17" ht="15.75" x14ac:dyDescent="0.25">
      <c r="C3" s="14" t="str">
        <f>'EB1'!P2</f>
        <v>HYD</v>
      </c>
      <c r="D3" s="14" t="str">
        <f>'EB1'!P3</f>
        <v>Hydro power</v>
      </c>
      <c r="E3" s="14" t="str">
        <f>'EB1'!$Z$2</f>
        <v>PJ</v>
      </c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17" ht="24" thickBot="1" x14ac:dyDescent="0.3">
      <c r="B4" s="1"/>
      <c r="C4" s="14" t="str">
        <f>'EB1'!Q2</f>
        <v>WIN</v>
      </c>
      <c r="D4" s="14" t="str">
        <f>'EB1'!Q3</f>
        <v>Wind energy</v>
      </c>
      <c r="E4" s="14" t="str">
        <f>'EB1'!$Z$2</f>
        <v>PJ</v>
      </c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</row>
    <row r="5" spans="2:17" ht="15.75" x14ac:dyDescent="0.25">
      <c r="C5" s="14" t="str">
        <f>'EB1'!R2</f>
        <v>SOL</v>
      </c>
      <c r="D5" s="14" t="str">
        <f>'EB1'!R3</f>
        <v>Solar energy</v>
      </c>
      <c r="E5" s="14" t="str">
        <f>'EB1'!$Z$2</f>
        <v>PJ</v>
      </c>
      <c r="H5" s="106" t="s">
        <v>65</v>
      </c>
      <c r="I5" s="107"/>
      <c r="J5" s="106" t="str">
        <f t="shared" ref="J5:K8" si="0">C2</f>
        <v>BIO</v>
      </c>
      <c r="K5" s="106" t="str">
        <f t="shared" si="0"/>
        <v>Biomass</v>
      </c>
      <c r="L5" s="106" t="str">
        <f>$E$2</f>
        <v>PJ</v>
      </c>
      <c r="M5" s="106"/>
      <c r="N5" s="106"/>
      <c r="O5" s="106"/>
      <c r="P5" s="106"/>
    </row>
    <row r="6" spans="2:17" x14ac:dyDescent="0.2">
      <c r="C6" s="5"/>
      <c r="D6" s="5"/>
      <c r="H6" s="106"/>
      <c r="I6" s="107"/>
      <c r="J6" s="106" t="str">
        <f t="shared" si="0"/>
        <v>HYD</v>
      </c>
      <c r="K6" s="106" t="str">
        <f t="shared" si="0"/>
        <v>Hydro power</v>
      </c>
      <c r="L6" s="106" t="str">
        <f>$E$2</f>
        <v>PJ</v>
      </c>
      <c r="M6" s="106"/>
      <c r="N6" s="106"/>
      <c r="O6" s="106"/>
      <c r="P6" s="106"/>
    </row>
    <row r="7" spans="2:17" ht="15.75" x14ac:dyDescent="0.25">
      <c r="C7" s="12"/>
      <c r="D7" s="12"/>
      <c r="H7" s="106"/>
      <c r="I7" s="107"/>
      <c r="J7" s="106" t="str">
        <f t="shared" si="0"/>
        <v>WIN</v>
      </c>
      <c r="K7" s="106" t="str">
        <f t="shared" si="0"/>
        <v>Wind energy</v>
      </c>
      <c r="L7" s="106" t="str">
        <f>$E$2</f>
        <v>PJ</v>
      </c>
      <c r="M7" s="106"/>
      <c r="N7" s="106"/>
      <c r="O7" s="106"/>
      <c r="P7" s="106"/>
    </row>
    <row r="8" spans="2:17" ht="15.75" x14ac:dyDescent="0.25">
      <c r="C8" s="12"/>
      <c r="D8" s="12"/>
      <c r="H8" s="106"/>
      <c r="I8" s="107"/>
      <c r="J8" s="106" t="str">
        <f t="shared" si="0"/>
        <v>SOL</v>
      </c>
      <c r="K8" s="106" t="str">
        <f t="shared" si="0"/>
        <v>Solar energy</v>
      </c>
      <c r="L8" s="106" t="str">
        <f>$E$2</f>
        <v>PJ</v>
      </c>
      <c r="M8" s="106"/>
      <c r="N8" s="106"/>
      <c r="O8" s="106"/>
      <c r="P8" s="106"/>
    </row>
    <row r="10" spans="2:17" x14ac:dyDescent="0.2">
      <c r="D10" s="4" t="s">
        <v>13</v>
      </c>
      <c r="E10" s="4"/>
      <c r="H10" s="101" t="s">
        <v>15</v>
      </c>
      <c r="I10" s="101"/>
      <c r="J10" s="108"/>
      <c r="K10" s="108"/>
      <c r="L10" s="108"/>
      <c r="M10" s="108"/>
      <c r="N10" s="108"/>
      <c r="O10" s="108"/>
      <c r="P10" s="108"/>
    </row>
    <row r="11" spans="2:17" x14ac:dyDescent="0.2">
      <c r="B11" s="3" t="s">
        <v>1</v>
      </c>
      <c r="C11" s="21" t="s">
        <v>5</v>
      </c>
      <c r="D11" s="3" t="s">
        <v>6</v>
      </c>
      <c r="E11" s="66" t="s">
        <v>35</v>
      </c>
      <c r="F11" s="66" t="s">
        <v>72</v>
      </c>
      <c r="H11" s="103" t="s">
        <v>11</v>
      </c>
      <c r="I11" s="104" t="s">
        <v>30</v>
      </c>
      <c r="J11" s="103" t="s">
        <v>1</v>
      </c>
      <c r="K11" s="103" t="s">
        <v>2</v>
      </c>
      <c r="L11" s="103" t="s">
        <v>16</v>
      </c>
      <c r="M11" s="103" t="s">
        <v>17</v>
      </c>
      <c r="N11" s="103" t="s">
        <v>18</v>
      </c>
      <c r="O11" s="103" t="s">
        <v>19</v>
      </c>
      <c r="P11" s="103" t="s">
        <v>20</v>
      </c>
    </row>
    <row r="12" spans="2:17" ht="23.25" thickBot="1" x14ac:dyDescent="0.25">
      <c r="B12" s="18" t="s">
        <v>39</v>
      </c>
      <c r="C12" s="18" t="s">
        <v>32</v>
      </c>
      <c r="D12" s="18" t="s">
        <v>33</v>
      </c>
      <c r="E12" s="18" t="s">
        <v>79</v>
      </c>
      <c r="F12" s="18" t="s">
        <v>78</v>
      </c>
      <c r="H12" s="105" t="s">
        <v>38</v>
      </c>
      <c r="I12" s="105" t="s">
        <v>31</v>
      </c>
      <c r="J12" s="105" t="s">
        <v>21</v>
      </c>
      <c r="K12" s="105" t="s">
        <v>22</v>
      </c>
      <c r="L12" s="105" t="s">
        <v>23</v>
      </c>
      <c r="M12" s="105" t="s">
        <v>24</v>
      </c>
      <c r="N12" s="105" t="s">
        <v>43</v>
      </c>
      <c r="O12" s="105" t="s">
        <v>42</v>
      </c>
      <c r="P12" s="105" t="s">
        <v>25</v>
      </c>
    </row>
    <row r="13" spans="2:17" s="35" customFormat="1" ht="13.5" thickBot="1" x14ac:dyDescent="0.25">
      <c r="B13" s="18" t="s">
        <v>77</v>
      </c>
      <c r="C13" s="17"/>
      <c r="D13" s="17"/>
      <c r="E13" s="17" t="str">
        <f>$F$2&amp;"/"&amp;$E$2</f>
        <v>M€2005/PJ</v>
      </c>
      <c r="F13" s="17" t="str">
        <f>$E$2</f>
        <v>PJ</v>
      </c>
      <c r="G13" s="33"/>
      <c r="H13" s="105" t="s">
        <v>73</v>
      </c>
      <c r="I13" s="109"/>
      <c r="J13" s="109"/>
      <c r="K13" s="109"/>
      <c r="L13" s="109"/>
      <c r="M13" s="109"/>
      <c r="N13" s="109"/>
      <c r="O13" s="109"/>
      <c r="P13" s="109"/>
      <c r="Q13" s="33"/>
    </row>
    <row r="14" spans="2:17" s="35" customFormat="1" x14ac:dyDescent="0.2">
      <c r="B14" s="10" t="str">
        <f>J14</f>
        <v>MINBIO1</v>
      </c>
      <c r="C14" s="10"/>
      <c r="D14" s="10" t="str">
        <f>J5</f>
        <v>BIO</v>
      </c>
      <c r="E14" s="48">
        <v>4.0500000000000007</v>
      </c>
      <c r="F14" s="68"/>
      <c r="H14" s="106" t="str">
        <f>'EB1'!$B$5</f>
        <v>MIN</v>
      </c>
      <c r="I14" s="107"/>
      <c r="J14" s="107" t="str">
        <f>$H$14&amp;C2&amp;1</f>
        <v>MINBIO1</v>
      </c>
      <c r="K14" s="110" t="str">
        <f>"Domestic Supply of "&amp;D2&amp; " Step "&amp;RIGHT(J14,1)</f>
        <v>Domestic Supply of Biomass Step 1</v>
      </c>
      <c r="L14" s="107" t="str">
        <f>$E$2</f>
        <v>PJ</v>
      </c>
      <c r="M14" s="107" t="str">
        <f>$E$2&amp;"a"</f>
        <v>PJa</v>
      </c>
      <c r="N14" s="107"/>
      <c r="O14" s="107"/>
      <c r="P14" s="107"/>
    </row>
    <row r="15" spans="2:17" s="35" customFormat="1" x14ac:dyDescent="0.2">
      <c r="B15" s="10" t="str">
        <f>J15</f>
        <v>MINHYD1</v>
      </c>
      <c r="C15" s="10"/>
      <c r="D15" s="10" t="str">
        <f>J6</f>
        <v>HYD</v>
      </c>
      <c r="E15" s="67"/>
      <c r="F15" s="68"/>
      <c r="H15" s="107"/>
      <c r="I15" s="107"/>
      <c r="J15" s="107" t="str">
        <f>$H$14&amp;C3&amp;1</f>
        <v>MINHYD1</v>
      </c>
      <c r="K15" s="110" t="str">
        <f>"Domestic Supply of "&amp;D3&amp; " Step "&amp;RIGHT(J15,1)</f>
        <v>Domestic Supply of Hydro power Step 1</v>
      </c>
      <c r="L15" s="107" t="str">
        <f>$E$2</f>
        <v>PJ</v>
      </c>
      <c r="M15" s="107" t="str">
        <f>$E$2&amp;"a"</f>
        <v>PJa</v>
      </c>
      <c r="N15" s="107"/>
      <c r="O15" s="107"/>
      <c r="P15" s="107"/>
    </row>
    <row r="16" spans="2:17" x14ac:dyDescent="0.2">
      <c r="B16" s="10" t="str">
        <f>J16</f>
        <v>MINWIN1</v>
      </c>
      <c r="C16" s="10"/>
      <c r="D16" s="10" t="str">
        <f>J7</f>
        <v>WIN</v>
      </c>
      <c r="E16" s="67"/>
      <c r="F16" s="68"/>
      <c r="G16" s="35"/>
      <c r="H16" s="107"/>
      <c r="I16" s="107"/>
      <c r="J16" s="107" t="str">
        <f>$H$14&amp;C4&amp;1</f>
        <v>MINWIN1</v>
      </c>
      <c r="K16" s="110" t="str">
        <f>"Domestic Supply of "&amp;D4&amp; " Step "&amp;RIGHT(J16,1)</f>
        <v>Domestic Supply of Wind energy Step 1</v>
      </c>
      <c r="L16" s="107" t="str">
        <f>$E$2</f>
        <v>PJ</v>
      </c>
      <c r="M16" s="107" t="str">
        <f>$E$2&amp;"a"</f>
        <v>PJa</v>
      </c>
      <c r="N16" s="107"/>
      <c r="O16" s="107"/>
      <c r="P16" s="107"/>
      <c r="Q16" s="35"/>
    </row>
    <row r="17" spans="2:17" x14ac:dyDescent="0.2">
      <c r="B17" s="10" t="str">
        <f>J17</f>
        <v>MINSOL1</v>
      </c>
      <c r="C17" s="10"/>
      <c r="D17" s="10" t="str">
        <f>J8</f>
        <v>SOL</v>
      </c>
      <c r="E17" s="31"/>
      <c r="F17" s="5"/>
      <c r="H17" s="107"/>
      <c r="I17" s="107"/>
      <c r="J17" s="107" t="str">
        <f>$H$14&amp;C5&amp;1</f>
        <v>MINSOL1</v>
      </c>
      <c r="K17" s="110" t="str">
        <f>"Domestic Supply of "&amp;D5&amp; " Step "&amp;RIGHT(J17,1)</f>
        <v>Domestic Supply of Solar energy Step 1</v>
      </c>
      <c r="L17" s="107" t="str">
        <f>$E$2</f>
        <v>PJ</v>
      </c>
      <c r="M17" s="107" t="str">
        <f>$E$2&amp;"a"</f>
        <v>PJa</v>
      </c>
      <c r="N17" s="107"/>
      <c r="O17" s="107"/>
      <c r="P17" s="107"/>
    </row>
    <row r="18" spans="2:17" s="35" customFormat="1" x14ac:dyDescent="0.2">
      <c r="B18" s="10"/>
      <c r="C18" s="10"/>
      <c r="D18" s="5"/>
      <c r="E18" s="9"/>
      <c r="F18" s="16"/>
      <c r="G18" s="33"/>
      <c r="H18" s="5"/>
      <c r="I18" s="5"/>
      <c r="J18" s="5"/>
      <c r="K18" s="5"/>
      <c r="L18" s="5"/>
      <c r="M18" s="5"/>
      <c r="N18" s="5"/>
      <c r="O18" s="5"/>
      <c r="P18" s="5"/>
      <c r="Q18" s="33"/>
    </row>
    <row r="19" spans="2:17" s="35" customFormat="1" x14ac:dyDescent="0.2">
      <c r="D19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48"/>
      <c r="C20" s="1" t="s">
        <v>115</v>
      </c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6"/>
      <c r="C21" s="1" t="s">
        <v>116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4" customFormat="1" ht="19.5" customHeight="1" x14ac:dyDescent="0.2">
      <c r="B22" s="5"/>
      <c r="C22" s="5"/>
      <c r="D22" s="5"/>
      <c r="E22" s="5"/>
      <c r="F22" s="5"/>
      <c r="G22" s="33"/>
      <c r="H22" s="5"/>
      <c r="I22" s="5"/>
      <c r="J22" s="5"/>
      <c r="K22" s="5"/>
      <c r="L22" s="5"/>
      <c r="M22" s="5"/>
      <c r="N22" s="5"/>
      <c r="O22" s="5"/>
      <c r="P22" s="5"/>
      <c r="Q22" s="33"/>
    </row>
    <row r="23" spans="2:17" x14ac:dyDescent="0.2">
      <c r="B23" s="5"/>
      <c r="C23" s="5"/>
      <c r="D23" s="5"/>
      <c r="E23" s="5"/>
      <c r="F23" s="5"/>
      <c r="G23" s="34"/>
      <c r="H23" s="5"/>
      <c r="I23" s="5"/>
      <c r="J23" s="5"/>
      <c r="K23" s="5"/>
      <c r="L23" s="5"/>
      <c r="M23" s="5"/>
      <c r="N23" s="5"/>
      <c r="O23" s="5"/>
      <c r="P23" s="5"/>
      <c r="Q23" s="34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5" customFormat="1" x14ac:dyDescent="0.2">
      <c r="E25"/>
      <c r="F25"/>
      <c r="G25" s="33"/>
      <c r="H25"/>
      <c r="I25"/>
      <c r="J25"/>
      <c r="K25"/>
      <c r="L25"/>
      <c r="M25"/>
      <c r="N25"/>
      <c r="O25"/>
      <c r="P25"/>
      <c r="Q25" s="33"/>
    </row>
    <row r="26" spans="2:17" s="35" customFormat="1" x14ac:dyDescent="0.2">
      <c r="E26"/>
      <c r="F26"/>
      <c r="H26"/>
      <c r="I26"/>
      <c r="J26"/>
      <c r="K26"/>
      <c r="L26"/>
      <c r="M26"/>
      <c r="N26"/>
      <c r="O26"/>
      <c r="P26"/>
    </row>
    <row r="27" spans="2:17" s="35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5"/>
      <c r="Q28" s="35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  <row r="39" spans="7:7" x14ac:dyDescent="0.2">
      <c r="G39" s="36"/>
    </row>
    <row r="40" spans="7:7" x14ac:dyDescent="0.2">
      <c r="G40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36"/>
  <sheetViews>
    <sheetView zoomScaleNormal="100" workbookViewId="0">
      <selection activeCell="E24" sqref="E24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'EB1'!G$2</f>
        <v>DSL</v>
      </c>
      <c r="D2" s="14" t="str">
        <f>'EB1'!G$3</f>
        <v>Diesel oil</v>
      </c>
      <c r="E2" s="14" t="str">
        <f>'EB1'!$Z$2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22" ht="15.75" x14ac:dyDescent="0.25">
      <c r="C3" s="14" t="str">
        <f>'EB1'!H$2</f>
        <v>KER</v>
      </c>
      <c r="D3" s="14" t="str">
        <f>'EB1'!H$3</f>
        <v>Kerosenes</v>
      </c>
      <c r="E3" s="14" t="str">
        <f>'EB1'!$Z$2</f>
        <v>PJ</v>
      </c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22" ht="24" thickBot="1" x14ac:dyDescent="0.3">
      <c r="C4" s="14" t="str">
        <f>'EB1'!I$2</f>
        <v>LPG</v>
      </c>
      <c r="D4" s="14" t="str">
        <f>'EB1'!I$3</f>
        <v>LPG</v>
      </c>
      <c r="E4" s="14" t="str">
        <f>'EB1'!$Z$2</f>
        <v>PJ</v>
      </c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  <c r="S4" s="5"/>
      <c r="T4" s="5"/>
    </row>
    <row r="5" spans="2:22" ht="15.75" x14ac:dyDescent="0.25">
      <c r="C5" s="14" t="str">
        <f>'EB1'!J$2</f>
        <v>GSL</v>
      </c>
      <c r="D5" s="14" t="str">
        <f>'EB1'!J$3</f>
        <v>Motor spirit</v>
      </c>
      <c r="E5" s="14" t="str">
        <f>'EB1'!$Z$2</f>
        <v>PJ</v>
      </c>
      <c r="H5" s="106" t="s">
        <v>65</v>
      </c>
      <c r="I5" s="107"/>
      <c r="J5" s="106" t="str">
        <f t="shared" ref="J5:K11" si="0">C2</f>
        <v>DSL</v>
      </c>
      <c r="K5" s="106" t="str">
        <f t="shared" si="0"/>
        <v>Diesel oil</v>
      </c>
      <c r="L5" s="106" t="str">
        <f t="shared" ref="L5:L11" si="1">$E$2</f>
        <v>PJ</v>
      </c>
      <c r="M5" s="106"/>
      <c r="N5" s="106"/>
      <c r="O5" s="106"/>
      <c r="P5" s="106"/>
      <c r="R5" s="5"/>
      <c r="S5" s="5"/>
      <c r="T5" s="5"/>
      <c r="U5" s="5"/>
      <c r="V5" s="5"/>
    </row>
    <row r="6" spans="2:22" ht="15.75" x14ac:dyDescent="0.25">
      <c r="C6" s="14" t="str">
        <f>'EB1'!K$2</f>
        <v>NAP</v>
      </c>
      <c r="D6" s="14" t="str">
        <f>'EB1'!K$3</f>
        <v>Naphtha</v>
      </c>
      <c r="E6" s="14" t="str">
        <f>'EB1'!$Z$2</f>
        <v>PJ</v>
      </c>
      <c r="H6" s="106"/>
      <c r="I6" s="107"/>
      <c r="J6" s="106" t="str">
        <f t="shared" si="0"/>
        <v>KER</v>
      </c>
      <c r="K6" s="106" t="str">
        <f t="shared" si="0"/>
        <v>Kerosenes</v>
      </c>
      <c r="L6" s="106" t="str">
        <f t="shared" si="1"/>
        <v>PJ</v>
      </c>
      <c r="M6" s="106"/>
      <c r="N6" s="106"/>
      <c r="O6" s="106"/>
      <c r="P6" s="106"/>
      <c r="R6" s="5"/>
      <c r="S6" s="5"/>
      <c r="T6" s="5"/>
      <c r="U6" s="5"/>
      <c r="V6" s="5"/>
    </row>
    <row r="7" spans="2:22" ht="15.75" x14ac:dyDescent="0.25">
      <c r="C7" s="14" t="str">
        <f>'EB1'!L$2</f>
        <v>HFO</v>
      </c>
      <c r="D7" s="14" t="str">
        <f>'EB1'!L$3</f>
        <v>Heavy Fuel Oil</v>
      </c>
      <c r="E7" s="14" t="str">
        <f>'EB1'!$Z$2</f>
        <v>PJ</v>
      </c>
      <c r="H7" s="106"/>
      <c r="I7" s="107"/>
      <c r="J7" s="106" t="str">
        <f t="shared" si="0"/>
        <v>LPG</v>
      </c>
      <c r="K7" s="106" t="str">
        <f t="shared" si="0"/>
        <v>LPG</v>
      </c>
      <c r="L7" s="106" t="str">
        <f t="shared" si="1"/>
        <v>PJ</v>
      </c>
      <c r="M7" s="106"/>
      <c r="N7" s="106"/>
      <c r="O7" s="106"/>
      <c r="P7" s="106"/>
      <c r="R7" s="5"/>
      <c r="S7" s="5"/>
      <c r="U7" s="5"/>
      <c r="V7" s="5"/>
    </row>
    <row r="8" spans="2:22" ht="15.75" x14ac:dyDescent="0.25">
      <c r="C8" s="14" t="str">
        <f>'EB1'!M$2</f>
        <v>OPP</v>
      </c>
      <c r="D8" s="14" t="str">
        <f>'EB1'!M$3</f>
        <v>Other Petroleum Products</v>
      </c>
      <c r="E8" s="14" t="str">
        <f>'EB1'!$Z$2</f>
        <v>PJ</v>
      </c>
      <c r="H8" s="106"/>
      <c r="I8" s="107"/>
      <c r="J8" s="106" t="str">
        <f t="shared" si="0"/>
        <v>GSL</v>
      </c>
      <c r="K8" s="106" t="str">
        <f t="shared" si="0"/>
        <v>Motor spirit</v>
      </c>
      <c r="L8" s="106" t="str">
        <f t="shared" si="1"/>
        <v>PJ</v>
      </c>
      <c r="M8" s="106"/>
      <c r="N8" s="106"/>
      <c r="O8" s="106"/>
      <c r="P8" s="106"/>
      <c r="R8" s="5"/>
      <c r="S8" s="5"/>
    </row>
    <row r="9" spans="2:22" x14ac:dyDescent="0.2">
      <c r="H9" s="106"/>
      <c r="I9" s="107"/>
      <c r="J9" s="106" t="str">
        <f t="shared" si="0"/>
        <v>NAP</v>
      </c>
      <c r="K9" s="106" t="str">
        <f t="shared" si="0"/>
        <v>Naphtha</v>
      </c>
      <c r="L9" s="106" t="str">
        <f t="shared" si="1"/>
        <v>PJ</v>
      </c>
      <c r="M9" s="106"/>
      <c r="N9" s="106"/>
      <c r="O9" s="106"/>
      <c r="P9" s="106"/>
      <c r="R9" s="5"/>
      <c r="S9" s="5"/>
    </row>
    <row r="10" spans="2:22" s="5" customFormat="1" x14ac:dyDescent="0.2">
      <c r="B10"/>
      <c r="C10"/>
      <c r="D10"/>
      <c r="E10"/>
      <c r="F10"/>
      <c r="H10" s="106"/>
      <c r="I10" s="107"/>
      <c r="J10" s="106" t="str">
        <f t="shared" si="0"/>
        <v>HFO</v>
      </c>
      <c r="K10" s="106" t="str">
        <f t="shared" si="0"/>
        <v>Heavy Fuel Oil</v>
      </c>
      <c r="L10" s="106" t="str">
        <f t="shared" si="1"/>
        <v>PJ</v>
      </c>
      <c r="M10" s="106"/>
      <c r="N10" s="106"/>
      <c r="O10" s="106"/>
      <c r="P10" s="106"/>
      <c r="Q10"/>
      <c r="U10"/>
      <c r="V10"/>
    </row>
    <row r="11" spans="2:22" s="5" customFormat="1" x14ac:dyDescent="0.2">
      <c r="H11" s="106"/>
      <c r="I11" s="107"/>
      <c r="J11" s="106" t="str">
        <f t="shared" si="0"/>
        <v>OPP</v>
      </c>
      <c r="K11" s="106" t="str">
        <f t="shared" si="0"/>
        <v>Other Petroleum Products</v>
      </c>
      <c r="L11" s="106" t="str">
        <f t="shared" si="1"/>
        <v>PJ</v>
      </c>
      <c r="M11" s="106"/>
      <c r="N11" s="106"/>
      <c r="O11" s="106"/>
      <c r="P11" s="106"/>
      <c r="Q11"/>
    </row>
    <row r="12" spans="2:22" s="5" customFormat="1" x14ac:dyDescent="0.2">
      <c r="H12"/>
      <c r="I12"/>
      <c r="J12"/>
      <c r="K12"/>
      <c r="L12"/>
      <c r="M12"/>
      <c r="N12"/>
      <c r="O12"/>
      <c r="P12"/>
      <c r="Q12"/>
    </row>
    <row r="13" spans="2:22" x14ac:dyDescent="0.2">
      <c r="D13" s="4" t="s">
        <v>13</v>
      </c>
      <c r="E13" s="4"/>
      <c r="H13" s="101" t="s">
        <v>15</v>
      </c>
      <c r="I13" s="101"/>
      <c r="J13" s="108"/>
      <c r="K13" s="108"/>
      <c r="L13" s="108"/>
      <c r="M13" s="108"/>
      <c r="N13" s="108"/>
      <c r="O13" s="108"/>
      <c r="P13" s="108"/>
      <c r="T13" s="5"/>
      <c r="U13" s="5"/>
      <c r="V13" s="5"/>
    </row>
    <row r="14" spans="2:22" x14ac:dyDescent="0.2">
      <c r="B14" s="3" t="s">
        <v>1</v>
      </c>
      <c r="C14" s="21" t="s">
        <v>5</v>
      </c>
      <c r="D14" s="3" t="s">
        <v>6</v>
      </c>
      <c r="E14" s="66" t="s">
        <v>35</v>
      </c>
      <c r="F14" s="66" t="s">
        <v>72</v>
      </c>
      <c r="H14" s="103" t="s">
        <v>11</v>
      </c>
      <c r="I14" s="104" t="s">
        <v>30</v>
      </c>
      <c r="J14" s="103" t="s">
        <v>1</v>
      </c>
      <c r="K14" s="103" t="s">
        <v>2</v>
      </c>
      <c r="L14" s="103" t="s">
        <v>16</v>
      </c>
      <c r="M14" s="103" t="s">
        <v>17</v>
      </c>
      <c r="N14" s="103" t="s">
        <v>18</v>
      </c>
      <c r="O14" s="103" t="s">
        <v>19</v>
      </c>
      <c r="P14" s="103" t="s">
        <v>20</v>
      </c>
      <c r="T14" s="5"/>
      <c r="U14" s="5"/>
      <c r="V14" s="5"/>
    </row>
    <row r="15" spans="2:22" ht="23.25" thickBot="1" x14ac:dyDescent="0.25">
      <c r="B15" s="18" t="s">
        <v>39</v>
      </c>
      <c r="C15" s="18" t="s">
        <v>32</v>
      </c>
      <c r="D15" s="18" t="s">
        <v>33</v>
      </c>
      <c r="E15" s="18" t="s">
        <v>79</v>
      </c>
      <c r="F15" s="18" t="s">
        <v>78</v>
      </c>
      <c r="H15" s="105" t="s">
        <v>38</v>
      </c>
      <c r="I15" s="105" t="s">
        <v>31</v>
      </c>
      <c r="J15" s="105" t="s">
        <v>21</v>
      </c>
      <c r="K15" s="105" t="s">
        <v>22</v>
      </c>
      <c r="L15" s="105" t="s">
        <v>23</v>
      </c>
      <c r="M15" s="105" t="s">
        <v>24</v>
      </c>
      <c r="N15" s="105" t="s">
        <v>43</v>
      </c>
      <c r="O15" s="105" t="s">
        <v>42</v>
      </c>
      <c r="P15" s="105" t="s">
        <v>25</v>
      </c>
      <c r="U15" s="5"/>
      <c r="V15" s="5"/>
    </row>
    <row r="16" spans="2:22" s="5" customFormat="1" ht="13.5" thickBot="1" x14ac:dyDescent="0.25">
      <c r="B16" s="18" t="s">
        <v>77</v>
      </c>
      <c r="C16" s="17"/>
      <c r="D16" s="17"/>
      <c r="E16" s="17" t="str">
        <f>$F$2&amp;"/"&amp;$E$2</f>
        <v>M€2005/PJ</v>
      </c>
      <c r="F16" s="17" t="str">
        <f>$E$2</f>
        <v>PJ</v>
      </c>
      <c r="H16" s="105" t="s">
        <v>73</v>
      </c>
      <c r="I16" s="105"/>
      <c r="J16" s="105"/>
      <c r="K16" s="105"/>
      <c r="L16" s="105"/>
      <c r="M16" s="105"/>
      <c r="N16" s="105"/>
      <c r="O16" s="105"/>
      <c r="P16" s="105"/>
      <c r="Q16"/>
      <c r="T16"/>
      <c r="U16"/>
      <c r="V16"/>
    </row>
    <row r="17" spans="2:22" s="5" customFormat="1" x14ac:dyDescent="0.2">
      <c r="B17" s="10" t="str">
        <f t="shared" ref="B17:B30" si="2">J17</f>
        <v>IMPDSL1</v>
      </c>
      <c r="C17" s="10"/>
      <c r="D17" s="10" t="str">
        <f t="shared" ref="D17:D23" si="3">C2</f>
        <v>DSL</v>
      </c>
      <c r="E17" s="59">
        <f>Pri_OIL!$F$14*1.3</f>
        <v>10.4</v>
      </c>
      <c r="F17" s="54"/>
      <c r="H17" s="107" t="str">
        <f>'EB1'!$B$6</f>
        <v>IMP</v>
      </c>
      <c r="I17" s="107"/>
      <c r="J17" s="107" t="str">
        <f t="shared" ref="J17:J23" si="4">$H$17&amp;C2&amp;1</f>
        <v>IMPDSL1</v>
      </c>
      <c r="K17" s="110" t="str">
        <f t="shared" ref="K17:K23" si="5">"Import of "&amp;D2&amp; " Step "&amp;RIGHT(J17,1)</f>
        <v>Import of Diesel oil Step 1</v>
      </c>
      <c r="L17" s="107" t="str">
        <f t="shared" ref="L17:L30" si="6">$E$2</f>
        <v>PJ</v>
      </c>
      <c r="M17" s="107"/>
      <c r="N17" s="107"/>
      <c r="O17" s="107"/>
      <c r="P17" s="107"/>
      <c r="T17"/>
      <c r="U17"/>
      <c r="V17"/>
    </row>
    <row r="18" spans="2:22" s="5" customFormat="1" x14ac:dyDescent="0.2">
      <c r="B18" s="10" t="str">
        <f t="shared" si="2"/>
        <v>IMPKER1</v>
      </c>
      <c r="C18" s="10"/>
      <c r="D18" s="10" t="str">
        <f t="shared" si="3"/>
        <v>KER</v>
      </c>
      <c r="E18" s="59">
        <f>Pri_OIL!$F$14*1.4</f>
        <v>11.2</v>
      </c>
      <c r="F18" s="54"/>
      <c r="H18" s="107"/>
      <c r="I18" s="107"/>
      <c r="J18" s="107" t="str">
        <f t="shared" si="4"/>
        <v>IMPKER1</v>
      </c>
      <c r="K18" s="110" t="str">
        <f t="shared" si="5"/>
        <v>Import of Kerosenes Step 1</v>
      </c>
      <c r="L18" s="107" t="str">
        <f t="shared" si="6"/>
        <v>PJ</v>
      </c>
      <c r="M18" s="107"/>
      <c r="N18" s="107"/>
      <c r="O18" s="107"/>
      <c r="P18" s="107"/>
      <c r="T18" s="1"/>
      <c r="U18"/>
      <c r="V18"/>
    </row>
    <row r="19" spans="2:22" s="5" customFormat="1" x14ac:dyDescent="0.2">
      <c r="B19" s="10" t="str">
        <f t="shared" si="2"/>
        <v>IMPLPG1</v>
      </c>
      <c r="C19" s="10"/>
      <c r="D19" s="10" t="str">
        <f t="shared" si="3"/>
        <v>LPG</v>
      </c>
      <c r="E19" s="59">
        <f>Pri_OIL!$F$14*1.1</f>
        <v>8.8000000000000007</v>
      </c>
      <c r="F19" s="54"/>
      <c r="H19" s="107"/>
      <c r="I19" s="107"/>
      <c r="J19" s="107" t="str">
        <f t="shared" si="4"/>
        <v>IMPLPG1</v>
      </c>
      <c r="K19" s="110" t="str">
        <f t="shared" si="5"/>
        <v>Import of LPG Step 1</v>
      </c>
      <c r="L19" s="107" t="str">
        <f t="shared" si="6"/>
        <v>PJ</v>
      </c>
      <c r="M19" s="107"/>
      <c r="N19" s="107"/>
      <c r="O19" s="107"/>
      <c r="P19" s="107"/>
      <c r="T19"/>
      <c r="U19" s="1"/>
      <c r="V19" s="1"/>
    </row>
    <row r="20" spans="2:22" s="5" customFormat="1" x14ac:dyDescent="0.2">
      <c r="B20" s="10" t="str">
        <f t="shared" si="2"/>
        <v>IMPGSL1</v>
      </c>
      <c r="C20" s="10"/>
      <c r="D20" s="10" t="str">
        <f t="shared" si="3"/>
        <v>GSL</v>
      </c>
      <c r="E20" s="59">
        <f>Pri_OIL!$F$14*1.4</f>
        <v>11.2</v>
      </c>
      <c r="F20" s="54"/>
      <c r="H20" s="107"/>
      <c r="I20" s="107"/>
      <c r="J20" s="107" t="str">
        <f t="shared" si="4"/>
        <v>IMPGSL1</v>
      </c>
      <c r="K20" s="110" t="str">
        <f t="shared" si="5"/>
        <v>Import of Motor spirit Step 1</v>
      </c>
      <c r="L20" s="107" t="str">
        <f t="shared" si="6"/>
        <v>PJ</v>
      </c>
      <c r="M20" s="107"/>
      <c r="N20" s="107"/>
      <c r="O20" s="107"/>
      <c r="P20" s="107"/>
      <c r="T20"/>
      <c r="U20"/>
      <c r="V20"/>
    </row>
    <row r="21" spans="2:22" s="5" customFormat="1" x14ac:dyDescent="0.2">
      <c r="B21" s="10" t="str">
        <f t="shared" si="2"/>
        <v>IMPNAP1</v>
      </c>
      <c r="C21" s="10"/>
      <c r="D21" s="10" t="str">
        <f t="shared" si="3"/>
        <v>NAP</v>
      </c>
      <c r="E21" s="59">
        <f>Pri_OIL!$F$14*1.05</f>
        <v>8.4</v>
      </c>
      <c r="F21" s="54"/>
      <c r="H21" s="107"/>
      <c r="I21" s="107"/>
      <c r="J21" s="107" t="str">
        <f t="shared" si="4"/>
        <v>IMPNAP1</v>
      </c>
      <c r="K21" s="110" t="str">
        <f t="shared" si="5"/>
        <v>Import of Naphtha Step 1</v>
      </c>
      <c r="L21" s="107" t="str">
        <f t="shared" si="6"/>
        <v>PJ</v>
      </c>
      <c r="M21" s="107"/>
      <c r="N21" s="107"/>
      <c r="O21" s="107"/>
      <c r="P21" s="107"/>
      <c r="Q21"/>
      <c r="R21"/>
      <c r="S21"/>
      <c r="T21"/>
      <c r="U21"/>
      <c r="V21"/>
    </row>
    <row r="22" spans="2:22" s="5" customFormat="1" x14ac:dyDescent="0.2">
      <c r="B22" s="10" t="str">
        <f t="shared" si="2"/>
        <v>IMPHFO1</v>
      </c>
      <c r="C22" s="10"/>
      <c r="D22" s="10" t="str">
        <f t="shared" si="3"/>
        <v>HFO</v>
      </c>
      <c r="E22" s="59">
        <f>Pri_OIL!$F$14*1.05</f>
        <v>8.4</v>
      </c>
      <c r="F22" s="54"/>
      <c r="H22" s="107"/>
      <c r="I22" s="107"/>
      <c r="J22" s="107" t="str">
        <f t="shared" si="4"/>
        <v>IMPHFO1</v>
      </c>
      <c r="K22" s="110" t="str">
        <f t="shared" si="5"/>
        <v>Import of Heavy Fuel Oil Step 1</v>
      </c>
      <c r="L22" s="107" t="str">
        <f t="shared" si="6"/>
        <v>PJ</v>
      </c>
      <c r="M22" s="107"/>
      <c r="N22" s="107"/>
      <c r="O22" s="107"/>
      <c r="P22" s="107"/>
      <c r="S22"/>
      <c r="T22"/>
      <c r="U22"/>
      <c r="V22"/>
    </row>
    <row r="23" spans="2:22" x14ac:dyDescent="0.2">
      <c r="B23" s="10" t="str">
        <f t="shared" si="2"/>
        <v>IMPOPP1</v>
      </c>
      <c r="C23" s="10"/>
      <c r="D23" s="10" t="str">
        <f t="shared" si="3"/>
        <v>OPP</v>
      </c>
      <c r="E23" s="59">
        <f>Pri_OIL!$F$14*1.05</f>
        <v>8.4</v>
      </c>
      <c r="F23" s="54"/>
      <c r="H23" s="107"/>
      <c r="I23" s="107"/>
      <c r="J23" s="107" t="str">
        <f t="shared" si="4"/>
        <v>IMPOPP1</v>
      </c>
      <c r="K23" s="110" t="str">
        <f t="shared" si="5"/>
        <v>Import of Other Petroleum Products Step 1</v>
      </c>
      <c r="L23" s="107" t="str">
        <f t="shared" si="6"/>
        <v>PJ</v>
      </c>
      <c r="M23" s="107"/>
      <c r="N23" s="107"/>
      <c r="O23" s="107"/>
      <c r="P23" s="107"/>
      <c r="Q23" s="5"/>
    </row>
    <row r="24" spans="2:22" x14ac:dyDescent="0.2">
      <c r="B24" s="10" t="str">
        <f t="shared" si="2"/>
        <v>EXPDSL1</v>
      </c>
      <c r="C24" s="10" t="str">
        <f t="shared" ref="C24:C30" si="7">C2</f>
        <v>DSL</v>
      </c>
      <c r="D24" s="10"/>
      <c r="E24" s="59">
        <f>E17*0.99</f>
        <v>10.295999999999999</v>
      </c>
      <c r="F24" s="54">
        <f>-'EB1'!G$7</f>
        <v>1683.1424999999999</v>
      </c>
      <c r="H24" s="107" t="str">
        <f>'EB1'!B7</f>
        <v>EXP</v>
      </c>
      <c r="I24" s="108"/>
      <c r="J24" s="107" t="str">
        <f t="shared" ref="J24:J30" si="8">$H$24&amp;C2&amp;1</f>
        <v>EXPDSL1</v>
      </c>
      <c r="K24" s="110" t="str">
        <f t="shared" ref="K24:K30" si="9">"Export of "&amp;D2&amp; " Step "&amp;RIGHT(J24,1)</f>
        <v>Export of Diesel oil Step 1</v>
      </c>
      <c r="L24" s="107" t="str">
        <f t="shared" si="6"/>
        <v>PJ</v>
      </c>
      <c r="M24" s="107"/>
      <c r="N24" s="108"/>
      <c r="O24" s="107"/>
      <c r="P24" s="107"/>
      <c r="S24" s="1"/>
    </row>
    <row r="25" spans="2:22" x14ac:dyDescent="0.2">
      <c r="B25" s="10" t="str">
        <f t="shared" si="2"/>
        <v>EXPKER1</v>
      </c>
      <c r="C25" s="10" t="str">
        <f t="shared" si="7"/>
        <v>KER</v>
      </c>
      <c r="D25" s="10"/>
      <c r="E25" s="59">
        <f t="shared" ref="E25:E30" si="10">E18*0.99</f>
        <v>11.087999999999999</v>
      </c>
      <c r="F25" s="54">
        <f>-'EB1'!H$7</f>
        <v>295.38850000000002</v>
      </c>
      <c r="H25" s="108"/>
      <c r="I25" s="108"/>
      <c r="J25" s="107" t="str">
        <f t="shared" si="8"/>
        <v>EXPKER1</v>
      </c>
      <c r="K25" s="110" t="str">
        <f t="shared" si="9"/>
        <v>Export of Kerosenes Step 1</v>
      </c>
      <c r="L25" s="107" t="str">
        <f t="shared" si="6"/>
        <v>PJ</v>
      </c>
      <c r="M25" s="107"/>
      <c r="N25" s="108"/>
      <c r="O25" s="107"/>
      <c r="P25" s="107"/>
      <c r="Q25" s="5"/>
      <c r="R25" s="1"/>
    </row>
    <row r="26" spans="2:22" x14ac:dyDescent="0.2">
      <c r="B26" s="10" t="str">
        <f t="shared" si="2"/>
        <v>EXPLPG1</v>
      </c>
      <c r="C26" s="10" t="str">
        <f t="shared" si="7"/>
        <v>LPG</v>
      </c>
      <c r="D26" s="10"/>
      <c r="E26" s="59">
        <f t="shared" si="10"/>
        <v>8.7119999999999997</v>
      </c>
      <c r="F26" s="54">
        <f>-'EB1'!I$7</f>
        <v>194.51650000000001</v>
      </c>
      <c r="H26" s="107"/>
      <c r="I26" s="107"/>
      <c r="J26" s="107" t="str">
        <f t="shared" si="8"/>
        <v>EXPLPG1</v>
      </c>
      <c r="K26" s="110" t="str">
        <f t="shared" si="9"/>
        <v>Export of LPG Step 1</v>
      </c>
      <c r="L26" s="107" t="str">
        <f t="shared" si="6"/>
        <v>PJ</v>
      </c>
      <c r="M26" s="107"/>
      <c r="N26" s="107"/>
      <c r="O26" s="107"/>
      <c r="P26" s="107"/>
      <c r="Q26" s="5"/>
    </row>
    <row r="27" spans="2:22" x14ac:dyDescent="0.2">
      <c r="B27" s="10" t="str">
        <f t="shared" si="2"/>
        <v>EXPGSL1</v>
      </c>
      <c r="C27" s="10" t="str">
        <f t="shared" si="7"/>
        <v>GSL</v>
      </c>
      <c r="D27" s="10"/>
      <c r="E27" s="59">
        <f t="shared" si="10"/>
        <v>11.087999999999999</v>
      </c>
      <c r="F27" s="54">
        <f>-'EB1'!J$7</f>
        <v>1500.6420000000001</v>
      </c>
      <c r="H27" s="107"/>
      <c r="I27" s="107"/>
      <c r="J27" s="107" t="str">
        <f t="shared" si="8"/>
        <v>EXPGSL1</v>
      </c>
      <c r="K27" s="110" t="str">
        <f t="shared" si="9"/>
        <v>Export of Motor spirit Step 1</v>
      </c>
      <c r="L27" s="107" t="str">
        <f t="shared" si="6"/>
        <v>PJ</v>
      </c>
      <c r="M27" s="107"/>
      <c r="N27" s="107"/>
      <c r="O27" s="107"/>
      <c r="P27" s="107"/>
      <c r="Q27" s="5"/>
    </row>
    <row r="28" spans="2:22" x14ac:dyDescent="0.2">
      <c r="B28" s="10" t="str">
        <f t="shared" si="2"/>
        <v>EXPNAP1</v>
      </c>
      <c r="C28" s="10" t="str">
        <f t="shared" si="7"/>
        <v>NAP</v>
      </c>
      <c r="D28" s="10"/>
      <c r="E28" s="59">
        <f t="shared" si="10"/>
        <v>8.3160000000000007</v>
      </c>
      <c r="F28" s="54">
        <f>-'EB1'!K$7</f>
        <v>400.84</v>
      </c>
      <c r="H28" s="108"/>
      <c r="I28" s="108"/>
      <c r="J28" s="107" t="str">
        <f t="shared" si="8"/>
        <v>EXPNAP1</v>
      </c>
      <c r="K28" s="110" t="str">
        <f t="shared" si="9"/>
        <v>Export of Naphtha Step 1</v>
      </c>
      <c r="L28" s="107" t="str">
        <f t="shared" si="6"/>
        <v>PJ</v>
      </c>
      <c r="M28" s="107"/>
      <c r="N28" s="108"/>
      <c r="O28" s="108"/>
      <c r="P28" s="108"/>
      <c r="Q28" s="5"/>
    </row>
    <row r="29" spans="2:22" x14ac:dyDescent="0.2">
      <c r="B29" s="10" t="str">
        <f t="shared" si="2"/>
        <v>EXPHFO1</v>
      </c>
      <c r="C29" s="10" t="str">
        <f t="shared" si="7"/>
        <v>HFO</v>
      </c>
      <c r="D29" s="10"/>
      <c r="E29" s="59">
        <f t="shared" si="10"/>
        <v>8.3160000000000007</v>
      </c>
      <c r="F29" s="54">
        <f>-'EB1'!L$7</f>
        <v>1239.28</v>
      </c>
      <c r="H29" s="108"/>
      <c r="I29" s="108"/>
      <c r="J29" s="107" t="str">
        <f t="shared" si="8"/>
        <v>EXPHFO1</v>
      </c>
      <c r="K29" s="110" t="str">
        <f t="shared" si="9"/>
        <v>Export of Heavy Fuel Oil Step 1</v>
      </c>
      <c r="L29" s="107" t="str">
        <f t="shared" si="6"/>
        <v>PJ</v>
      </c>
      <c r="M29" s="107"/>
      <c r="N29" s="108"/>
      <c r="O29" s="108"/>
      <c r="P29" s="108"/>
    </row>
    <row r="30" spans="2:22" x14ac:dyDescent="0.2">
      <c r="B30" s="10" t="str">
        <f t="shared" si="2"/>
        <v>EXPOPP1</v>
      </c>
      <c r="C30" s="10" t="str">
        <f t="shared" si="7"/>
        <v>OPP</v>
      </c>
      <c r="D30" s="10"/>
      <c r="E30" s="59">
        <f t="shared" si="10"/>
        <v>8.3160000000000007</v>
      </c>
      <c r="F30" s="54">
        <f>-'EB1'!M$7</f>
        <v>453.036</v>
      </c>
      <c r="H30" s="108"/>
      <c r="I30" s="108"/>
      <c r="J30" s="107" t="str">
        <f t="shared" si="8"/>
        <v>EXPOPP1</v>
      </c>
      <c r="K30" s="110" t="str">
        <f t="shared" si="9"/>
        <v>Export of Other Petroleum Products Step 1</v>
      </c>
      <c r="L30" s="107" t="str">
        <f t="shared" si="6"/>
        <v>PJ</v>
      </c>
      <c r="M30" s="108"/>
      <c r="N30" s="108"/>
      <c r="O30" s="108"/>
      <c r="P30" s="108"/>
    </row>
    <row r="35" spans="2:3" x14ac:dyDescent="0.2">
      <c r="B35" s="48"/>
      <c r="C35" s="1" t="s">
        <v>115</v>
      </c>
    </row>
    <row r="36" spans="2:3" x14ac:dyDescent="0.2">
      <c r="B36" s="56"/>
      <c r="C36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22"/>
  <sheetViews>
    <sheetView zoomScaleNormal="100" workbookViewId="0">
      <selection activeCell="D11" sqref="D11:H11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'EB1'!U$2</f>
        <v>ELC</v>
      </c>
      <c r="D2" s="14" t="str">
        <f>'EB1'!U$3</f>
        <v>Electricity</v>
      </c>
      <c r="E2" s="14" t="str">
        <f>'EB1'!$Z$2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22" ht="15.75" x14ac:dyDescent="0.25">
      <c r="C3" s="12"/>
      <c r="D3" s="12"/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22" ht="24" thickBot="1" x14ac:dyDescent="0.3">
      <c r="C4" s="12"/>
      <c r="D4" s="12"/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  <c r="S4" s="5"/>
      <c r="T4" s="5"/>
    </row>
    <row r="5" spans="2:22" ht="15.75" x14ac:dyDescent="0.25">
      <c r="C5" s="12"/>
      <c r="D5" s="12"/>
      <c r="H5" s="10"/>
      <c r="I5" s="5"/>
      <c r="J5" s="10"/>
      <c r="K5" s="10"/>
      <c r="L5" s="10"/>
      <c r="M5" s="10"/>
      <c r="N5" s="10"/>
      <c r="O5" s="10"/>
      <c r="P5" s="10"/>
      <c r="R5" s="5"/>
      <c r="S5" s="5"/>
      <c r="T5" s="5"/>
      <c r="U5" s="5"/>
      <c r="V5" s="5"/>
    </row>
    <row r="6" spans="2:22" ht="15.75" x14ac:dyDescent="0.25">
      <c r="C6" s="12"/>
      <c r="D6" s="12"/>
      <c r="H6" s="10"/>
      <c r="I6" s="5"/>
      <c r="J6" s="10"/>
      <c r="K6" s="10"/>
      <c r="L6" s="10"/>
      <c r="M6" s="10"/>
      <c r="N6" s="10"/>
      <c r="O6" s="10"/>
      <c r="P6" s="10"/>
      <c r="R6" s="5"/>
      <c r="S6" s="5"/>
      <c r="T6" s="5"/>
      <c r="U6" s="5"/>
      <c r="V6" s="5"/>
    </row>
    <row r="7" spans="2:22" s="5" customFormat="1" x14ac:dyDescent="0.2">
      <c r="H7"/>
      <c r="I7"/>
      <c r="J7"/>
      <c r="K7"/>
      <c r="L7"/>
      <c r="M7"/>
      <c r="N7"/>
      <c r="O7"/>
      <c r="P7"/>
      <c r="Q7"/>
    </row>
    <row r="8" spans="2:22" s="5" customFormat="1" x14ac:dyDescent="0.2">
      <c r="H8"/>
      <c r="I8"/>
      <c r="J8"/>
      <c r="K8"/>
      <c r="L8"/>
      <c r="M8"/>
      <c r="N8"/>
      <c r="O8"/>
      <c r="P8"/>
      <c r="Q8"/>
    </row>
    <row r="9" spans="2:22" s="5" customFormat="1" x14ac:dyDescent="0.2">
      <c r="H9"/>
      <c r="I9"/>
      <c r="J9"/>
      <c r="K9"/>
      <c r="L9"/>
      <c r="M9"/>
      <c r="N9"/>
      <c r="O9"/>
      <c r="P9"/>
      <c r="Q9"/>
    </row>
    <row r="10" spans="2:22" s="5" customFormat="1" x14ac:dyDescent="0.2">
      <c r="H10"/>
      <c r="I10"/>
      <c r="J10"/>
      <c r="K10"/>
      <c r="L10"/>
      <c r="M10"/>
      <c r="N10"/>
      <c r="O10"/>
      <c r="P10"/>
      <c r="Q10"/>
    </row>
    <row r="11" spans="2:22" x14ac:dyDescent="0.2">
      <c r="D11" s="4"/>
      <c r="E11" s="4"/>
      <c r="H11" s="101"/>
      <c r="I11" s="101"/>
      <c r="J11" s="108"/>
      <c r="K11" s="108"/>
      <c r="L11" s="108"/>
      <c r="M11" s="108"/>
      <c r="N11" s="108"/>
      <c r="O11" s="108"/>
      <c r="P11" s="108"/>
      <c r="T11" s="5"/>
      <c r="U11" s="5"/>
      <c r="V11" s="5"/>
    </row>
    <row r="12" spans="2:22" x14ac:dyDescent="0.2">
      <c r="B12" s="3" t="s">
        <v>1</v>
      </c>
      <c r="C12" s="21" t="s">
        <v>5</v>
      </c>
      <c r="D12" s="3" t="s">
        <v>6</v>
      </c>
      <c r="E12" s="66" t="s">
        <v>35</v>
      </c>
      <c r="F12" s="66" t="s">
        <v>72</v>
      </c>
      <c r="H12" s="103" t="s">
        <v>11</v>
      </c>
      <c r="I12" s="104" t="s">
        <v>30</v>
      </c>
      <c r="J12" s="103" t="s">
        <v>1</v>
      </c>
      <c r="K12" s="103" t="s">
        <v>2</v>
      </c>
      <c r="L12" s="103" t="s">
        <v>16</v>
      </c>
      <c r="M12" s="103" t="s">
        <v>17</v>
      </c>
      <c r="N12" s="103" t="s">
        <v>18</v>
      </c>
      <c r="O12" s="103" t="s">
        <v>19</v>
      </c>
      <c r="P12" s="103" t="s">
        <v>20</v>
      </c>
      <c r="T12" s="5"/>
      <c r="U12" s="5"/>
      <c r="V12" s="5"/>
    </row>
    <row r="13" spans="2:22" ht="23.25" thickBot="1" x14ac:dyDescent="0.25">
      <c r="B13" s="18" t="s">
        <v>39</v>
      </c>
      <c r="C13" s="18" t="s">
        <v>32</v>
      </c>
      <c r="D13" s="18" t="s">
        <v>33</v>
      </c>
      <c r="E13" s="18" t="s">
        <v>79</v>
      </c>
      <c r="F13" s="18" t="s">
        <v>78</v>
      </c>
      <c r="H13" s="105" t="s">
        <v>38</v>
      </c>
      <c r="I13" s="105" t="s">
        <v>31</v>
      </c>
      <c r="J13" s="105" t="s">
        <v>21</v>
      </c>
      <c r="K13" s="105" t="s">
        <v>22</v>
      </c>
      <c r="L13" s="105" t="s">
        <v>23</v>
      </c>
      <c r="M13" s="105" t="s">
        <v>24</v>
      </c>
      <c r="N13" s="105" t="s">
        <v>43</v>
      </c>
      <c r="O13" s="105" t="s">
        <v>42</v>
      </c>
      <c r="P13" s="105" t="s">
        <v>25</v>
      </c>
      <c r="U13" s="5"/>
      <c r="V13" s="5"/>
    </row>
    <row r="14" spans="2:22" s="5" customFormat="1" ht="13.5" thickBot="1" x14ac:dyDescent="0.25">
      <c r="B14" s="18" t="s">
        <v>77</v>
      </c>
      <c r="C14" s="17"/>
      <c r="D14" s="17"/>
      <c r="E14" s="17" t="str">
        <f>$F$2&amp;"/"&amp;$E$2</f>
        <v>M€2005/PJ</v>
      </c>
      <c r="F14" s="17" t="str">
        <f>$E$2</f>
        <v>PJ</v>
      </c>
      <c r="H14" s="105" t="s">
        <v>73</v>
      </c>
      <c r="I14" s="105"/>
      <c r="J14" s="105"/>
      <c r="K14" s="105"/>
      <c r="L14" s="105"/>
      <c r="M14" s="105"/>
      <c r="N14" s="105"/>
      <c r="O14" s="105"/>
      <c r="P14" s="105"/>
      <c r="Q14"/>
      <c r="T14"/>
      <c r="U14"/>
      <c r="V14"/>
    </row>
    <row r="15" spans="2:22" s="5" customFormat="1" x14ac:dyDescent="0.2">
      <c r="B15" s="10" t="str">
        <f>J15</f>
        <v>IMPELC1</v>
      </c>
      <c r="C15" s="10"/>
      <c r="D15" s="10" t="str">
        <f>C2</f>
        <v>ELC</v>
      </c>
      <c r="E15" s="59">
        <f>Pri_GAS!F12*1.3</f>
        <v>5.3819999999999997</v>
      </c>
      <c r="F15" s="54">
        <f>'EB1'!U6</f>
        <v>583.76</v>
      </c>
      <c r="H15" s="107" t="str">
        <f>'EB1'!$B$6</f>
        <v>IMP</v>
      </c>
      <c r="I15" s="107"/>
      <c r="J15" s="107" t="str">
        <f>$H$15&amp;C2&amp;1</f>
        <v>IMPELC1</v>
      </c>
      <c r="K15" s="110" t="str">
        <f>"Import of "&amp;D2&amp; " Step "&amp;RIGHT(J15,1)</f>
        <v>Import of Electricity Step 1</v>
      </c>
      <c r="L15" s="107" t="str">
        <f>$E$2</f>
        <v>PJ</v>
      </c>
      <c r="M15" s="107"/>
      <c r="N15" s="106" t="s">
        <v>92</v>
      </c>
      <c r="O15" s="107"/>
      <c r="P15" s="107"/>
      <c r="T15"/>
      <c r="U15"/>
      <c r="V15"/>
    </row>
    <row r="16" spans="2:22" x14ac:dyDescent="0.2">
      <c r="B16" s="10" t="str">
        <f>J16</f>
        <v>EXPELC1</v>
      </c>
      <c r="C16" s="10" t="str">
        <f>C2</f>
        <v>ELC</v>
      </c>
      <c r="D16" s="10"/>
      <c r="E16" s="59">
        <f>E15*0.99</f>
        <v>5.3281799999999997</v>
      </c>
      <c r="F16" s="54">
        <f>-'EB1'!U$7</f>
        <v>563.40200000000004</v>
      </c>
      <c r="H16" s="107" t="str">
        <f>'EB1'!B7</f>
        <v>EXP</v>
      </c>
      <c r="I16" s="108"/>
      <c r="J16" s="107" t="str">
        <f>$H$16&amp;C2&amp;1</f>
        <v>EXPELC1</v>
      </c>
      <c r="K16" s="110" t="str">
        <f>"Export of "&amp;D2&amp; " Step "&amp;RIGHT(J16,1)</f>
        <v>Export of Electricity Step 1</v>
      </c>
      <c r="L16" s="107" t="str">
        <f>$E$2</f>
        <v>PJ</v>
      </c>
      <c r="M16" s="107"/>
      <c r="N16" s="106" t="s">
        <v>92</v>
      </c>
      <c r="O16" s="107"/>
      <c r="P16" s="107"/>
      <c r="S16" s="1"/>
    </row>
    <row r="21" spans="2:3" x14ac:dyDescent="0.2">
      <c r="B21" s="48"/>
      <c r="C21" s="1" t="s">
        <v>115</v>
      </c>
    </row>
    <row r="22" spans="2:3" x14ac:dyDescent="0.2">
      <c r="B22" s="56"/>
      <c r="C22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EB1</vt:lpstr>
      <vt:lpstr>RES_PRI</vt:lpstr>
      <vt:lpstr>Pri_COA</vt:lpstr>
      <vt:lpstr>Pri_GAS</vt:lpstr>
      <vt:lpstr>Pri_OIL</vt:lpstr>
      <vt:lpstr>Pri_NUC</vt:lpstr>
      <vt:lpstr>Pri_RNW</vt:lpstr>
      <vt:lpstr>Pri_PP</vt:lpstr>
      <vt:lpstr>Pri_ELC</vt:lpstr>
      <vt:lpstr>Con_REF</vt:lpstr>
      <vt:lpstr>TOTCO2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2021-02-19T11:21:50Z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386333703994750</vt:r8>
  </property>
</Properties>
</file>