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7EBD922C-8989-4DE7-AB35-9713268C12AD}" xr6:coauthVersionLast="45" xr6:coauthVersionMax="45" xr10:uidLastSave="{00000000-0000-0000-0000-000000000000}"/>
  <bookViews>
    <workbookView xWindow="3720" yWindow="570" windowWidth="25080" windowHeight="15030" tabRatio="901" activeTab="3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41" l="1"/>
  <c r="F43" i="141"/>
  <c r="E43" i="141"/>
  <c r="X42" i="141"/>
  <c r="W42" i="141"/>
  <c r="V42" i="141"/>
  <c r="U42" i="141"/>
  <c r="T42" i="141"/>
  <c r="S42" i="141"/>
  <c r="R42" i="141"/>
  <c r="Q42" i="141"/>
  <c r="P42" i="141"/>
  <c r="O42" i="141"/>
  <c r="N42" i="141"/>
  <c r="M42" i="141"/>
  <c r="W40" i="141"/>
  <c r="U40" i="141"/>
  <c r="L39" i="141"/>
  <c r="K39" i="141"/>
  <c r="J39" i="141"/>
  <c r="I39" i="141"/>
  <c r="D41" i="141"/>
  <c r="D38" i="141"/>
  <c r="T23" i="141"/>
  <c r="T17" i="141"/>
  <c r="O26" i="133"/>
  <c r="D5" i="133"/>
  <c r="E5" i="133"/>
  <c r="V5" i="133" s="1"/>
  <c r="F5" i="133"/>
  <c r="G5" i="133"/>
  <c r="H5" i="133"/>
  <c r="I5" i="133"/>
  <c r="J5" i="133"/>
  <c r="K5" i="133"/>
  <c r="L5" i="133"/>
  <c r="M5" i="133"/>
  <c r="N5" i="133"/>
  <c r="O5" i="133"/>
  <c r="O13" i="133" s="1"/>
  <c r="P5" i="133"/>
  <c r="Q5" i="133"/>
  <c r="R5" i="133"/>
  <c r="S5" i="133"/>
  <c r="S13" i="133" s="1"/>
  <c r="T5" i="133"/>
  <c r="U5" i="133"/>
  <c r="U13" i="133" s="1"/>
  <c r="D6" i="133"/>
  <c r="V6" i="133" s="1"/>
  <c r="E6" i="133"/>
  <c r="E13" i="133" s="1"/>
  <c r="F6" i="133"/>
  <c r="F13" i="133" s="1"/>
  <c r="G6" i="133"/>
  <c r="G13" i="133" s="1"/>
  <c r="H6" i="133"/>
  <c r="H13" i="133" s="1"/>
  <c r="I6" i="133"/>
  <c r="I13" i="133" s="1"/>
  <c r="J6" i="133"/>
  <c r="J13" i="133" s="1"/>
  <c r="K6" i="133"/>
  <c r="K13" i="133" s="1"/>
  <c r="L6" i="133"/>
  <c r="L13" i="133" s="1"/>
  <c r="M6" i="133"/>
  <c r="M13" i="133" s="1"/>
  <c r="N6" i="133"/>
  <c r="O6" i="133"/>
  <c r="P6" i="133"/>
  <c r="Q6" i="133"/>
  <c r="R6" i="133"/>
  <c r="S6" i="133"/>
  <c r="T6" i="133"/>
  <c r="U6" i="133"/>
  <c r="D7" i="133"/>
  <c r="E7" i="133"/>
  <c r="F7" i="133"/>
  <c r="G7" i="133"/>
  <c r="V7" i="133" s="1"/>
  <c r="H7" i="133"/>
  <c r="I7" i="133"/>
  <c r="J7" i="133"/>
  <c r="K7" i="133"/>
  <c r="L7" i="133"/>
  <c r="M7" i="133"/>
  <c r="N7" i="133"/>
  <c r="N13" i="133" s="1"/>
  <c r="O7" i="133"/>
  <c r="P7" i="133"/>
  <c r="Q7" i="133"/>
  <c r="R7" i="133"/>
  <c r="S7" i="133"/>
  <c r="T7" i="133"/>
  <c r="T13" i="133" s="1"/>
  <c r="U7" i="133"/>
  <c r="D8" i="133"/>
  <c r="D13" i="133" s="1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E19" i="141" s="1"/>
  <c r="M19" i="141" s="1"/>
  <c r="B38" i="141"/>
  <c r="X38" i="141" s="1"/>
  <c r="M13" i="141"/>
  <c r="F9" i="133"/>
  <c r="G9" i="133"/>
  <c r="E20" i="141" s="1"/>
  <c r="M20" i="141" s="1"/>
  <c r="B39" i="141"/>
  <c r="H39" i="141" s="1"/>
  <c r="M14" i="141"/>
  <c r="H9" i="133"/>
  <c r="I9" i="133"/>
  <c r="E21" i="141" s="1"/>
  <c r="M21" i="141" s="1"/>
  <c r="B40" i="141"/>
  <c r="T40" i="141" s="1"/>
  <c r="M15" i="141"/>
  <c r="J9" i="133"/>
  <c r="B41" i="141" s="1"/>
  <c r="E22" i="141"/>
  <c r="M22" i="141" s="1"/>
  <c r="K9" i="133"/>
  <c r="L9" i="133"/>
  <c r="M9" i="133"/>
  <c r="N9" i="133"/>
  <c r="O9" i="133"/>
  <c r="E23" i="141"/>
  <c r="M23" i="141"/>
  <c r="P9" i="133"/>
  <c r="Q9" i="133"/>
  <c r="R9" i="133"/>
  <c r="S9" i="133"/>
  <c r="T9" i="133"/>
  <c r="U9" i="133"/>
  <c r="B43" i="141"/>
  <c r="X43" i="141" s="1"/>
  <c r="D10" i="133"/>
  <c r="E10" i="133"/>
  <c r="V10" i="133" s="1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J26" i="133"/>
  <c r="U26" i="133"/>
  <c r="F2" i="152"/>
  <c r="E2" i="152"/>
  <c r="N17" i="152" s="1"/>
  <c r="T24" i="141"/>
  <c r="T22" i="141"/>
  <c r="T21" i="141"/>
  <c r="T20" i="141"/>
  <c r="T19" i="141"/>
  <c r="T18" i="141"/>
  <c r="T13" i="141"/>
  <c r="E2" i="134"/>
  <c r="E8" i="134"/>
  <c r="S7" i="141"/>
  <c r="C2" i="152"/>
  <c r="M7" i="152" s="1"/>
  <c r="M18" i="152" s="1"/>
  <c r="M5" i="152"/>
  <c r="M16" i="152"/>
  <c r="M10" i="152"/>
  <c r="M21" i="152" s="1"/>
  <c r="B2" i="152"/>
  <c r="L7" i="152" s="1"/>
  <c r="T16" i="141"/>
  <c r="T15" i="141"/>
  <c r="T14" i="141"/>
  <c r="E12" i="141"/>
  <c r="E2" i="141"/>
  <c r="C2" i="141"/>
  <c r="R7" i="141" s="1"/>
  <c r="B2" i="141"/>
  <c r="Q18" i="141" s="1"/>
  <c r="B18" i="141" s="1"/>
  <c r="D43" i="141" s="1"/>
  <c r="Q17" i="141"/>
  <c r="B17" i="141" s="1"/>
  <c r="F2" i="141"/>
  <c r="I12" i="141" s="1"/>
  <c r="G2" i="134"/>
  <c r="L5" i="152"/>
  <c r="D16" i="152" s="1"/>
  <c r="C16" i="152" s="1"/>
  <c r="C6" i="149"/>
  <c r="L8" i="152"/>
  <c r="D19" i="152"/>
  <c r="C19" i="152" s="1"/>
  <c r="R14" i="141"/>
  <c r="Q13" i="141"/>
  <c r="B13" i="141"/>
  <c r="C13" i="141"/>
  <c r="Q7" i="141"/>
  <c r="B8" i="149" s="1"/>
  <c r="L19" i="152"/>
  <c r="B19" i="152"/>
  <c r="F6" i="149"/>
  <c r="M6" i="152"/>
  <c r="M17" i="152" s="1"/>
  <c r="R15" i="141"/>
  <c r="R21" i="141"/>
  <c r="N9" i="152"/>
  <c r="R24" i="141"/>
  <c r="R16" i="141"/>
  <c r="R5" i="141"/>
  <c r="Q16" i="141"/>
  <c r="B16" i="141"/>
  <c r="C16" i="141"/>
  <c r="Q14" i="141"/>
  <c r="B14" i="141"/>
  <c r="D39" i="141" s="1"/>
  <c r="C14" i="141"/>
  <c r="N6" i="152"/>
  <c r="R20" i="141"/>
  <c r="O20" i="152"/>
  <c r="R6" i="141"/>
  <c r="R22" i="141"/>
  <c r="R19" i="141"/>
  <c r="R18" i="141"/>
  <c r="V11" i="133"/>
  <c r="L16" i="152"/>
  <c r="B16" i="152" s="1"/>
  <c r="Q15" i="141"/>
  <c r="B15" i="141"/>
  <c r="D40" i="141" s="1"/>
  <c r="C15" i="141"/>
  <c r="Q6" i="141"/>
  <c r="D20" i="141" s="1"/>
  <c r="G10" i="134"/>
  <c r="E24" i="141"/>
  <c r="M24" i="141"/>
  <c r="B42" i="141"/>
  <c r="L42" i="141" s="1"/>
  <c r="M17" i="141"/>
  <c r="Q5" i="141"/>
  <c r="D14" i="141" s="1"/>
  <c r="Q20" i="141"/>
  <c r="B20" i="141"/>
  <c r="L9" i="152"/>
  <c r="D20" i="152" s="1"/>
  <c r="C20" i="152" s="1"/>
  <c r="Q22" i="141"/>
  <c r="B22" i="141"/>
  <c r="C22" i="141"/>
  <c r="L6" i="152"/>
  <c r="L17" i="152" s="1"/>
  <c r="B17" i="152" s="1"/>
  <c r="L10" i="152"/>
  <c r="L21" i="152"/>
  <c r="B21" i="152" s="1"/>
  <c r="D21" i="152"/>
  <c r="C21" i="152"/>
  <c r="L20" i="152"/>
  <c r="B20" i="152" s="1"/>
  <c r="C17" i="141" l="1"/>
  <c r="D42" i="141"/>
  <c r="M16" i="141"/>
  <c r="E9" i="134" s="1"/>
  <c r="O41" i="141"/>
  <c r="X41" i="141"/>
  <c r="W41" i="141"/>
  <c r="V41" i="141"/>
  <c r="U41" i="141"/>
  <c r="T41" i="141"/>
  <c r="S41" i="141"/>
  <c r="R41" i="141"/>
  <c r="Q41" i="141"/>
  <c r="P41" i="141"/>
  <c r="N41" i="141"/>
  <c r="M41" i="141"/>
  <c r="L41" i="141"/>
  <c r="K41" i="141"/>
  <c r="J41" i="141"/>
  <c r="I41" i="141"/>
  <c r="H41" i="141"/>
  <c r="G41" i="141"/>
  <c r="F41" i="141"/>
  <c r="E41" i="141"/>
  <c r="D18" i="152"/>
  <c r="C18" i="152" s="1"/>
  <c r="E6" i="149"/>
  <c r="L18" i="152"/>
  <c r="B18" i="152" s="1"/>
  <c r="E10" i="134"/>
  <c r="V40" i="141"/>
  <c r="M9" i="152"/>
  <c r="M20" i="152" s="1"/>
  <c r="M39" i="141"/>
  <c r="N39" i="141"/>
  <c r="O39" i="141"/>
  <c r="P39" i="141"/>
  <c r="E38" i="141"/>
  <c r="Q39" i="141"/>
  <c r="F38" i="141"/>
  <c r="R39" i="141"/>
  <c r="C9" i="134"/>
  <c r="G38" i="141"/>
  <c r="S39" i="141"/>
  <c r="H38" i="141"/>
  <c r="T39" i="141"/>
  <c r="D13" i="141"/>
  <c r="D15" i="141"/>
  <c r="I38" i="141"/>
  <c r="U39" i="141"/>
  <c r="D16" i="141"/>
  <c r="V39" i="141"/>
  <c r="G9" i="134"/>
  <c r="L38" i="141"/>
  <c r="X39" i="141"/>
  <c r="H43" i="141"/>
  <c r="D17" i="141"/>
  <c r="O21" i="152"/>
  <c r="M18" i="141"/>
  <c r="M38" i="141"/>
  <c r="E40" i="141"/>
  <c r="I43" i="141"/>
  <c r="W39" i="141"/>
  <c r="N38" i="141"/>
  <c r="F40" i="141"/>
  <c r="J43" i="141"/>
  <c r="V8" i="133"/>
  <c r="V13" i="133" s="1"/>
  <c r="O38" i="141"/>
  <c r="G40" i="141"/>
  <c r="K43" i="141"/>
  <c r="P38" i="141"/>
  <c r="H40" i="141"/>
  <c r="L43" i="141"/>
  <c r="K38" i="141"/>
  <c r="D24" i="141"/>
  <c r="O18" i="152"/>
  <c r="I40" i="141"/>
  <c r="M43" i="141"/>
  <c r="R17" i="141"/>
  <c r="R13" i="141"/>
  <c r="R38" i="141"/>
  <c r="J40" i="141"/>
  <c r="N43" i="141"/>
  <c r="J38" i="141"/>
  <c r="D19" i="141"/>
  <c r="R23" i="141"/>
  <c r="S38" i="141"/>
  <c r="K40" i="141"/>
  <c r="O43" i="141"/>
  <c r="F15" i="152"/>
  <c r="T38" i="141"/>
  <c r="L40" i="141"/>
  <c r="P43" i="141"/>
  <c r="Q38" i="141"/>
  <c r="N20" i="152"/>
  <c r="U38" i="141"/>
  <c r="M40" i="141"/>
  <c r="E42" i="141"/>
  <c r="Q43" i="141"/>
  <c r="C10" i="134"/>
  <c r="O17" i="152"/>
  <c r="V38" i="141"/>
  <c r="N40" i="141"/>
  <c r="F42" i="141"/>
  <c r="R43" i="141"/>
  <c r="X40" i="141"/>
  <c r="N5" i="152"/>
  <c r="W38" i="141"/>
  <c r="O40" i="141"/>
  <c r="G42" i="141"/>
  <c r="S43" i="141"/>
  <c r="N19" i="152"/>
  <c r="D6" i="149"/>
  <c r="D17" i="152"/>
  <c r="C17" i="152" s="1"/>
  <c r="N8" i="152"/>
  <c r="P40" i="141"/>
  <c r="H42" i="141"/>
  <c r="T43" i="141"/>
  <c r="D23" i="141"/>
  <c r="N7" i="152"/>
  <c r="Q19" i="141"/>
  <c r="B19" i="141" s="1"/>
  <c r="C19" i="141" s="1"/>
  <c r="C21" i="141"/>
  <c r="Q24" i="141"/>
  <c r="B24" i="141" s="1"/>
  <c r="C24" i="141" s="1"/>
  <c r="N18" i="152"/>
  <c r="M8" i="152"/>
  <c r="M19" i="152" s="1"/>
  <c r="E39" i="141"/>
  <c r="Q40" i="141"/>
  <c r="I42" i="141"/>
  <c r="U43" i="141"/>
  <c r="D18" i="141"/>
  <c r="C18" i="141"/>
  <c r="O19" i="152"/>
  <c r="F39" i="141"/>
  <c r="R40" i="141"/>
  <c r="J42" i="141"/>
  <c r="V43" i="141"/>
  <c r="N10" i="152"/>
  <c r="D22" i="141"/>
  <c r="N16" i="152"/>
  <c r="D21" i="141"/>
  <c r="Q23" i="141"/>
  <c r="B23" i="141" s="1"/>
  <c r="C23" i="141" s="1"/>
  <c r="Q21" i="141"/>
  <c r="B21" i="141" s="1"/>
  <c r="N21" i="152"/>
  <c r="G39" i="141"/>
  <c r="S40" i="141"/>
  <c r="K42" i="141"/>
  <c r="W43" i="141"/>
  <c r="O16" i="152"/>
  <c r="C20" i="14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<sst xmlns="http://schemas.openxmlformats.org/spreadsheetml/2006/main" count="333" uniqueCount="194">
  <si>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</si>
  <si>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</si>
  <si>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</si>
  <si>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</si>
  <si>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</si>
  <si>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</si>
  <si>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</si>
  <si>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</si>
  <si>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</si>
  <si>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</si>
  <si>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</si>
  <si>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</si>
  <si>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</si>
  <si>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</si>
  <si>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</si>
  <si>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</si>
  <si>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</si>
  <si>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</si>
  <si>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</si>
  <si>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</si>
  <si>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</si>
  <si>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</si>
  <si>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</si>
  <si>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</si>
  <si>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</si>
  <si>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</si>
  <si>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</si>
  <si>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</si>
  <si>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</si>
  <si>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</si>
  <si>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</si>
  <si>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</si>
  <si>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</si>
  <si>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</si>
  <si>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</si>
  <si>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</si>
  <si>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</si>
  <si>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</si>
  <si>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</si>
  <si>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</si>
  <si>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</si>
  <si>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</si>
  <si>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</si>
  <si>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</si>
  <si>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</si>
  <si>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</si>
  <si>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</si>
  <si>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</si>
  <si>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</si>
  <si>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</si>
  <si>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</si>
  <si>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</si>
  <si>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</si>
  <si>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</si>
  <si>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</si>
  <si>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</si>
  <si>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</si>
  <si>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</si>
  <si>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</si>
  <si>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</si>
  <si>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</si>
  <si>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</si>
  <si>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</si>
  <si>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</si>
  <si>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</si>
  <si>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</si>
  <si>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</si>
  <si>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</si>
  <si>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</si>
  <si>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</si>
  <si>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</si>
  <si>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</si>
  <si>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</si>
  <si>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</si>
  <si>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</si>
  <si>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</si>
  <si>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</si>
  <si>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</si>
  <si>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</si>
  <si>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</si>
  <si>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</si>
  <si>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</si>
  <si>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</si>
  <si>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</si>
  <si>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</si>
  <si>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</si>
  <si>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</si>
  <si>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</si>
  <si>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</si>
  <si>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</si>
  <si>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</si>
  <si>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</si>
  <si>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</si>
  <si>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</si>
  <si>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</si>
  <si>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</si>
  <si>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</si>
  <si>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</si>
  <si>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</si>
  <si>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</si>
  <si>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</si>
  <si>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</si>
  <si>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</si>
  <si>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</si>
  <si>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</si>
  <si>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</si>
  <si>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</si>
  <si>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</si>
  <si>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</si>
  <si>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</si>
  <si>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</si>
  <si>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</si>
  <si>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</si>
  <si>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</si>
  <si>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</si>
  <si>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</si>
  <si>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</si>
  <si>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</si>
  <si>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</si>
  <si>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</si>
  <si>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</si>
  <si>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</si>
  <si>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</si>
  <si>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</si>
  <si>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</si>
  <si>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</si>
  <si>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</si>
  <si>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</si>
  <si>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</si>
  <si>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</si>
  <si>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</si>
  <si>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</si>
  <si>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</si>
  <si>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</si>
  <si>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</si>
  <si>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</si>
  <si>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</si>
  <si>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</si>
  <si>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</si>
  <si>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</si>
  <si>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</si>
  <si>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</si>
  <si>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</si>
  <si>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</si>
  <si>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</si>
  <si>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</si>
  <si>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</si>
  <si>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</si>
  <si>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</si>
  <si>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</si>
  <si>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</si>
  <si>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</si>
  <si>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</si>
  <si>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</si>
  <si>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</si>
  <si>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</si>
  <si>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</si>
  <si>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</si>
  <si>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</si>
  <si>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</si>
  <si>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</si>
  <si>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</si>
  <si>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</si>
  <si>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</si>
  <si>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</si>
  <si>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</si>
  <si>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</si>
  <si>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</si>
  <si>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</si>
  <si>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</si>
  <si>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</si>
  <si>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</si>
  <si>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</si>
  <si>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</si>
  <si>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</si>
  <si>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</si>
  <si>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</si>
  <si>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</si>
  <si>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</si>
  <si>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</si>
  <si>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</si>
  <si>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</si>
  <si>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</si>
  <si>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</si>
  <si>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</si>
  <si>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</si>
  <si>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</si>
  <si>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</si>
  <si>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</si>
  <si>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</si>
  <si>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*Demand Commodity Name</t>
  </si>
  <si>
    <t>~FI_T:COM_FR</t>
  </si>
  <si>
    <t>~FI_T: PASTI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</si>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</sst>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8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8" applyNumberFormat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18" applyNumberFormat="0" applyAlignment="0" applyProtection="0"/>
    <xf numFmtId="171" fontId="18" fillId="0" borderId="0" applyFont="0" applyFill="0" applyBorder="0" applyAlignment="0" applyProtection="0"/>
    <xf numFmtId="0" fontId="24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6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6" applyFill="1" applyBorder="1" applyAlignment="1">
      <alignment horizontal="right"/>
    </xf>
    <xf numFmtId="0" fontId="5" fillId="0" borderId="0" xfId="16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7" borderId="0" xfId="4"/>
    <xf numFmtId="0" fontId="25" fillId="0" borderId="0" xfId="9" applyFont="1" applyFill="1"/>
    <xf numFmtId="0" fontId="25" fillId="12" borderId="0" xfId="9" applyFont="1" applyFill="1"/>
    <xf numFmtId="0" fontId="4" fillId="0" borderId="0" xfId="12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0" fontId="3" fillId="2" borderId="1" xfId="16" applyFont="1" applyFill="1" applyBorder="1" applyAlignment="1">
      <alignment horizontal="left" vertical="center"/>
    </xf>
    <xf numFmtId="0" fontId="25" fillId="12" borderId="0" xfId="9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21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3"/>
    <xf numFmtId="0" fontId="4" fillId="0" borderId="0" xfId="13" applyFont="1"/>
    <xf numFmtId="0" fontId="4" fillId="0" borderId="0" xfId="13" applyFill="1"/>
    <xf numFmtId="0" fontId="4" fillId="0" borderId="0" xfId="13" applyFill="1" applyBorder="1"/>
    <xf numFmtId="0" fontId="4" fillId="0" borderId="0" xfId="13" applyBorder="1"/>
    <xf numFmtId="0" fontId="4" fillId="0" borderId="0" xfId="13" applyFill="1" applyBorder="1" applyAlignment="1">
      <alignment wrapText="1"/>
    </xf>
    <xf numFmtId="0" fontId="3" fillId="0" borderId="0" xfId="16" applyFont="1" applyFill="1" applyBorder="1" applyAlignment="1">
      <alignment horizontal="right" vertical="center" wrapText="1"/>
    </xf>
    <xf numFmtId="1" fontId="4" fillId="0" borderId="0" xfId="13" applyNumberFormat="1"/>
    <xf numFmtId="0" fontId="4" fillId="0" borderId="0" xfId="13" applyFont="1" applyBorder="1"/>
    <xf numFmtId="0" fontId="0" fillId="0" borderId="0" xfId="0" applyFill="1" applyBorder="1"/>
    <xf numFmtId="1" fontId="29" fillId="13" borderId="0" xfId="2" applyNumberFormat="1" applyFont="1" applyFill="1" applyBorder="1" applyAlignment="1">
      <alignment horizontal="right" wrapText="1"/>
    </xf>
    <xf numFmtId="0" fontId="20" fillId="0" borderId="0" xfId="4" applyFill="1"/>
    <xf numFmtId="0" fontId="25" fillId="12" borderId="0" xfId="9" quotePrefix="1" applyFont="1" applyFill="1"/>
    <xf numFmtId="0" fontId="26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6" applyFont="1" applyFill="1" applyBorder="1" applyAlignment="1">
      <alignment horizontal="left" vertical="center"/>
    </xf>
    <xf numFmtId="0" fontId="3" fillId="2" borderId="3" xfId="16" applyFont="1" applyFill="1" applyBorder="1" applyAlignment="1">
      <alignment horizontal="left" vertical="center"/>
    </xf>
    <xf numFmtId="0" fontId="30" fillId="0" borderId="0" xfId="0" applyFont="1" applyFill="1"/>
    <xf numFmtId="0" fontId="25" fillId="12" borderId="0" xfId="9" applyFont="1" applyFill="1" applyAlignment="1">
      <alignment horizontal="left"/>
    </xf>
    <xf numFmtId="0" fontId="30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0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23" fillId="10" borderId="0" xfId="10" applyNumberFormat="1" applyBorder="1" applyAlignment="1"/>
    <xf numFmtId="1" fontId="21" fillId="8" borderId="4" xfId="5" applyNumberFormat="1" applyBorder="1" applyAlignment="1">
      <alignment horizontal="right"/>
    </xf>
    <xf numFmtId="1" fontId="21" fillId="8" borderId="5" xfId="5" applyNumberFormat="1" applyBorder="1" applyAlignment="1">
      <alignment horizontal="right"/>
    </xf>
    <xf numFmtId="187" fontId="21" fillId="8" borderId="6" xfId="5" applyNumberFormat="1" applyBorder="1" applyAlignment="1">
      <alignment horizontal="righ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0" fontId="28" fillId="0" borderId="6" xfId="0" applyFont="1" applyBorder="1" applyAlignment="1">
      <alignment horizontal="center"/>
    </xf>
    <xf numFmtId="0" fontId="30" fillId="14" borderId="12" xfId="0" applyFont="1" applyFill="1" applyBorder="1" applyAlignment="1">
      <alignment wrapText="1"/>
    </xf>
    <xf numFmtId="0" fontId="30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31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12" applyNumberFormat="1" applyFont="1" applyFill="1"/>
    <xf numFmtId="0" fontId="4" fillId="16" borderId="0" xfId="12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2" applyNumberFormat="1" applyFont="1" applyFill="1"/>
    <xf numFmtId="0" fontId="32" fillId="0" borderId="0" xfId="0" applyFont="1"/>
    <xf numFmtId="0" fontId="3" fillId="18" borderId="0" xfId="0" applyFont="1" applyFill="1"/>
    <xf numFmtId="0" fontId="3" fillId="2" borderId="1" xfId="16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3" xfId="1" applyFont="1" applyBorder="1" applyAlignment="1">
      <alignment horizontal="center" wrapText="1"/>
    </xf>
    <xf numFmtId="0" fontId="3" fillId="2" borderId="1" xfId="17" applyFont="1" applyFill="1" applyBorder="1" applyAlignment="1">
      <alignment horizontal="center" vertical="center" wrapText="1"/>
    </xf>
    <xf numFmtId="0" fontId="26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20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30" fillId="14" borderId="0" xfId="0" applyFont="1" applyFill="1" applyBorder="1"/>
    <xf numFmtId="9" fontId="13" fillId="15" borderId="10" xfId="21" applyFont="1" applyFill="1" applyBorder="1" applyAlignment="1">
      <alignment horizontal="left" vertical="center"/>
    </xf>
    <xf numFmtId="9" fontId="13" fillId="15" borderId="1" xfId="21" applyFont="1" applyFill="1" applyBorder="1" applyAlignment="1">
      <alignment horizontal="left" vertical="center"/>
    </xf>
    <xf numFmtId="9" fontId="13" fillId="15" borderId="11" xfId="21" applyFont="1" applyFill="1" applyBorder="1" applyAlignment="1">
      <alignment horizontal="left" vertical="center"/>
    </xf>
    <xf numFmtId="9" fontId="13" fillId="15" borderId="2" xfId="21" applyFont="1" applyFill="1" applyBorder="1" applyAlignment="1">
      <alignment horizontal="left" vertical="center"/>
    </xf>
    <xf numFmtId="9" fontId="23" fillId="10" borderId="1" xfId="21" applyFont="1" applyFill="1" applyBorder="1" applyAlignment="1"/>
    <xf numFmtId="9" fontId="23" fillId="10" borderId="16" xfId="21" applyFont="1" applyFill="1" applyBorder="1" applyAlignment="1"/>
    <xf numFmtId="9" fontId="23" fillId="10" borderId="2" xfId="21" applyFont="1" applyFill="1" applyBorder="1" applyAlignment="1"/>
    <xf numFmtId="9" fontId="23" fillId="10" borderId="14" xfId="21" applyFont="1" applyFill="1" applyBorder="1" applyAlignment="1"/>
    <xf numFmtId="9" fontId="4" fillId="0" borderId="0" xfId="3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9" fillId="13" borderId="2" xfId="2" applyNumberFormat="1" applyFont="1" applyFill="1" applyBorder="1" applyAlignment="1">
      <alignment horizontal="right" wrapText="1"/>
    </xf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6" xfId="0" applyNumberFormat="1" applyFont="1" applyFill="1" applyBorder="1" applyAlignment="1">
      <alignment horizontal="center" vertical="center"/>
    </xf>
    <xf numFmtId="187" fontId="13" fillId="15" borderId="5" xfId="0" applyNumberFormat="1" applyFont="1" applyFill="1" applyBorder="1" applyAlignment="1">
      <alignment horizontal="center" vertical="center"/>
    </xf>
    <xf numFmtId="1" fontId="29" fillId="13" borderId="1" xfId="2" applyNumberFormat="1" applyFont="1" applyFill="1" applyBorder="1" applyAlignment="1">
      <alignment horizontal="center" wrapText="1"/>
    </xf>
    <xf numFmtId="1" fontId="29" fillId="13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  <xf numFmtId="195" fontId="4" fillId="0" borderId="17" xfId="0" applyNumberFormat="1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 applyBorder="1"/>
    <xf numFmtId="0" fontId="3" fillId="12" borderId="1" xfId="0" applyFont="1" applyFill="1" applyBorder="1" applyAlignment="1">
      <alignment vertical="center"/>
    </xf>
    <xf numFmtId="0" fontId="4" fillId="0" borderId="0" xfId="13" applyFont="1" applyFill="1" applyBorder="1"/>
    <xf numFmtId="0" fontId="4" fillId="0" borderId="0" xfId="17"/>
    <xf numFmtId="2" fontId="4" fillId="0" borderId="0" xfId="17" applyNumberFormat="1"/>
    <xf numFmtId="0" fontId="22" fillId="9" borderId="0" xfId="9"/>
    <xf numFmtId="2" fontId="0" fillId="0" borderId="0" xfId="0" applyNumberFormat="1"/>
  </cellXfs>
  <cellStyles count="3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Comma 2 2" xfId="7"/>
    <cellStyle name="Comma 2 3" xfId="8"/>
    <cellStyle name="Good" xfId="9" builtinId="26"/>
    <cellStyle name="Input" xfId="10" builtinId="20"/>
    <cellStyle name="Migliaia_tab emissioni" xfId="11"/>
    <cellStyle name="Neutral" xfId="12" builtinId="28"/>
    <cellStyle name="Normal" xfId="0" builtinId="0"/>
    <cellStyle name="Normal 10" xfId="13"/>
    <cellStyle name="Normal 2" xfId="14"/>
    <cellStyle name="Normal 2 3" xfId="15"/>
    <cellStyle name="Normal 4" xfId="16"/>
    <cellStyle name="Normal 4 2" xfId="17"/>
    <cellStyle name="Normal 8" xfId="18"/>
    <cellStyle name="Normal 9 2" xfId="19"/>
    <cellStyle name="Normale_B2020" xfId="20"/>
    <cellStyle name="Percent" xfId="21" builtinId="5"/>
    <cellStyle name="Percent 2" xfId="22"/>
    <cellStyle name="Percent 3" xfId="23"/>
    <cellStyle name="Percent 3 2" xfId="24"/>
    <cellStyle name="Percent 3 3" xfId="25"/>
    <cellStyle name="Percent 3 4" xfId="26"/>
    <cellStyle name="Percent 4" xfId="27"/>
    <cellStyle name="Percent 4 2" xfId="28"/>
    <cellStyle name="Percent 4 3" xfId="29"/>
    <cellStyle name="Percent 4 4" xfId="30"/>
    <cellStyle name="Percent 5" xfId="31"/>
    <cellStyle name="Percent 5 2" xfId="32"/>
    <cellStyle name="Percent 5 3" xfId="33"/>
    <cellStyle name="Percent 6" xfId="34"/>
    <cellStyle name="Percent 7" xfId="35"/>
    <cellStyle name="Percent 8" xfId="36"/>
    <cellStyle name="Standard_Sce_D_Extraction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BAE7E0-7B25-4694-A330-DF90B7FDACFF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201" name="Picture 6">
          <a:extLst>
            <a:ext uri="{FF2B5EF4-FFF2-40B4-BE49-F238E27FC236}">
              <a16:creationId xmlns:a16="http://schemas.microsoft.com/office/drawing/2014/main" id="{EA5D43C2-0787-4C7F-97DA-5850877F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202" name="Picture 8">
          <a:extLst>
            <a:ext uri="{FF2B5EF4-FFF2-40B4-BE49-F238E27FC236}">
              <a16:creationId xmlns:a16="http://schemas.microsoft.com/office/drawing/2014/main" id="{990FE41F-DD6D-4B17-8D37-D7D48497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203" name="Picture 4">
          <a:extLst>
            <a:ext uri="{FF2B5EF4-FFF2-40B4-BE49-F238E27FC236}">
              <a16:creationId xmlns:a16="http://schemas.microsoft.com/office/drawing/2014/main" id="{1FD0F07E-5506-4F03-9D02-80831563C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204" name="Picture 5">
          <a:extLst>
            <a:ext uri="{FF2B5EF4-FFF2-40B4-BE49-F238E27FC236}">
              <a16:creationId xmlns:a16="http://schemas.microsoft.com/office/drawing/2014/main" id="{32892038-DB72-4EF8-ABF8-48AEC7469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07121D-F228-43ED-B43C-DC3F1BE71292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408000-42FA-49A2-A276-919D0798CF5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42151F-8426-4AAD-822C-1E914DA41E60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D26983-F6B6-4780-9458-47DC7F748284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102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126</v>
      </c>
      <c r="H2" s="51" t="s">
        <v>127</v>
      </c>
      <c r="I2" s="51" t="s">
        <v>128</v>
      </c>
      <c r="J2" s="51" t="s">
        <v>129</v>
      </c>
      <c r="K2" s="51" t="s">
        <v>130</v>
      </c>
      <c r="L2" s="51" t="s">
        <v>131</v>
      </c>
      <c r="M2" s="51" t="s">
        <v>132</v>
      </c>
      <c r="N2" s="51" t="s">
        <v>47</v>
      </c>
      <c r="O2" s="51" t="s">
        <v>164</v>
      </c>
      <c r="P2" s="51" t="s">
        <v>165</v>
      </c>
      <c r="Q2" s="51" t="s">
        <v>166</v>
      </c>
      <c r="R2" s="51" t="s">
        <v>167</v>
      </c>
      <c r="S2" s="51" t="s">
        <v>48</v>
      </c>
      <c r="T2" s="51" t="s">
        <v>49</v>
      </c>
      <c r="U2" s="51" t="s">
        <v>50</v>
      </c>
      <c r="V2" s="51" t="s">
        <v>172</v>
      </c>
      <c r="X2" s="8"/>
      <c r="Y2" s="50" t="s">
        <v>153</v>
      </c>
      <c r="Z2" s="14" t="s">
        <v>76</v>
      </c>
      <c r="AA2" s="14" t="s">
        <v>103</v>
      </c>
    </row>
    <row r="3" spans="1:27" ht="38.25" x14ac:dyDescent="0.2">
      <c r="C3" s="71" t="s">
        <v>123</v>
      </c>
      <c r="D3" s="52" t="s">
        <v>51</v>
      </c>
      <c r="E3" s="52" t="s">
        <v>52</v>
      </c>
      <c r="F3" s="52" t="s">
        <v>125</v>
      </c>
      <c r="G3" s="52" t="s">
        <v>138</v>
      </c>
      <c r="H3" s="52" t="s">
        <v>135</v>
      </c>
      <c r="I3" s="52" t="s">
        <v>128</v>
      </c>
      <c r="J3" s="52" t="s">
        <v>136</v>
      </c>
      <c r="K3" s="52" t="s">
        <v>137</v>
      </c>
      <c r="L3" s="52" t="s">
        <v>133</v>
      </c>
      <c r="M3" s="52" t="s">
        <v>134</v>
      </c>
      <c r="N3" s="52" t="s">
        <v>53</v>
      </c>
      <c r="O3" s="52" t="s">
        <v>173</v>
      </c>
      <c r="P3" s="52" t="s">
        <v>169</v>
      </c>
      <c r="Q3" s="52" t="s">
        <v>170</v>
      </c>
      <c r="R3" s="52" t="s">
        <v>171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3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4"/>
    </row>
    <row r="5" spans="1:27" x14ac:dyDescent="0.2">
      <c r="A5" s="6"/>
      <c r="B5" s="53" t="s">
        <v>58</v>
      </c>
      <c r="C5" s="61" t="s">
        <v>59</v>
      </c>
      <c r="D5" s="95">
        <f>[2]EB1!D16</f>
        <v>231.76075</v>
      </c>
      <c r="E5" s="95">
        <f>[2]EB1!E16</f>
        <v>2063.9171999999999</v>
      </c>
      <c r="F5" s="95">
        <f>[2]EB1!F16</f>
        <v>0</v>
      </c>
      <c r="G5" s="95">
        <f>[2]EB1!G16</f>
        <v>862.053</v>
      </c>
      <c r="H5" s="95">
        <f>[2]EB1!H16</f>
        <v>72.9495</v>
      </c>
      <c r="I5" s="95">
        <f>[2]EB1!I16</f>
        <v>190.17599999999999</v>
      </c>
      <c r="J5" s="95">
        <f>[2]EB1!J16</f>
        <v>3.1680000000000001</v>
      </c>
      <c r="K5" s="95">
        <f>[2]EB1!K16</f>
        <v>0</v>
      </c>
      <c r="L5" s="95">
        <f>[2]EB1!L16</f>
        <v>15.38</v>
      </c>
      <c r="M5" s="95">
        <f>[2]EB1!M16</f>
        <v>0.92</v>
      </c>
      <c r="N5" s="96">
        <f>[2]EB1!N16</f>
        <v>0</v>
      </c>
      <c r="O5" s="95">
        <f>[2]EB1!O16</f>
        <v>895.44524999999999</v>
      </c>
      <c r="P5" s="95">
        <f>[2]EB1!P16</f>
        <v>0</v>
      </c>
      <c r="Q5" s="95">
        <f>[2]EB1!Q16</f>
        <v>0</v>
      </c>
      <c r="R5" s="95">
        <f>[2]EB1!R16</f>
        <v>50</v>
      </c>
      <c r="S5" s="95">
        <f>[2]EB1!S16</f>
        <v>0</v>
      </c>
      <c r="T5" s="95">
        <f>[2]EB1!T16</f>
        <v>432.74250000000001</v>
      </c>
      <c r="U5" s="95">
        <f>[2]EB1!U16</f>
        <v>1435.8710000000001</v>
      </c>
      <c r="V5" s="97">
        <f>SUM(D5:U5)</f>
        <v>6254.3832000000002</v>
      </c>
    </row>
    <row r="6" spans="1:27" x14ac:dyDescent="0.2">
      <c r="A6" s="6"/>
      <c r="B6" s="53" t="s">
        <v>60</v>
      </c>
      <c r="C6" s="62" t="s">
        <v>61</v>
      </c>
      <c r="D6" s="95">
        <f>[2]EB1!D17</f>
        <v>37.001249999999999</v>
      </c>
      <c r="E6" s="95">
        <f>[2]EB1!E17</f>
        <v>700.69200000000001</v>
      </c>
      <c r="F6" s="95">
        <f>[2]EB1!F17</f>
        <v>0</v>
      </c>
      <c r="G6" s="95">
        <f>[2]EB1!G17</f>
        <v>368.84399999999999</v>
      </c>
      <c r="H6" s="95">
        <f>[2]EB1!H17</f>
        <v>1.677</v>
      </c>
      <c r="I6" s="95">
        <f>[2]EB1!I17</f>
        <v>31.602</v>
      </c>
      <c r="J6" s="95">
        <f>[2]EB1!J17</f>
        <v>5.72</v>
      </c>
      <c r="K6" s="95">
        <f>[2]EB1!K17</f>
        <v>0</v>
      </c>
      <c r="L6" s="95">
        <f>[2]EB1!L17</f>
        <v>19.32</v>
      </c>
      <c r="M6" s="95">
        <f>[2]EB1!M17</f>
        <v>0.24199999999999999</v>
      </c>
      <c r="N6" s="96">
        <f>[2]EB1!N17</f>
        <v>0</v>
      </c>
      <c r="O6" s="95">
        <f>[2]EB1!O17</f>
        <v>39</v>
      </c>
      <c r="P6" s="95">
        <f>[2]EB1!P17</f>
        <v>0</v>
      </c>
      <c r="Q6" s="95">
        <f>[2]EB1!Q17</f>
        <v>0</v>
      </c>
      <c r="R6" s="95">
        <f>[2]EB1!R17</f>
        <v>7.5</v>
      </c>
      <c r="S6" s="95">
        <f>[2]EB1!S17</f>
        <v>0.60850000000000004</v>
      </c>
      <c r="T6" s="95">
        <f>[2]EB1!T17</f>
        <v>127.32299999999999</v>
      </c>
      <c r="U6" s="95">
        <f>[2]EB1!U17</f>
        <v>1263.6955</v>
      </c>
      <c r="V6" s="97">
        <f t="shared" ref="V6:V12" si="0">SUM(D6:U6)</f>
        <v>2603.2252500000004</v>
      </c>
    </row>
    <row r="7" spans="1:27" x14ac:dyDescent="0.2">
      <c r="A7" s="6"/>
      <c r="B7" s="53" t="s">
        <v>62</v>
      </c>
      <c r="C7" s="62" t="s">
        <v>63</v>
      </c>
      <c r="D7" s="95">
        <f>[2]EB1!D18</f>
        <v>1233.0409000000002</v>
      </c>
      <c r="E7" s="95">
        <f>[2]EB1!E18</f>
        <v>1774.8644000000002</v>
      </c>
      <c r="F7" s="95">
        <f>[2]EB1!F18</f>
        <v>0</v>
      </c>
      <c r="G7" s="95">
        <f>[2]EB1!G18</f>
        <v>298.68</v>
      </c>
      <c r="H7" s="95">
        <f>[2]EB1!H18</f>
        <v>36.356499999999997</v>
      </c>
      <c r="I7" s="95">
        <f>[2]EB1!I18</f>
        <v>142.97149999999999</v>
      </c>
      <c r="J7" s="95">
        <f>[2]EB1!J18</f>
        <v>7.766</v>
      </c>
      <c r="K7" s="95">
        <f>[2]EB1!K18</f>
        <v>44.066000000000003</v>
      </c>
      <c r="L7" s="95">
        <f>[2]EB1!L18</f>
        <v>286.0505</v>
      </c>
      <c r="M7" s="95">
        <f>[2]EB1!M18</f>
        <v>191.57300000000001</v>
      </c>
      <c r="N7" s="96">
        <f>[2]EB1!N18</f>
        <v>0</v>
      </c>
      <c r="O7" s="95">
        <f>[2]EB1!O18</f>
        <v>541.25324999999998</v>
      </c>
      <c r="P7" s="95">
        <f>[2]EB1!P18</f>
        <v>0</v>
      </c>
      <c r="Q7" s="95">
        <f>[2]EB1!Q18</f>
        <v>0</v>
      </c>
      <c r="R7" s="95">
        <f>[2]EB1!R18</f>
        <v>0</v>
      </c>
      <c r="S7" s="95">
        <f>[2]EB1!S18</f>
        <v>58.595999999999997</v>
      </c>
      <c r="T7" s="95">
        <f>[2]EB1!T18</f>
        <v>316.79149999999998</v>
      </c>
      <c r="U7" s="95">
        <f>[2]EB1!U18</f>
        <v>2044.222</v>
      </c>
      <c r="V7" s="97">
        <f t="shared" si="0"/>
        <v>6976.2315499999995</v>
      </c>
    </row>
    <row r="8" spans="1:27" x14ac:dyDescent="0.2">
      <c r="A8" s="6"/>
      <c r="B8" s="53" t="s">
        <v>64</v>
      </c>
      <c r="C8" s="62" t="s">
        <v>65</v>
      </c>
      <c r="D8" s="95">
        <f>[2]EB1!D19</f>
        <v>28.665000000000003</v>
      </c>
      <c r="E8" s="95">
        <f>[2]EB1!E19</f>
        <v>80.482399999999998</v>
      </c>
      <c r="F8" s="95">
        <f>[2]EB1!F19</f>
        <v>0</v>
      </c>
      <c r="G8" s="95">
        <f>[2]EB1!G19</f>
        <v>366.58800000000002</v>
      </c>
      <c r="H8" s="95">
        <f>[2]EB1!H19</f>
        <v>0.47299999999999998</v>
      </c>
      <c r="I8" s="95">
        <f>[2]EB1!I19</f>
        <v>16.169</v>
      </c>
      <c r="J8" s="95">
        <f>[2]EB1!J19</f>
        <v>1.716</v>
      </c>
      <c r="K8" s="95">
        <f>[2]EB1!K19</f>
        <v>0</v>
      </c>
      <c r="L8" s="95">
        <f>[2]EB1!L19</f>
        <v>13.74</v>
      </c>
      <c r="M8" s="95">
        <f>[2]EB1!M19</f>
        <v>0</v>
      </c>
      <c r="N8" s="96">
        <f>[2]EB1!N19</f>
        <v>0</v>
      </c>
      <c r="O8" s="95">
        <f>[2]EB1!O19</f>
        <v>47.314499999999995</v>
      </c>
      <c r="P8" s="95">
        <f>[2]EB1!P19</f>
        <v>0</v>
      </c>
      <c r="Q8" s="95">
        <f>[2]EB1!Q19</f>
        <v>0</v>
      </c>
      <c r="R8" s="95">
        <f>[2]EB1!R19</f>
        <v>0</v>
      </c>
      <c r="S8" s="95">
        <f>[2]EB1!S19</f>
        <v>5.0000000000000001E-4</v>
      </c>
      <c r="T8" s="95">
        <f>[2]EB1!T19</f>
        <v>7.7869999999999999</v>
      </c>
      <c r="U8" s="95">
        <f>[2]EB1!U19</f>
        <v>9.6930000000000014</v>
      </c>
      <c r="V8" s="97">
        <f t="shared" si="0"/>
        <v>572.62840000000006</v>
      </c>
    </row>
    <row r="9" spans="1:27" ht="15" x14ac:dyDescent="0.25">
      <c r="A9" s="6"/>
      <c r="B9" s="53" t="s">
        <v>66</v>
      </c>
      <c r="C9" s="62" t="s">
        <v>67</v>
      </c>
      <c r="D9" s="95">
        <f>[2]EB1!D20</f>
        <v>0.36140000000000005</v>
      </c>
      <c r="E9" s="57">
        <f>[2]EB1!E20</f>
        <v>8.4995999999999992</v>
      </c>
      <c r="F9" s="95">
        <f>[2]EB1!F20</f>
        <v>0</v>
      </c>
      <c r="G9" s="57">
        <f>[2]EB1!G20</f>
        <v>3856.2855</v>
      </c>
      <c r="H9" s="95">
        <f>[2]EB1!H20</f>
        <v>1047.652</v>
      </c>
      <c r="I9" s="57">
        <f>[2]EB1!I20</f>
        <v>94.230999999999995</v>
      </c>
      <c r="J9" s="57">
        <f>[2]EB1!J20</f>
        <v>2394.2159999999999</v>
      </c>
      <c r="K9" s="95">
        <f>[2]EB1!K20</f>
        <v>0</v>
      </c>
      <c r="L9" s="95">
        <f>[2]EB1!L20</f>
        <v>33.24</v>
      </c>
      <c r="M9" s="95">
        <f>[2]EB1!M20</f>
        <v>0</v>
      </c>
      <c r="N9" s="95">
        <f>[2]EB1!N20</f>
        <v>0</v>
      </c>
      <c r="O9" s="57">
        <f>[2]EB1!O20</f>
        <v>120.75</v>
      </c>
      <c r="P9" s="95">
        <f>[2]EB1!P20</f>
        <v>0</v>
      </c>
      <c r="Q9" s="95">
        <f>[2]EB1!Q20</f>
        <v>0</v>
      </c>
      <c r="R9" s="95">
        <f>[2]EB1!R20</f>
        <v>0</v>
      </c>
      <c r="S9" s="95">
        <f>[2]EB1!S20</f>
        <v>0</v>
      </c>
      <c r="T9" s="95">
        <f>[2]EB1!T20</f>
        <v>0</v>
      </c>
      <c r="U9" s="57">
        <f>[2]EB1!U20</f>
        <v>132.98599999999999</v>
      </c>
      <c r="V9" s="97">
        <f t="shared" si="0"/>
        <v>7688.2214999999987</v>
      </c>
    </row>
    <row r="10" spans="1:27" x14ac:dyDescent="0.2">
      <c r="A10" s="6"/>
      <c r="B10" s="53" t="s">
        <v>68</v>
      </c>
      <c r="C10" s="63" t="s">
        <v>69</v>
      </c>
      <c r="D10" s="56">
        <f>[2]EB1!D21</f>
        <v>773.00014999999871</v>
      </c>
      <c r="E10" s="56">
        <f>[2]EB1!E21</f>
        <v>0</v>
      </c>
      <c r="F10" s="56">
        <f>[2]EB1!F21</f>
        <v>0</v>
      </c>
      <c r="G10" s="56">
        <f>[2]EB1!G21</f>
        <v>0</v>
      </c>
      <c r="H10" s="56">
        <f>[2]EB1!H21</f>
        <v>0</v>
      </c>
      <c r="I10" s="56">
        <f>[2]EB1!I21</f>
        <v>0</v>
      </c>
      <c r="J10" s="56">
        <f>[2]EB1!J21</f>
        <v>0</v>
      </c>
      <c r="K10" s="56">
        <f>[2]EB1!K21</f>
        <v>0</v>
      </c>
      <c r="L10" s="56">
        <f>[2]EB1!L21</f>
        <v>0</v>
      </c>
      <c r="M10" s="56">
        <f>[2]EB1!M21</f>
        <v>0</v>
      </c>
      <c r="N10" s="56">
        <f>[2]EB1!N21</f>
        <v>0</v>
      </c>
      <c r="O10" s="56">
        <f>[2]EB1!O21</f>
        <v>0</v>
      </c>
      <c r="P10" s="56">
        <f>[2]EB1!P21</f>
        <v>0</v>
      </c>
      <c r="Q10" s="56">
        <f>[2]EB1!Q21</f>
        <v>0</v>
      </c>
      <c r="R10" s="56">
        <f>[2]EB1!R21</f>
        <v>0</v>
      </c>
      <c r="S10" s="56">
        <f>[2]EB1!S21</f>
        <v>0</v>
      </c>
      <c r="T10" s="56">
        <f>[2]EB1!T21</f>
        <v>313.51900000000001</v>
      </c>
      <c r="U10" s="56">
        <f>[2]EB1!U21</f>
        <v>325</v>
      </c>
      <c r="V10" s="98">
        <f t="shared" si="0"/>
        <v>1411.5191499999987</v>
      </c>
    </row>
    <row r="11" spans="1:27" x14ac:dyDescent="0.2">
      <c r="A11" s="6"/>
      <c r="B11" s="53" t="s">
        <v>86</v>
      </c>
      <c r="C11" s="62" t="s">
        <v>70</v>
      </c>
      <c r="D11" s="95">
        <f>[2]EB1!D22</f>
        <v>34.094450000000002</v>
      </c>
      <c r="E11" s="95">
        <f>[2]EB1!E22</f>
        <v>253.5292</v>
      </c>
      <c r="F11" s="95">
        <f>[2]EB1!F22</f>
        <v>0</v>
      </c>
      <c r="G11" s="95">
        <f>[2]EB1!G22</f>
        <v>76.465000000000003</v>
      </c>
      <c r="H11" s="95">
        <f>[2]EB1!H22</f>
        <v>4.7945000000000002</v>
      </c>
      <c r="I11" s="95">
        <f>[2]EB1!I22</f>
        <v>199.87350000000001</v>
      </c>
      <c r="J11" s="95">
        <f>[2]EB1!J22</f>
        <v>3.1459999999999999</v>
      </c>
      <c r="K11" s="95">
        <f>[2]EB1!K22</f>
        <v>899.20600000000002</v>
      </c>
      <c r="L11" s="95">
        <f>[2]EB1!L22</f>
        <v>52.04</v>
      </c>
      <c r="M11" s="95">
        <f>[2]EB1!M22</f>
        <v>800.72900000000004</v>
      </c>
      <c r="N11" s="96">
        <f>[2]EB1!N22</f>
        <v>0</v>
      </c>
      <c r="O11" s="95">
        <f>[2]EB1!O22</f>
        <v>0</v>
      </c>
      <c r="P11" s="95">
        <f>[2]EB1!P22</f>
        <v>0</v>
      </c>
      <c r="Q11" s="95">
        <f>[2]EB1!Q22</f>
        <v>0</v>
      </c>
      <c r="R11" s="95">
        <f>[2]EB1!R22</f>
        <v>0</v>
      </c>
      <c r="S11" s="95">
        <f>[2]EB1!S22</f>
        <v>0</v>
      </c>
      <c r="T11" s="95">
        <f>[2]EB1!T22</f>
        <v>0</v>
      </c>
      <c r="U11" s="95">
        <f>[2]EB1!U22</f>
        <v>0</v>
      </c>
      <c r="V11" s="97">
        <f t="shared" si="0"/>
        <v>2323.8776500000004</v>
      </c>
    </row>
    <row r="12" spans="1:27" x14ac:dyDescent="0.2">
      <c r="A12" s="6"/>
      <c r="B12" s="53" t="s">
        <v>87</v>
      </c>
      <c r="C12" s="62" t="s">
        <v>71</v>
      </c>
      <c r="D12" s="95">
        <f>[2]EB1!D23</f>
        <v>0</v>
      </c>
      <c r="E12" s="95">
        <f>[2]EB1!E23</f>
        <v>0</v>
      </c>
      <c r="F12" s="95">
        <f>[2]EB1!F23</f>
        <v>0</v>
      </c>
      <c r="G12" s="95">
        <f>[2]EB1!G23</f>
        <v>146.90600000000001</v>
      </c>
      <c r="H12" s="95">
        <f>[2]EB1!H23</f>
        <v>0</v>
      </c>
      <c r="I12" s="95">
        <f>[2]EB1!I23</f>
        <v>0</v>
      </c>
      <c r="J12" s="95">
        <f>[2]EB1!J23</f>
        <v>0</v>
      </c>
      <c r="K12" s="95">
        <f>[2]EB1!K23</f>
        <v>0</v>
      </c>
      <c r="L12" s="95">
        <f>[2]EB1!L23</f>
        <v>902.14</v>
      </c>
      <c r="M12" s="95">
        <f>[2]EB1!M23</f>
        <v>6.5</v>
      </c>
      <c r="N12" s="96">
        <f>[2]EB1!N23</f>
        <v>0</v>
      </c>
      <c r="O12" s="56">
        <f>[2]EB1!O23</f>
        <v>0</v>
      </c>
      <c r="P12" s="56">
        <f>[2]EB1!P23</f>
        <v>0</v>
      </c>
      <c r="Q12" s="56">
        <f>[2]EB1!Q23</f>
        <v>0</v>
      </c>
      <c r="R12" s="56">
        <f>[2]EB1!R23</f>
        <v>0</v>
      </c>
      <c r="S12" s="95">
        <f>[2]EB1!S23</f>
        <v>0</v>
      </c>
      <c r="T12" s="95">
        <f>[2]EB1!T23</f>
        <v>0</v>
      </c>
      <c r="U12" s="95">
        <f>[2]EB1!U23</f>
        <v>0</v>
      </c>
      <c r="V12" s="97">
        <f t="shared" si="0"/>
        <v>1055.546</v>
      </c>
    </row>
    <row r="13" spans="1:27" ht="15" x14ac:dyDescent="0.25">
      <c r="A13" s="6"/>
      <c r="B13" s="92" t="s">
        <v>89</v>
      </c>
      <c r="C13" s="60" t="s">
        <v>159</v>
      </c>
      <c r="D13" s="58">
        <f t="shared" ref="D13:V13" si="1">SUM(D5:D12)</f>
        <v>2337.9238999999989</v>
      </c>
      <c r="E13" s="58">
        <f t="shared" si="1"/>
        <v>4881.9848000000002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1643.7629999999999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154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101</v>
      </c>
      <c r="C24" s="67" t="s">
        <v>115</v>
      </c>
      <c r="D24" s="123" t="s">
        <v>51</v>
      </c>
      <c r="E24" s="124" t="s">
        <v>52</v>
      </c>
      <c r="F24" s="124" t="s">
        <v>125</v>
      </c>
      <c r="G24" s="124" t="s">
        <v>138</v>
      </c>
      <c r="H24" s="124" t="s">
        <v>135</v>
      </c>
      <c r="I24" s="124" t="s">
        <v>128</v>
      </c>
      <c r="J24" s="124" t="s">
        <v>136</v>
      </c>
      <c r="K24" s="124" t="s">
        <v>137</v>
      </c>
      <c r="L24" s="124" t="s">
        <v>133</v>
      </c>
      <c r="M24" s="124" t="s">
        <v>134</v>
      </c>
      <c r="N24" s="124" t="s">
        <v>53</v>
      </c>
      <c r="O24" s="124" t="s">
        <v>168</v>
      </c>
      <c r="P24" s="124" t="s">
        <v>169</v>
      </c>
      <c r="Q24" s="124" t="s">
        <v>170</v>
      </c>
      <c r="R24" s="124" t="s">
        <v>171</v>
      </c>
      <c r="S24" s="124" t="s">
        <v>54</v>
      </c>
      <c r="T24" s="124" t="s">
        <v>55</v>
      </c>
      <c r="U24" s="125" t="s">
        <v>88</v>
      </c>
      <c r="V24" s="52" t="s">
        <v>56</v>
      </c>
    </row>
    <row r="25" spans="1:24" ht="15" x14ac:dyDescent="0.25">
      <c r="A25" s="6"/>
      <c r="B25" s="102" t="s">
        <v>66</v>
      </c>
      <c r="C25" s="64" t="s">
        <v>161</v>
      </c>
      <c r="D25" s="103"/>
      <c r="E25" s="107">
        <v>1</v>
      </c>
      <c r="F25" s="104"/>
      <c r="G25" s="107">
        <v>0.9</v>
      </c>
      <c r="H25" s="104"/>
      <c r="I25" s="107">
        <v>1</v>
      </c>
      <c r="J25" s="107">
        <v>1</v>
      </c>
      <c r="K25" s="104"/>
      <c r="L25" s="104"/>
      <c r="M25" s="104"/>
      <c r="N25" s="104"/>
      <c r="O25" s="107">
        <v>0.75</v>
      </c>
      <c r="P25" s="104"/>
      <c r="Q25" s="104"/>
      <c r="R25" s="104"/>
      <c r="S25" s="104"/>
      <c r="T25" s="104"/>
      <c r="U25" s="108">
        <v>0</v>
      </c>
      <c r="V25" s="65"/>
      <c r="W25" s="8"/>
      <c r="X25" s="61" t="s">
        <v>139</v>
      </c>
    </row>
    <row r="26" spans="1:24" ht="15" x14ac:dyDescent="0.25">
      <c r="A26" s="6"/>
      <c r="B26" s="102" t="s">
        <v>66</v>
      </c>
      <c r="C26" s="66" t="s">
        <v>162</v>
      </c>
      <c r="D26" s="105"/>
      <c r="E26" s="109">
        <f>1-E25</f>
        <v>0</v>
      </c>
      <c r="F26" s="106"/>
      <c r="G26" s="109">
        <f>1-G25</f>
        <v>9.9999999999999978E-2</v>
      </c>
      <c r="H26" s="106"/>
      <c r="I26" s="109">
        <f>1-I25</f>
        <v>0</v>
      </c>
      <c r="J26" s="109">
        <f>1-J25</f>
        <v>0</v>
      </c>
      <c r="K26" s="106"/>
      <c r="L26" s="106"/>
      <c r="M26" s="106"/>
      <c r="N26" s="106"/>
      <c r="O26" s="109">
        <f>1-O25</f>
        <v>0.25</v>
      </c>
      <c r="P26" s="106"/>
      <c r="Q26" s="106"/>
      <c r="R26" s="106"/>
      <c r="S26" s="106"/>
      <c r="T26" s="106"/>
      <c r="U26" s="110">
        <f>1-U25</f>
        <v>1</v>
      </c>
      <c r="V26" s="54"/>
      <c r="W26" s="8"/>
      <c r="X26" s="63" t="s">
        <v>160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105</v>
      </c>
      <c r="D29" s="70" t="s">
        <v>106</v>
      </c>
      <c r="E29" s="69" t="s">
        <v>107</v>
      </c>
      <c r="V29" s="8"/>
    </row>
    <row r="30" spans="1:24" x14ac:dyDescent="0.2">
      <c r="A30" s="6"/>
      <c r="B30" s="24" t="s">
        <v>116</v>
      </c>
      <c r="C30" s="100" t="s">
        <v>108</v>
      </c>
      <c r="D30" s="100" t="s">
        <v>109</v>
      </c>
      <c r="E30" s="101" t="s">
        <v>107</v>
      </c>
      <c r="V30" s="8"/>
    </row>
    <row r="31" spans="1:24" x14ac:dyDescent="0.2">
      <c r="A31" s="6"/>
      <c r="B31" s="53" t="s">
        <v>66</v>
      </c>
      <c r="C31" s="126">
        <v>1</v>
      </c>
      <c r="D31" s="127"/>
      <c r="E31" s="12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3" t="s">
        <v>158</v>
      </c>
    </row>
    <row r="5" spans="2:7" x14ac:dyDescent="0.2">
      <c r="D5" s="84" t="s">
        <v>163</v>
      </c>
      <c r="E5" s="84"/>
      <c r="F5" s="84"/>
      <c r="G5" s="8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112</v>
      </c>
      <c r="F1" s="12" t="s">
        <v>94</v>
      </c>
      <c r="G1" s="12" t="s">
        <v>99</v>
      </c>
      <c r="H1" s="40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110</v>
      </c>
      <c r="E2" s="14" t="str">
        <f>'EB1'!Z2</f>
        <v>PJ</v>
      </c>
      <c r="F2" s="14" t="str">
        <f>'EB1'!Y2</f>
        <v>M€2005</v>
      </c>
      <c r="G2" s="14" t="s">
        <v>100</v>
      </c>
      <c r="H2" s="13"/>
      <c r="J2" s="131" t="s">
        <v>14</v>
      </c>
      <c r="K2" s="131"/>
      <c r="L2" s="132"/>
      <c r="M2" s="132"/>
      <c r="N2" s="132"/>
      <c r="O2" s="132"/>
      <c r="P2" s="132"/>
      <c r="Q2" s="132"/>
      <c r="R2" s="132"/>
    </row>
    <row r="3" spans="2:18" x14ac:dyDescent="0.2">
      <c r="J3" s="133" t="s">
        <v>7</v>
      </c>
      <c r="K3" s="134" t="s">
        <v>30</v>
      </c>
      <c r="L3" s="133" t="s">
        <v>0</v>
      </c>
      <c r="M3" s="133" t="s">
        <v>3</v>
      </c>
      <c r="N3" s="133" t="s">
        <v>4</v>
      </c>
      <c r="O3" s="133" t="s">
        <v>8</v>
      </c>
      <c r="P3" s="133" t="s">
        <v>9</v>
      </c>
      <c r="Q3" s="133" t="s">
        <v>10</v>
      </c>
      <c r="R3" s="133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5" t="s">
        <v>37</v>
      </c>
      <c r="K4" s="135" t="s">
        <v>31</v>
      </c>
      <c r="L4" s="135" t="s">
        <v>26</v>
      </c>
      <c r="M4" s="135" t="s">
        <v>27</v>
      </c>
      <c r="N4" s="135" t="s">
        <v>4</v>
      </c>
      <c r="O4" s="135" t="s">
        <v>40</v>
      </c>
      <c r="P4" s="135" t="s">
        <v>41</v>
      </c>
      <c r="Q4" s="135" t="s">
        <v>28</v>
      </c>
      <c r="R4" s="135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6" t="s">
        <v>72</v>
      </c>
      <c r="K5" s="136"/>
      <c r="L5" s="136" t="str">
        <f>$B$2&amp;'EB1'!$E$2</f>
        <v>TRAGAS</v>
      </c>
      <c r="M5" s="137" t="str">
        <f>$C$2&amp;" "&amp;'EB1'!$E$3</f>
        <v>Transport Natural Gas</v>
      </c>
      <c r="N5" s="136" t="str">
        <f t="shared" ref="N5:N10" si="0">$E$2</f>
        <v>PJ</v>
      </c>
      <c r="O5" s="136"/>
      <c r="P5" s="136"/>
      <c r="Q5" s="136"/>
      <c r="R5" s="136"/>
    </row>
    <row r="6" spans="2:18" x14ac:dyDescent="0.2">
      <c r="B6" s="8"/>
      <c r="C6" s="8"/>
      <c r="D6" s="8"/>
      <c r="E6" s="16"/>
      <c r="F6" s="16"/>
      <c r="G6" s="82"/>
      <c r="H6" s="15"/>
      <c r="J6" s="136"/>
      <c r="K6" s="136"/>
      <c r="L6" s="136" t="str">
        <f>$B$2&amp;'EB1'!$G$2</f>
        <v>TRADSL</v>
      </c>
      <c r="M6" s="137" t="str">
        <f>$C$2&amp;" "&amp;'EB1'!$G$3</f>
        <v>Transport Diesel oil</v>
      </c>
      <c r="N6" s="136" t="str">
        <f t="shared" si="0"/>
        <v>PJ</v>
      </c>
      <c r="O6" s="136"/>
      <c r="P6" s="136"/>
      <c r="Q6" s="136"/>
      <c r="R6" s="136"/>
    </row>
    <row r="7" spans="2:18" x14ac:dyDescent="0.2">
      <c r="B7" s="8"/>
      <c r="C7" s="8"/>
      <c r="D7" s="8"/>
      <c r="E7" s="16"/>
      <c r="F7" s="16"/>
      <c r="G7" s="82"/>
      <c r="H7" s="15"/>
      <c r="J7" s="136"/>
      <c r="K7" s="136"/>
      <c r="L7" s="136" t="str">
        <f>$B$2&amp;'EB1'!$I$2</f>
        <v>TRALPG</v>
      </c>
      <c r="M7" s="137" t="str">
        <f>$C$2&amp;" "&amp;'EB1'!$I$3</f>
        <v>Transport LPG</v>
      </c>
      <c r="N7" s="136" t="str">
        <f t="shared" si="0"/>
        <v>PJ</v>
      </c>
      <c r="O7" s="136"/>
      <c r="P7" s="136"/>
      <c r="Q7" s="136"/>
      <c r="R7" s="136"/>
    </row>
    <row r="8" spans="2:18" x14ac:dyDescent="0.2">
      <c r="B8" s="8"/>
      <c r="C8" s="8"/>
      <c r="D8" s="8"/>
      <c r="E8" s="16"/>
      <c r="F8" s="16"/>
      <c r="G8" s="82"/>
      <c r="H8" s="15"/>
      <c r="J8" s="136"/>
      <c r="K8" s="136"/>
      <c r="L8" s="136" t="str">
        <f>$B$2&amp;'EB1'!$J$2</f>
        <v>TRAGSL</v>
      </c>
      <c r="M8" s="137" t="str">
        <f>$C$2&amp;" "&amp;'EB1'!$J$3</f>
        <v>Transport Motor spirit</v>
      </c>
      <c r="N8" s="136" t="str">
        <f t="shared" si="0"/>
        <v>PJ</v>
      </c>
      <c r="O8" s="136"/>
      <c r="P8" s="136"/>
      <c r="Q8" s="136"/>
      <c r="R8" s="136"/>
    </row>
    <row r="9" spans="2:18" x14ac:dyDescent="0.2">
      <c r="B9" s="8"/>
      <c r="C9" s="8"/>
      <c r="D9" s="8"/>
      <c r="E9" s="16"/>
      <c r="F9" s="16"/>
      <c r="G9" s="82"/>
      <c r="H9" s="15"/>
      <c r="J9" s="136"/>
      <c r="K9" s="136"/>
      <c r="L9" s="136" t="str">
        <f>$B$2&amp;'EB1'!$O$2</f>
        <v>TRABIO</v>
      </c>
      <c r="M9" s="137" t="str">
        <f>$C$2&amp;" "&amp;'EB1'!O3</f>
        <v>Transport Biofuels</v>
      </c>
      <c r="N9" s="136" t="str">
        <f t="shared" si="0"/>
        <v>PJ</v>
      </c>
      <c r="O9" s="136"/>
      <c r="P9" s="138"/>
      <c r="Q9" s="138"/>
      <c r="R9" s="138"/>
    </row>
    <row r="10" spans="2:18" x14ac:dyDescent="0.2">
      <c r="B10" s="8"/>
      <c r="C10" s="8"/>
      <c r="D10" s="8"/>
      <c r="E10" s="16"/>
      <c r="F10" s="16"/>
      <c r="G10" s="82"/>
      <c r="H10" s="15"/>
      <c r="J10" s="136"/>
      <c r="K10" s="136"/>
      <c r="L10" s="136" t="str">
        <f>$B$2&amp;'EB1'!$U$2</f>
        <v>TRAELC</v>
      </c>
      <c r="M10" s="137" t="str">
        <f>$C$2&amp;" "&amp;'EB1'!$U$3</f>
        <v>Transport Electricity</v>
      </c>
      <c r="N10" s="136" t="str">
        <f t="shared" si="0"/>
        <v>PJ</v>
      </c>
      <c r="O10" s="136"/>
      <c r="P10" s="136" t="s">
        <v>122</v>
      </c>
      <c r="Q10" s="136"/>
      <c r="R10" s="136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1" t="s">
        <v>15</v>
      </c>
      <c r="K12" s="131"/>
      <c r="L12" s="138"/>
      <c r="M12" s="138"/>
      <c r="N12" s="138"/>
      <c r="O12" s="138"/>
      <c r="P12" s="138"/>
      <c r="Q12" s="138"/>
      <c r="R12" s="138"/>
    </row>
    <row r="13" spans="2:18" x14ac:dyDescent="0.2">
      <c r="B13" s="21" t="s">
        <v>1</v>
      </c>
      <c r="C13" s="21" t="s">
        <v>5</v>
      </c>
      <c r="D13" s="21" t="s">
        <v>6</v>
      </c>
      <c r="E13" s="88" t="s">
        <v>152</v>
      </c>
      <c r="F13" s="85" t="s">
        <v>124</v>
      </c>
      <c r="G13" s="85" t="s">
        <v>85</v>
      </c>
      <c r="H13" s="85" t="s">
        <v>79</v>
      </c>
      <c r="J13" s="133" t="s">
        <v>11</v>
      </c>
      <c r="K13" s="134" t="s">
        <v>30</v>
      </c>
      <c r="L13" s="133" t="s">
        <v>1</v>
      </c>
      <c r="M13" s="133" t="s">
        <v>2</v>
      </c>
      <c r="N13" s="133" t="s">
        <v>16</v>
      </c>
      <c r="O13" s="133" t="s">
        <v>17</v>
      </c>
      <c r="P13" s="133" t="s">
        <v>18</v>
      </c>
      <c r="Q13" s="133" t="s">
        <v>19</v>
      </c>
      <c r="R13" s="133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90</v>
      </c>
      <c r="H14" s="20" t="s">
        <v>174</v>
      </c>
      <c r="J14" s="135" t="s">
        <v>38</v>
      </c>
      <c r="K14" s="135" t="s">
        <v>31</v>
      </c>
      <c r="L14" s="135" t="s">
        <v>21</v>
      </c>
      <c r="M14" s="135" t="s">
        <v>22</v>
      </c>
      <c r="N14" s="135" t="s">
        <v>23</v>
      </c>
      <c r="O14" s="135" t="s">
        <v>24</v>
      </c>
      <c r="P14" s="135" t="s">
        <v>43</v>
      </c>
      <c r="Q14" s="135" t="s">
        <v>42</v>
      </c>
      <c r="R14" s="135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5" t="s">
        <v>81</v>
      </c>
      <c r="K15" s="139"/>
      <c r="L15" s="139"/>
      <c r="M15" s="139"/>
      <c r="N15" s="139"/>
      <c r="O15" s="139"/>
      <c r="P15" s="139"/>
      <c r="Q15" s="139"/>
      <c r="R15" s="139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30</v>
      </c>
      <c r="J16" s="140" t="s">
        <v>111</v>
      </c>
      <c r="K16" s="136"/>
      <c r="L16" s="136" t="str">
        <f t="shared" ref="L16:L21" si="4">"FT"&amp;$G$2&amp;"-"&amp;L5</f>
        <v>FTE-TRAGAS</v>
      </c>
      <c r="M16" s="137" t="str">
        <f t="shared" ref="M16:M21" si="5">$D$2&amp;" Technology"&amp;" "&amp;$G$1&amp;" "&amp;M5</f>
        <v>Sector Fuel Technology Existing Transport Natural Gas</v>
      </c>
      <c r="N16" s="136" t="str">
        <f t="shared" ref="N16:N21" si="6">$E$2</f>
        <v>PJ</v>
      </c>
      <c r="O16" s="136" t="str">
        <f t="shared" ref="O16:O21" si="7">$E$2&amp;"a"</f>
        <v>PJa</v>
      </c>
      <c r="P16" s="136"/>
      <c r="Q16" s="136"/>
      <c r="R16" s="136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30</v>
      </c>
      <c r="J17" s="140"/>
      <c r="K17" s="136"/>
      <c r="L17" s="136" t="str">
        <f t="shared" si="4"/>
        <v>FTE-TRADSL</v>
      </c>
      <c r="M17" s="137" t="str">
        <f t="shared" si="5"/>
        <v>Sector Fuel Technology Existing Transport Diesel oil</v>
      </c>
      <c r="N17" s="136" t="str">
        <f t="shared" si="6"/>
        <v>PJ</v>
      </c>
      <c r="O17" s="136" t="str">
        <f t="shared" si="7"/>
        <v>PJa</v>
      </c>
      <c r="P17" s="136"/>
      <c r="Q17" s="136"/>
      <c r="R17" s="136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30</v>
      </c>
      <c r="J18" s="136"/>
      <c r="K18" s="136"/>
      <c r="L18" s="136" t="str">
        <f t="shared" si="4"/>
        <v>FTE-TRALPG</v>
      </c>
      <c r="M18" s="137" t="str">
        <f t="shared" si="5"/>
        <v>Sector Fuel Technology Existing Transport LPG</v>
      </c>
      <c r="N18" s="136" t="str">
        <f t="shared" si="6"/>
        <v>PJ</v>
      </c>
      <c r="O18" s="136" t="str">
        <f t="shared" si="7"/>
        <v>PJa</v>
      </c>
      <c r="P18" s="136"/>
      <c r="Q18" s="136"/>
      <c r="R18" s="136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30</v>
      </c>
      <c r="J19" s="136"/>
      <c r="K19" s="136"/>
      <c r="L19" s="136" t="str">
        <f t="shared" si="4"/>
        <v>FTE-TRAGSL</v>
      </c>
      <c r="M19" s="137" t="str">
        <f t="shared" si="5"/>
        <v>Sector Fuel Technology Existing Transport Motor spirit</v>
      </c>
      <c r="N19" s="136" t="str">
        <f t="shared" si="6"/>
        <v>PJ</v>
      </c>
      <c r="O19" s="136" t="str">
        <f t="shared" si="7"/>
        <v>PJa</v>
      </c>
      <c r="P19" s="136"/>
      <c r="Q19" s="136"/>
      <c r="R19" s="136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30</v>
      </c>
      <c r="J20" s="136"/>
      <c r="K20" s="136"/>
      <c r="L20" s="136" t="str">
        <f t="shared" si="4"/>
        <v>FTE-TRABIO</v>
      </c>
      <c r="M20" s="137" t="str">
        <f t="shared" si="5"/>
        <v>Sector Fuel Technology Existing Transport Biofuels</v>
      </c>
      <c r="N20" s="136" t="str">
        <f t="shared" si="6"/>
        <v>PJ</v>
      </c>
      <c r="O20" s="136" t="str">
        <f t="shared" si="7"/>
        <v>PJa</v>
      </c>
      <c r="P20" s="136"/>
      <c r="Q20" s="136"/>
      <c r="R20" s="136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30</v>
      </c>
      <c r="J21" s="136"/>
      <c r="K21" s="136"/>
      <c r="L21" s="136" t="str">
        <f t="shared" si="4"/>
        <v>FTE-TRAELC</v>
      </c>
      <c r="M21" s="137" t="str">
        <f t="shared" si="5"/>
        <v>Sector Fuel Technology Existing Transport Electricity</v>
      </c>
      <c r="N21" s="136" t="str">
        <f t="shared" si="6"/>
        <v>PJ</v>
      </c>
      <c r="O21" s="136" t="str">
        <f t="shared" si="7"/>
        <v>PJa</v>
      </c>
      <c r="P21" s="136" t="s">
        <v>122</v>
      </c>
      <c r="Q21" s="136"/>
      <c r="R21" s="136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1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1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1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1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5"/>
      <c r="C35" s="1" t="s">
        <v>156</v>
      </c>
    </row>
    <row r="36" spans="2:3" x14ac:dyDescent="0.2">
      <c r="B36" s="74"/>
      <c r="C36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abSelected="1" topLeftCell="A7" zoomScale="90" zoomScaleNormal="90" workbookViewId="0">
      <selection activeCell="B37" sqref="B37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113</v>
      </c>
      <c r="E1" s="12" t="s">
        <v>77</v>
      </c>
      <c r="F1" s="12" t="s">
        <v>78</v>
      </c>
      <c r="G1" s="12" t="s">
        <v>140</v>
      </c>
      <c r="H1" s="12" t="s">
        <v>99</v>
      </c>
      <c r="I1" s="40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114</v>
      </c>
      <c r="E2" s="14" t="str">
        <f>'EB1'!Z2</f>
        <v>PJ</v>
      </c>
      <c r="F2" s="14" t="str">
        <f>'EB1'!Y2</f>
        <v>M€2005</v>
      </c>
      <c r="G2" s="41" t="s">
        <v>141</v>
      </c>
      <c r="H2" s="14" t="s">
        <v>100</v>
      </c>
      <c r="I2" s="13"/>
      <c r="O2" s="131" t="s">
        <v>14</v>
      </c>
      <c r="P2" s="131"/>
      <c r="Q2" s="132"/>
      <c r="R2" s="132"/>
      <c r="S2" s="132"/>
      <c r="T2" s="132"/>
      <c r="U2" s="132"/>
      <c r="V2" s="132"/>
      <c r="W2" s="132"/>
    </row>
    <row r="3" spans="2:23" x14ac:dyDescent="0.2">
      <c r="O3" s="133" t="s">
        <v>7</v>
      </c>
      <c r="P3" s="134" t="s">
        <v>30</v>
      </c>
      <c r="Q3" s="133" t="s">
        <v>0</v>
      </c>
      <c r="R3" s="133" t="s">
        <v>3</v>
      </c>
      <c r="S3" s="133" t="s">
        <v>4</v>
      </c>
      <c r="T3" s="133" t="s">
        <v>8</v>
      </c>
      <c r="U3" s="133" t="s">
        <v>9</v>
      </c>
      <c r="V3" s="133" t="s">
        <v>10</v>
      </c>
      <c r="W3" s="133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5" t="s">
        <v>37</v>
      </c>
      <c r="P4" s="135" t="s">
        <v>31</v>
      </c>
      <c r="Q4" s="135" t="s">
        <v>26</v>
      </c>
      <c r="R4" s="135" t="s">
        <v>27</v>
      </c>
      <c r="S4" s="135" t="s">
        <v>4</v>
      </c>
      <c r="T4" s="135" t="s">
        <v>40</v>
      </c>
      <c r="U4" s="135" t="s">
        <v>41</v>
      </c>
      <c r="V4" s="135" t="s">
        <v>28</v>
      </c>
      <c r="W4" s="135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0" t="s">
        <v>83</v>
      </c>
      <c r="P5" s="136"/>
      <c r="Q5" s="140" t="str">
        <f>LEFT($O$5,1)&amp;LEFT($B$2,1)&amp;'EB1'!$C$25</f>
        <v>DTCAR</v>
      </c>
      <c r="R5" s="140" t="str">
        <f>LEFT($D$2,6)&amp;" "&amp;$C$2&amp; " Sector - "&amp;'EB1'!$X$25</f>
        <v>Demand Transport Sector - Cars</v>
      </c>
      <c r="S5" s="145" t="s">
        <v>180</v>
      </c>
      <c r="T5" s="140"/>
      <c r="U5" s="140"/>
      <c r="V5" s="140"/>
      <c r="W5" s="140"/>
    </row>
    <row r="6" spans="2:23" s="6" customFormat="1" ht="15.75" x14ac:dyDescent="0.25">
      <c r="B6" s="13"/>
      <c r="C6" s="13"/>
      <c r="D6" s="13"/>
      <c r="E6" s="13"/>
      <c r="F6" s="13"/>
      <c r="L6" s="38"/>
      <c r="O6" s="140"/>
      <c r="P6" s="136"/>
      <c r="Q6" s="140" t="str">
        <f>LEFT($O$5,1)&amp;LEFT($B$2,1)&amp;'EB1'!$C$26</f>
        <v>DTPUB</v>
      </c>
      <c r="R6" s="140" t="str">
        <f>LEFT($D$2,6)&amp;" "&amp;$C$2&amp; " Sector - "&amp;'EB1'!$X$26</f>
        <v>Demand Transport Sector - Pub</v>
      </c>
      <c r="S6" s="145" t="s">
        <v>180</v>
      </c>
      <c r="T6" s="140"/>
      <c r="U6" s="140"/>
      <c r="V6" s="140"/>
      <c r="W6" s="140"/>
    </row>
    <row r="7" spans="2:23" x14ac:dyDescent="0.2">
      <c r="O7" s="138" t="s">
        <v>104</v>
      </c>
      <c r="P7" s="138"/>
      <c r="Q7" s="138" t="str">
        <f>$B$2&amp;'EB1'!$C$29</f>
        <v>TRACO2</v>
      </c>
      <c r="R7" s="138" t="str">
        <f>$C$2&amp;" "&amp;'EB1'!$C$30</f>
        <v>Transport Carbon dioxide</v>
      </c>
      <c r="S7" s="138" t="str">
        <f>'EB1'!$AA$2</f>
        <v>kt</v>
      </c>
      <c r="T7" s="138"/>
      <c r="U7" s="138"/>
      <c r="V7" s="138"/>
      <c r="W7" s="138"/>
    </row>
    <row r="9" spans="2:23" x14ac:dyDescent="0.2">
      <c r="D9" s="5" t="s">
        <v>13</v>
      </c>
      <c r="E9" s="5"/>
      <c r="G9" s="5"/>
      <c r="I9" s="4"/>
      <c r="J9" s="18"/>
      <c r="O9" s="131" t="s">
        <v>15</v>
      </c>
      <c r="P9" s="131"/>
      <c r="Q9" s="138"/>
      <c r="R9" s="138"/>
      <c r="S9" s="138"/>
      <c r="T9" s="138"/>
      <c r="U9" s="138"/>
      <c r="V9" s="138"/>
      <c r="W9" s="138"/>
    </row>
    <row r="10" spans="2:23" x14ac:dyDescent="0.2">
      <c r="B10" s="21" t="s">
        <v>1</v>
      </c>
      <c r="C10" s="21" t="s">
        <v>5</v>
      </c>
      <c r="D10" s="21" t="s">
        <v>6</v>
      </c>
      <c r="E10" s="85" t="s">
        <v>124</v>
      </c>
      <c r="F10" s="85" t="s">
        <v>85</v>
      </c>
      <c r="G10" s="85" t="s">
        <v>193</v>
      </c>
      <c r="H10" s="85" t="s">
        <v>143</v>
      </c>
      <c r="I10" s="85" t="s">
        <v>84</v>
      </c>
      <c r="J10" s="85" t="s">
        <v>79</v>
      </c>
      <c r="K10" s="85" t="s">
        <v>175</v>
      </c>
      <c r="L10" s="35"/>
      <c r="M10" s="39" t="s">
        <v>117</v>
      </c>
      <c r="O10" s="133" t="s">
        <v>11</v>
      </c>
      <c r="P10" s="134" t="s">
        <v>30</v>
      </c>
      <c r="Q10" s="133" t="s">
        <v>1</v>
      </c>
      <c r="R10" s="133" t="s">
        <v>2</v>
      </c>
      <c r="S10" s="133" t="s">
        <v>16</v>
      </c>
      <c r="T10" s="133" t="s">
        <v>17</v>
      </c>
      <c r="U10" s="133" t="s">
        <v>18</v>
      </c>
      <c r="V10" s="133" t="s">
        <v>19</v>
      </c>
      <c r="W10" s="133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9" t="s">
        <v>98</v>
      </c>
      <c r="H11" s="99" t="s">
        <v>145</v>
      </c>
      <c r="I11" s="20" t="s">
        <v>96</v>
      </c>
      <c r="J11" s="20" t="s">
        <v>174</v>
      </c>
      <c r="K11" s="20" t="s">
        <v>176</v>
      </c>
      <c r="L11" s="42"/>
      <c r="M11" s="129" t="s">
        <v>35</v>
      </c>
      <c r="O11" s="135" t="s">
        <v>38</v>
      </c>
      <c r="P11" s="135" t="s">
        <v>31</v>
      </c>
      <c r="Q11" s="135" t="s">
        <v>21</v>
      </c>
      <c r="R11" s="135" t="s">
        <v>22</v>
      </c>
      <c r="S11" s="135" t="s">
        <v>23</v>
      </c>
      <c r="T11" s="135" t="s">
        <v>24</v>
      </c>
      <c r="U11" s="135" t="s">
        <v>43</v>
      </c>
      <c r="V11" s="135" t="s">
        <v>42</v>
      </c>
      <c r="W11" s="135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177</v>
      </c>
      <c r="G12" s="89" t="s">
        <v>148</v>
      </c>
      <c r="H12" s="87" t="s">
        <v>144</v>
      </c>
      <c r="I12" s="17" t="str">
        <f>$F$2&amp;"/"&amp;G2&amp;"a"</f>
        <v>M€2005/000_Unitsa</v>
      </c>
      <c r="J12" s="17" t="s">
        <v>92</v>
      </c>
      <c r="K12" s="17" t="s">
        <v>178</v>
      </c>
      <c r="L12" s="42"/>
      <c r="M12" s="130" t="s">
        <v>179</v>
      </c>
      <c r="O12" s="135" t="s">
        <v>81</v>
      </c>
      <c r="P12" s="135"/>
      <c r="Q12" s="135"/>
      <c r="R12" s="135"/>
      <c r="S12" s="135"/>
      <c r="T12" s="135"/>
      <c r="U12" s="135"/>
      <c r="V12" s="135"/>
      <c r="W12" s="135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F13" s="55">
        <v>0.38</v>
      </c>
      <c r="G13" s="55">
        <v>14</v>
      </c>
      <c r="H13" s="77">
        <v>1.25</v>
      </c>
      <c r="I13" s="77">
        <v>0.16</v>
      </c>
      <c r="J13" s="55">
        <v>21</v>
      </c>
      <c r="K13" s="80">
        <v>1E-3</v>
      </c>
      <c r="M13" s="39">
        <f t="shared" ref="M13:M18" si="3">B38*G13*K13*H13</f>
        <v>4.0776830999999989</v>
      </c>
      <c r="O13" s="140" t="s">
        <v>97</v>
      </c>
      <c r="P13" s="136"/>
      <c r="Q13" s="136" t="str">
        <f>LEFT($B$2)&amp;'EB1'!$C$25&amp;$H$2&amp;'EB1'!$E$2</f>
        <v>TCAREGAS</v>
      </c>
      <c r="R13" s="137" t="str">
        <f>$D$2&amp;" "&amp;$C$2&amp; " Sector - "&amp;""&amp;$H$1&amp;" "&amp;'EB1'!$X$25&amp;" - "&amp;'EB1'!$E$3</f>
        <v>Demand Technologies Transport Sector - Existing Cars - Natural Gas</v>
      </c>
      <c r="S13" s="146" t="s">
        <v>180</v>
      </c>
      <c r="T13" s="140" t="str">
        <f t="shared" ref="T13:T24" si="4">$G$2</f>
        <v>000_Units</v>
      </c>
      <c r="U13" s="136"/>
      <c r="V13" s="140" t="s">
        <v>142</v>
      </c>
      <c r="W13" s="136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F14" s="77">
        <v>0.41</v>
      </c>
      <c r="G14" s="72">
        <v>16.5</v>
      </c>
      <c r="H14" s="77">
        <v>1.25</v>
      </c>
      <c r="I14" s="77">
        <v>0.16</v>
      </c>
      <c r="J14" s="55">
        <v>21</v>
      </c>
      <c r="K14" s="80">
        <v>1E-3</v>
      </c>
      <c r="M14" s="39">
        <f t="shared" si="3"/>
        <v>1796.4988037437502</v>
      </c>
      <c r="O14" s="136"/>
      <c r="P14" s="136"/>
      <c r="Q14" s="136" t="str">
        <f>LEFT($B$2)&amp;'EB1'!$C$25&amp;$H$2&amp;'EB1'!$G$2</f>
        <v>TCAREDSL</v>
      </c>
      <c r="R14" s="137" t="str">
        <f>$D$2&amp;" "&amp;$C$2&amp; " Sector - "&amp;""&amp;$H$1&amp;" "&amp;'EB1'!$X$25&amp;" - "&amp;'EB1'!$G$3</f>
        <v>Demand Technologies Transport Sector - Existing Cars - Diesel oil</v>
      </c>
      <c r="S14" s="145" t="s">
        <v>180</v>
      </c>
      <c r="T14" s="140" t="str">
        <f t="shared" si="4"/>
        <v>000_Units</v>
      </c>
      <c r="U14" s="136"/>
      <c r="V14" s="140" t="s">
        <v>142</v>
      </c>
      <c r="W14" s="136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F15" s="77">
        <v>0.38</v>
      </c>
      <c r="G15" s="72">
        <v>14</v>
      </c>
      <c r="H15" s="77">
        <v>1.25</v>
      </c>
      <c r="I15" s="81">
        <v>0.16</v>
      </c>
      <c r="J15" s="55">
        <v>21</v>
      </c>
      <c r="K15" s="80">
        <v>1E-3</v>
      </c>
      <c r="M15" s="39">
        <f t="shared" si="3"/>
        <v>45.207322250000004</v>
      </c>
      <c r="O15" s="136"/>
      <c r="P15" s="136"/>
      <c r="Q15" s="136" t="str">
        <f>LEFT($B$2)&amp;'EB1'!$C$25&amp;$H$2&amp;'EB1'!$I$2</f>
        <v>TCARELPG</v>
      </c>
      <c r="R15" s="137" t="str">
        <f>$D$2&amp;" "&amp;$C$2&amp; " Sector - "&amp;""&amp;$H$1&amp;" "&amp;'EB1'!$X$25&amp;" - "&amp;'EB1'!$I$3</f>
        <v>Demand Technologies Transport Sector - Existing Cars - LPG</v>
      </c>
      <c r="S15" s="145" t="s">
        <v>180</v>
      </c>
      <c r="T15" s="140" t="str">
        <f t="shared" si="4"/>
        <v>000_Units</v>
      </c>
      <c r="U15" s="136"/>
      <c r="V15" s="140" t="s">
        <v>142</v>
      </c>
      <c r="W15" s="136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F16" s="78">
        <v>0.4</v>
      </c>
      <c r="G16" s="79">
        <v>11.5</v>
      </c>
      <c r="H16" s="77">
        <v>1.25</v>
      </c>
      <c r="I16" s="77">
        <v>0.15</v>
      </c>
      <c r="J16" s="55">
        <v>21</v>
      </c>
      <c r="K16" s="80">
        <v>1E-3</v>
      </c>
      <c r="M16" s="39">
        <f t="shared" si="3"/>
        <v>1209.07908</v>
      </c>
      <c r="O16" s="136"/>
      <c r="P16" s="136"/>
      <c r="Q16" s="136" t="str">
        <f>LEFT($B$2)&amp;'EB1'!$C$25&amp;$H$2&amp;'EB1'!$J$2</f>
        <v>TCAREGSL</v>
      </c>
      <c r="R16" s="141" t="str">
        <f>$D$2&amp;" "&amp;$C$2&amp; " Sector - "&amp;""&amp;$H$1&amp;" "&amp;'EB1'!$X$25&amp;" - "&amp;'EB1'!$J$3</f>
        <v>Demand Technologies Transport Sector - Existing Cars - Motor spirit</v>
      </c>
      <c r="S16" s="145" t="s">
        <v>180</v>
      </c>
      <c r="T16" s="140" t="str">
        <f t="shared" si="4"/>
        <v>000_Units</v>
      </c>
      <c r="U16" s="136"/>
      <c r="V16" s="140" t="s">
        <v>142</v>
      </c>
      <c r="W16" s="136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F17" s="78">
        <v>0.4</v>
      </c>
      <c r="G17" s="79">
        <v>11.5</v>
      </c>
      <c r="H17" s="77">
        <v>1.25</v>
      </c>
      <c r="I17" s="77">
        <v>0.15</v>
      </c>
      <c r="J17" s="55">
        <v>21</v>
      </c>
      <c r="K17" s="80">
        <v>1E-3</v>
      </c>
      <c r="M17" s="39">
        <f t="shared" si="3"/>
        <v>45.734062499999993</v>
      </c>
      <c r="O17" s="136"/>
      <c r="P17" s="136"/>
      <c r="Q17" s="136" t="str">
        <f>LEFT($B$2)&amp;'EB1'!$C$25&amp;$H$2&amp;'EB1'!$O$2</f>
        <v>TCAREBIO</v>
      </c>
      <c r="R17" s="141" t="str">
        <f>$D$2&amp;" "&amp;$C$2&amp; " Sector - "&amp;""&amp;$H$1&amp;" "&amp;'EB1'!$X$25&amp;" - "&amp;'EB1'!O3</f>
        <v>Demand Technologies Transport Sector - Existing Cars - Biofuels</v>
      </c>
      <c r="S17" s="145" t="s">
        <v>180</v>
      </c>
      <c r="T17" s="140" t="str">
        <f t="shared" si="4"/>
        <v>000_Units</v>
      </c>
      <c r="U17" s="136"/>
      <c r="V17" s="140" t="s">
        <v>142</v>
      </c>
      <c r="W17" s="136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F18" s="112">
        <v>0.4</v>
      </c>
      <c r="G18" s="113">
        <v>11.5</v>
      </c>
      <c r="H18" s="114">
        <v>1.25</v>
      </c>
      <c r="I18" s="114">
        <v>0.15</v>
      </c>
      <c r="J18" s="113">
        <v>21</v>
      </c>
      <c r="K18" s="116">
        <v>1E-3</v>
      </c>
      <c r="L18" s="117"/>
      <c r="M18" s="118">
        <f t="shared" si="3"/>
        <v>0</v>
      </c>
      <c r="O18" s="142"/>
      <c r="P18" s="142"/>
      <c r="Q18" s="142" t="str">
        <f>LEFT($B$2)&amp;'EB1'!$C$25&amp;$H$2&amp;'EB1'!$U$2</f>
        <v>TCAREELC</v>
      </c>
      <c r="R18" s="143" t="str">
        <f>$D$2&amp;" "&amp;$C$2&amp; " Sector - "&amp;""&amp;$H$1&amp;" "&amp;'EB1'!$X$25&amp;" - "&amp;'EB1'!$U$3</f>
        <v>Demand Technologies Transport Sector - Existing Cars - Electricity</v>
      </c>
      <c r="S18" s="144" t="s">
        <v>180</v>
      </c>
      <c r="T18" s="144" t="str">
        <f t="shared" si="4"/>
        <v>000_Units</v>
      </c>
      <c r="U18" s="142"/>
      <c r="V18" s="144" t="s">
        <v>142</v>
      </c>
      <c r="W18" s="142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('EB1'!E$9*'EB1'!$E$26*F19/(K19*G19))*1.01</f>
        <v>0</v>
      </c>
      <c r="F19" s="77">
        <v>0.1</v>
      </c>
      <c r="G19" s="55">
        <v>50</v>
      </c>
      <c r="H19" s="77">
        <v>15</v>
      </c>
      <c r="I19" s="121">
        <v>0.24</v>
      </c>
      <c r="J19" s="55">
        <v>30</v>
      </c>
      <c r="K19" s="80">
        <v>1E-3</v>
      </c>
      <c r="M19" s="39">
        <f t="shared" ref="M19:M24" si="6">E19*G19*K19*H19</f>
        <v>0</v>
      </c>
      <c r="O19" s="136"/>
      <c r="P19" s="136"/>
      <c r="Q19" s="136" t="str">
        <f>LEFT($B$2)&amp;'EB1'!$C$26&amp;$H$2&amp;'EB1'!$E$2</f>
        <v>TPUBEGAS</v>
      </c>
      <c r="R19" s="137" t="str">
        <f>$D$2&amp;" "&amp;$C$2&amp; " Sector - "&amp;""&amp;$H$1&amp;" "&amp;'EB1'!$X$26&amp;" - "&amp;'EB1'!$E$3</f>
        <v>Demand Technologies Transport Sector - Existing Pub - Natural Gas</v>
      </c>
      <c r="S19" s="145" t="s">
        <v>180</v>
      </c>
      <c r="T19" s="140" t="str">
        <f t="shared" si="4"/>
        <v>000_Units</v>
      </c>
      <c r="U19" s="136"/>
      <c r="V19" s="140" t="s">
        <v>142</v>
      </c>
      <c r="W19" s="136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('EB1'!G$9*'EB1'!$G$26*F20/(K20*G20))*1.01</f>
        <v>1168.4545064999998</v>
      </c>
      <c r="F20" s="77">
        <v>0.15</v>
      </c>
      <c r="G20" s="72">
        <v>50</v>
      </c>
      <c r="H20" s="77">
        <v>15</v>
      </c>
      <c r="I20" s="122">
        <v>0.24</v>
      </c>
      <c r="J20" s="55">
        <v>30</v>
      </c>
      <c r="K20" s="80">
        <v>1E-3</v>
      </c>
      <c r="M20" s="39">
        <f t="shared" si="6"/>
        <v>876.34087987499981</v>
      </c>
      <c r="O20" s="136"/>
      <c r="P20" s="136"/>
      <c r="Q20" s="136" t="str">
        <f>LEFT($B$2)&amp;'EB1'!$C$26&amp;$H$2&amp;'EB1'!$G$2</f>
        <v>TPUBEDSL</v>
      </c>
      <c r="R20" s="137" t="str">
        <f>$D$2&amp;" "&amp;$C$2&amp; " Sector - "&amp;""&amp;$H$1&amp;" "&amp;'EB1'!$X$26&amp;" - "&amp;'EB1'!$G$3</f>
        <v>Demand Technologies Transport Sector - Existing Pub - Diesel oil</v>
      </c>
      <c r="S20" s="145" t="s">
        <v>180</v>
      </c>
      <c r="T20" s="140" t="str">
        <f t="shared" si="4"/>
        <v>000_Units</v>
      </c>
      <c r="U20" s="136"/>
      <c r="V20" s="140" t="s">
        <v>142</v>
      </c>
      <c r="W20" s="136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('EB1'!I$9*'EB1'!$I$26*F21/(K21*G21))*1.01</f>
        <v>0</v>
      </c>
      <c r="F21" s="77">
        <v>0.1</v>
      </c>
      <c r="G21" s="72">
        <v>50</v>
      </c>
      <c r="H21" s="77">
        <v>15</v>
      </c>
      <c r="I21" s="122">
        <v>0.24</v>
      </c>
      <c r="J21" s="55">
        <v>30</v>
      </c>
      <c r="K21" s="80">
        <v>1E-3</v>
      </c>
      <c r="M21" s="39">
        <f t="shared" si="6"/>
        <v>0</v>
      </c>
      <c r="O21" s="136"/>
      <c r="P21" s="136"/>
      <c r="Q21" s="136" t="str">
        <f>LEFT($B$2)&amp;'EB1'!$C$26&amp;$H$2&amp;'EB1'!$I$2</f>
        <v>TPUBELPG</v>
      </c>
      <c r="R21" s="137" t="str">
        <f>$D$2&amp;" "&amp;$C$2&amp; " Sector - "&amp;""&amp;$H$1&amp;" "&amp;'EB1'!$X$26&amp;" - "&amp;'EB1'!$I$3</f>
        <v>Demand Technologies Transport Sector - Existing Pub - LPG</v>
      </c>
      <c r="S21" s="145" t="s">
        <v>180</v>
      </c>
      <c r="T21" s="140" t="str">
        <f t="shared" si="4"/>
        <v>000_Units</v>
      </c>
      <c r="U21" s="136"/>
      <c r="V21" s="140" t="s">
        <v>142</v>
      </c>
      <c r="W21" s="136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('EB1'!J$9*'EB1'!$J$26*F22/(K22*G22))*1.01</f>
        <v>0</v>
      </c>
      <c r="F22" s="78">
        <v>0.15</v>
      </c>
      <c r="G22" s="79">
        <v>20</v>
      </c>
      <c r="H22" s="77">
        <v>15</v>
      </c>
      <c r="I22" s="122">
        <v>0.22499999999999998</v>
      </c>
      <c r="J22" s="55">
        <v>30</v>
      </c>
      <c r="K22" s="80">
        <v>1E-3</v>
      </c>
      <c r="M22" s="39">
        <f t="shared" si="6"/>
        <v>0</v>
      </c>
      <c r="O22" s="136"/>
      <c r="P22" s="136"/>
      <c r="Q22" s="136" t="str">
        <f>LEFT($B$2)&amp;'EB1'!$C$26&amp;$H$2&amp;'EB1'!$J$2</f>
        <v>TPUBEGSL</v>
      </c>
      <c r="R22" s="141" t="str">
        <f>$D$2&amp;" "&amp;$C$2&amp; " Sector - "&amp;""&amp;$H$1&amp;" "&amp;'EB1'!$X$26&amp;" - "&amp;'EB1'!$J$3</f>
        <v>Demand Technologies Transport Sector - Existing Pub - Motor spirit</v>
      </c>
      <c r="S22" s="145" t="s">
        <v>180</v>
      </c>
      <c r="T22" s="140" t="str">
        <f t="shared" si="4"/>
        <v>000_Units</v>
      </c>
      <c r="U22" s="136"/>
      <c r="V22" s="140" t="s">
        <v>142</v>
      </c>
      <c r="W22" s="136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('EB1'!O$9*'EB1'!$O$26*F23/(K23*G23))*1.01</f>
        <v>228.67031249999999</v>
      </c>
      <c r="F23" s="78">
        <v>0.15</v>
      </c>
      <c r="G23" s="79">
        <v>20</v>
      </c>
      <c r="H23" s="77">
        <v>15</v>
      </c>
      <c r="I23" s="122">
        <v>0.22499999999999998</v>
      </c>
      <c r="J23" s="55">
        <v>30</v>
      </c>
      <c r="K23" s="80">
        <v>1E-3</v>
      </c>
      <c r="M23" s="39">
        <f t="shared" si="6"/>
        <v>68.60109374999999</v>
      </c>
      <c r="O23" s="136"/>
      <c r="P23" s="136"/>
      <c r="Q23" s="136" t="str">
        <f>LEFT($B$2)&amp;'EB1'!$C$26&amp;$H$2&amp;'EB1'!$O$2</f>
        <v>TPUBEBIO</v>
      </c>
      <c r="R23" s="141" t="str">
        <f>$D$2&amp;" "&amp;$C$2&amp; " Sector - "&amp;""&amp;$H$1&amp;" "&amp;'EB1'!$X$26&amp;" - "&amp;'EB1'!O3</f>
        <v>Demand Technologies Transport Sector - Existing Pub - Biofuels</v>
      </c>
      <c r="S23" s="145" t="s">
        <v>180</v>
      </c>
      <c r="T23" s="140" t="str">
        <f t="shared" si="4"/>
        <v>000_Units</v>
      </c>
      <c r="U23" s="136"/>
      <c r="V23" s="140" t="s">
        <v>142</v>
      </c>
      <c r="W23" s="136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1">
        <f>('EB1'!U$9*'EB1'!$U$26*F24/(K24*G24))*1.01</f>
        <v>40.294757999999995</v>
      </c>
      <c r="F24" s="112">
        <v>0.03</v>
      </c>
      <c r="G24" s="113">
        <v>100</v>
      </c>
      <c r="H24" s="114">
        <v>200</v>
      </c>
      <c r="I24" s="114">
        <v>0.22499999999999998</v>
      </c>
      <c r="J24" s="115">
        <v>30</v>
      </c>
      <c r="K24" s="116">
        <v>1E-3</v>
      </c>
      <c r="M24" s="118">
        <f t="shared" si="6"/>
        <v>805.89515999999981</v>
      </c>
      <c r="O24" s="142"/>
      <c r="P24" s="142"/>
      <c r="Q24" s="142" t="str">
        <f>LEFT($B$2)&amp;'EB1'!$C$26&amp;$H$2&amp;'EB1'!$U$2</f>
        <v>TPUBEELC</v>
      </c>
      <c r="R24" s="143" t="str">
        <f>$D$2&amp;" "&amp;$C$2&amp; " Sector - "&amp;""&amp;$H$1&amp;" "&amp;'EB1'!$X$26&amp;" - "&amp;'EB1'!$U$3</f>
        <v>Demand Technologies Transport Sector - Existing Pub - Electricity</v>
      </c>
      <c r="S24" s="144" t="s">
        <v>180</v>
      </c>
      <c r="T24" s="144" t="str">
        <f t="shared" si="4"/>
        <v>000_Units</v>
      </c>
      <c r="U24" s="142"/>
      <c r="V24" s="144" t="s">
        <v>142</v>
      </c>
      <c r="W24" s="142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5"/>
      <c r="C27" s="1" t="s">
        <v>156</v>
      </c>
      <c r="K27" s="1"/>
      <c r="L27" s="11"/>
      <c r="M27" s="1"/>
    </row>
    <row r="28" spans="1:23" x14ac:dyDescent="0.2">
      <c r="B28" s="74"/>
      <c r="C28" s="1" t="s">
        <v>157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  <row r="36" spans="2:24" ht="15" x14ac:dyDescent="0.25">
      <c r="B36" s="154">
        <v>9</v>
      </c>
      <c r="D36" t="s">
        <v>192</v>
      </c>
    </row>
    <row r="37" spans="2:24" x14ac:dyDescent="0.2">
      <c r="D37" t="s">
        <v>1</v>
      </c>
      <c r="E37">
        <v>1985</v>
      </c>
      <c r="F37">
        <v>1986</v>
      </c>
      <c r="G37">
        <v>1987</v>
      </c>
      <c r="H37">
        <v>1988</v>
      </c>
      <c r="I37">
        <v>1989</v>
      </c>
      <c r="J37">
        <v>1990</v>
      </c>
      <c r="K37">
        <v>1991</v>
      </c>
      <c r="L37">
        <v>1992</v>
      </c>
      <c r="M37">
        <v>1993</v>
      </c>
      <c r="N37">
        <v>1994</v>
      </c>
      <c r="O37">
        <v>1995</v>
      </c>
      <c r="P37">
        <v>1996</v>
      </c>
      <c r="Q37">
        <v>1997</v>
      </c>
      <c r="R37">
        <v>1998</v>
      </c>
      <c r="S37">
        <v>1999</v>
      </c>
      <c r="T37">
        <v>2000</v>
      </c>
      <c r="U37">
        <v>2001</v>
      </c>
      <c r="V37">
        <v>2002</v>
      </c>
      <c r="W37">
        <v>2003</v>
      </c>
      <c r="X37">
        <v>2004</v>
      </c>
    </row>
    <row r="38" spans="2:24" x14ac:dyDescent="0.2">
      <c r="B38" s="73">
        <f>('EB1'!E$9*'EB1'!$E$25*F13/(K13*G13))*1.01</f>
        <v>233.01046285714281</v>
      </c>
      <c r="D38" t="str">
        <f t="shared" ref="D38:D43" si="7">B13</f>
        <v>TCAREGAS</v>
      </c>
      <c r="E38" s="155">
        <f t="shared" ref="E38:E43" si="8">$B38/$B$36</f>
        <v>25.890051428571425</v>
      </c>
      <c r="F38" s="155">
        <f t="shared" ref="F38:U43" si="9">$B38/$B$36</f>
        <v>25.890051428571425</v>
      </c>
      <c r="G38" s="155">
        <f t="shared" si="9"/>
        <v>25.890051428571425</v>
      </c>
      <c r="H38" s="155">
        <f t="shared" si="9"/>
        <v>25.890051428571425</v>
      </c>
      <c r="I38" s="155">
        <f t="shared" si="9"/>
        <v>25.890051428571425</v>
      </c>
      <c r="J38" s="155">
        <f t="shared" si="9"/>
        <v>25.890051428571425</v>
      </c>
      <c r="K38" s="155">
        <f t="shared" si="9"/>
        <v>25.890051428571425</v>
      </c>
      <c r="L38" s="155">
        <f t="shared" si="9"/>
        <v>25.890051428571425</v>
      </c>
      <c r="M38" s="155">
        <f t="shared" si="9"/>
        <v>25.890051428571425</v>
      </c>
      <c r="N38" s="155">
        <f t="shared" si="9"/>
        <v>25.890051428571425</v>
      </c>
      <c r="O38" s="155">
        <f t="shared" si="9"/>
        <v>25.890051428571425</v>
      </c>
      <c r="P38" s="155">
        <f t="shared" si="9"/>
        <v>25.890051428571425</v>
      </c>
      <c r="Q38" s="155">
        <f t="shared" si="9"/>
        <v>25.890051428571425</v>
      </c>
      <c r="R38" s="155">
        <f t="shared" si="9"/>
        <v>25.890051428571425</v>
      </c>
      <c r="S38" s="155">
        <f t="shared" si="9"/>
        <v>25.890051428571425</v>
      </c>
      <c r="T38" s="155">
        <f t="shared" si="9"/>
        <v>25.890051428571425</v>
      </c>
      <c r="U38" s="155">
        <f t="shared" si="9"/>
        <v>25.890051428571425</v>
      </c>
      <c r="V38" s="155">
        <f t="shared" ref="V38:X43" si="10">$B38/$B$36</f>
        <v>25.890051428571425</v>
      </c>
      <c r="W38" s="155">
        <f t="shared" si="10"/>
        <v>25.890051428571425</v>
      </c>
      <c r="X38" s="155">
        <f t="shared" si="10"/>
        <v>25.890051428571425</v>
      </c>
    </row>
    <row r="39" spans="2:24" x14ac:dyDescent="0.2">
      <c r="B39" s="73">
        <f>('EB1'!G$9*'EB1'!$G$25*F14/(K14*G14))*1.01</f>
        <v>87102.97230272727</v>
      </c>
      <c r="D39" t="str">
        <f t="shared" si="7"/>
        <v>TCAREDSL</v>
      </c>
      <c r="E39" s="155">
        <f t="shared" si="8"/>
        <v>9678.108033636363</v>
      </c>
      <c r="F39" s="155">
        <f t="shared" si="9"/>
        <v>9678.108033636363</v>
      </c>
      <c r="G39" s="155">
        <f t="shared" si="9"/>
        <v>9678.108033636363</v>
      </c>
      <c r="H39" s="155">
        <f t="shared" si="9"/>
        <v>9678.108033636363</v>
      </c>
      <c r="I39" s="155">
        <f t="shared" si="9"/>
        <v>9678.108033636363</v>
      </c>
      <c r="J39" s="155">
        <f t="shared" si="9"/>
        <v>9678.108033636363</v>
      </c>
      <c r="K39" s="155">
        <f t="shared" si="9"/>
        <v>9678.108033636363</v>
      </c>
      <c r="L39" s="155">
        <f t="shared" si="9"/>
        <v>9678.108033636363</v>
      </c>
      <c r="M39" s="155">
        <f t="shared" si="9"/>
        <v>9678.108033636363</v>
      </c>
      <c r="N39" s="155">
        <f t="shared" si="9"/>
        <v>9678.108033636363</v>
      </c>
      <c r="O39" s="155">
        <f t="shared" si="9"/>
        <v>9678.108033636363</v>
      </c>
      <c r="P39" s="155">
        <f t="shared" si="9"/>
        <v>9678.108033636363</v>
      </c>
      <c r="Q39" s="155">
        <f t="shared" si="9"/>
        <v>9678.108033636363</v>
      </c>
      <c r="R39" s="155">
        <f t="shared" si="9"/>
        <v>9678.108033636363</v>
      </c>
      <c r="S39" s="155">
        <f t="shared" si="9"/>
        <v>9678.108033636363</v>
      </c>
      <c r="T39" s="155">
        <f t="shared" si="9"/>
        <v>9678.108033636363</v>
      </c>
      <c r="U39" s="155">
        <f t="shared" si="9"/>
        <v>9678.108033636363</v>
      </c>
      <c r="V39" s="155">
        <f t="shared" si="10"/>
        <v>9678.108033636363</v>
      </c>
      <c r="W39" s="155">
        <f t="shared" si="10"/>
        <v>9678.108033636363</v>
      </c>
      <c r="X39" s="155">
        <f t="shared" si="10"/>
        <v>9678.108033636363</v>
      </c>
    </row>
    <row r="40" spans="2:24" x14ac:dyDescent="0.2">
      <c r="B40" s="73">
        <f>('EB1'!I$9*'EB1'!$I$25*F15/(K15*G15))*1.01</f>
        <v>2583.2755571428575</v>
      </c>
      <c r="D40" t="str">
        <f t="shared" si="7"/>
        <v>TCARELPG</v>
      </c>
      <c r="E40" s="155">
        <f t="shared" si="8"/>
        <v>287.0306174603175</v>
      </c>
      <c r="F40" s="155">
        <f t="shared" si="9"/>
        <v>287.0306174603175</v>
      </c>
      <c r="G40" s="155">
        <f t="shared" si="9"/>
        <v>287.0306174603175</v>
      </c>
      <c r="H40" s="155">
        <f t="shared" si="9"/>
        <v>287.0306174603175</v>
      </c>
      <c r="I40" s="155">
        <f t="shared" si="9"/>
        <v>287.0306174603175</v>
      </c>
      <c r="J40" s="155">
        <f t="shared" si="9"/>
        <v>287.0306174603175</v>
      </c>
      <c r="K40" s="155">
        <f t="shared" si="9"/>
        <v>287.0306174603175</v>
      </c>
      <c r="L40" s="155">
        <f t="shared" si="9"/>
        <v>287.0306174603175</v>
      </c>
      <c r="M40" s="155">
        <f t="shared" si="9"/>
        <v>287.0306174603175</v>
      </c>
      <c r="N40" s="155">
        <f t="shared" si="9"/>
        <v>287.0306174603175</v>
      </c>
      <c r="O40" s="155">
        <f t="shared" si="9"/>
        <v>287.0306174603175</v>
      </c>
      <c r="P40" s="155">
        <f t="shared" si="9"/>
        <v>287.0306174603175</v>
      </c>
      <c r="Q40" s="155">
        <f t="shared" si="9"/>
        <v>287.0306174603175</v>
      </c>
      <c r="R40" s="155">
        <f t="shared" si="9"/>
        <v>287.0306174603175</v>
      </c>
      <c r="S40" s="155">
        <f t="shared" si="9"/>
        <v>287.0306174603175</v>
      </c>
      <c r="T40" s="155">
        <f t="shared" si="9"/>
        <v>287.0306174603175</v>
      </c>
      <c r="U40" s="155">
        <f t="shared" si="9"/>
        <v>287.0306174603175</v>
      </c>
      <c r="V40" s="155">
        <f t="shared" si="10"/>
        <v>287.0306174603175</v>
      </c>
      <c r="W40" s="155">
        <f t="shared" si="10"/>
        <v>287.0306174603175</v>
      </c>
      <c r="X40" s="155">
        <f t="shared" si="10"/>
        <v>287.0306174603175</v>
      </c>
    </row>
    <row r="41" spans="2:24" x14ac:dyDescent="0.2">
      <c r="B41" s="73">
        <f>('EB1'!J$9*'EB1'!$J$25*F16/(K16*G16))*1.01</f>
        <v>84109.849043478273</v>
      </c>
      <c r="D41" t="str">
        <f t="shared" si="7"/>
        <v>TCAREGSL</v>
      </c>
      <c r="E41" s="155">
        <f t="shared" si="8"/>
        <v>9345.5387826086971</v>
      </c>
      <c r="F41" s="155">
        <f t="shared" si="9"/>
        <v>9345.5387826086971</v>
      </c>
      <c r="G41" s="155">
        <f t="shared" si="9"/>
        <v>9345.5387826086971</v>
      </c>
      <c r="H41" s="155">
        <f t="shared" si="9"/>
        <v>9345.5387826086971</v>
      </c>
      <c r="I41" s="155">
        <f t="shared" si="9"/>
        <v>9345.5387826086971</v>
      </c>
      <c r="J41" s="155">
        <f t="shared" si="9"/>
        <v>9345.5387826086971</v>
      </c>
      <c r="K41" s="155">
        <f t="shared" si="9"/>
        <v>9345.5387826086971</v>
      </c>
      <c r="L41" s="155">
        <f t="shared" si="9"/>
        <v>9345.5387826086971</v>
      </c>
      <c r="M41" s="155">
        <f t="shared" si="9"/>
        <v>9345.5387826086971</v>
      </c>
      <c r="N41" s="155">
        <f t="shared" si="9"/>
        <v>9345.5387826086971</v>
      </c>
      <c r="O41" s="155">
        <f t="shared" si="9"/>
        <v>9345.5387826086971</v>
      </c>
      <c r="P41" s="155">
        <f t="shared" si="9"/>
        <v>9345.5387826086971</v>
      </c>
      <c r="Q41" s="155">
        <f t="shared" si="9"/>
        <v>9345.5387826086971</v>
      </c>
      <c r="R41" s="155">
        <f t="shared" si="9"/>
        <v>9345.5387826086971</v>
      </c>
      <c r="S41" s="155">
        <f t="shared" si="9"/>
        <v>9345.5387826086971</v>
      </c>
      <c r="T41" s="155">
        <f t="shared" si="9"/>
        <v>9345.5387826086971</v>
      </c>
      <c r="U41" s="155">
        <f t="shared" si="9"/>
        <v>9345.5387826086971</v>
      </c>
      <c r="V41" s="155">
        <f t="shared" si="10"/>
        <v>9345.5387826086971</v>
      </c>
      <c r="W41" s="155">
        <f t="shared" si="10"/>
        <v>9345.5387826086971</v>
      </c>
      <c r="X41" s="155">
        <f t="shared" si="10"/>
        <v>9345.5387826086971</v>
      </c>
    </row>
    <row r="42" spans="2:24" x14ac:dyDescent="0.2">
      <c r="B42" s="73">
        <f>('EB1'!O$9*'EB1'!$O$25*F17/(K17*G17))*1.01</f>
        <v>3181.5</v>
      </c>
      <c r="D42" t="str">
        <f t="shared" si="7"/>
        <v>TCAREBIO</v>
      </c>
      <c r="E42" s="155">
        <f t="shared" si="8"/>
        <v>353.5</v>
      </c>
      <c r="F42" s="155">
        <f t="shared" si="9"/>
        <v>353.5</v>
      </c>
      <c r="G42" s="155">
        <f t="shared" si="9"/>
        <v>353.5</v>
      </c>
      <c r="H42" s="155">
        <f t="shared" si="9"/>
        <v>353.5</v>
      </c>
      <c r="I42" s="155">
        <f t="shared" si="9"/>
        <v>353.5</v>
      </c>
      <c r="J42" s="155">
        <f t="shared" si="9"/>
        <v>353.5</v>
      </c>
      <c r="K42" s="155">
        <f t="shared" si="9"/>
        <v>353.5</v>
      </c>
      <c r="L42" s="155">
        <f t="shared" si="9"/>
        <v>353.5</v>
      </c>
      <c r="M42" s="155">
        <f t="shared" si="9"/>
        <v>353.5</v>
      </c>
      <c r="N42" s="155">
        <f t="shared" si="9"/>
        <v>353.5</v>
      </c>
      <c r="O42" s="155">
        <f t="shared" si="9"/>
        <v>353.5</v>
      </c>
      <c r="P42" s="155">
        <f t="shared" si="9"/>
        <v>353.5</v>
      </c>
      <c r="Q42" s="155">
        <f t="shared" si="9"/>
        <v>353.5</v>
      </c>
      <c r="R42" s="155">
        <f t="shared" si="9"/>
        <v>353.5</v>
      </c>
      <c r="S42" s="155">
        <f t="shared" si="9"/>
        <v>353.5</v>
      </c>
      <c r="T42" s="155">
        <f t="shared" si="9"/>
        <v>353.5</v>
      </c>
      <c r="U42" s="155">
        <f t="shared" si="9"/>
        <v>353.5</v>
      </c>
      <c r="V42" s="155">
        <f t="shared" si="10"/>
        <v>353.5</v>
      </c>
      <c r="W42" s="155">
        <f t="shared" si="10"/>
        <v>353.5</v>
      </c>
      <c r="X42" s="155">
        <f t="shared" si="10"/>
        <v>353.5</v>
      </c>
    </row>
    <row r="43" spans="2:24" x14ac:dyDescent="0.2">
      <c r="B43" s="91">
        <f>('EB1'!U$9*'EB1'!$U$25*F18/(K18*G18))*1.01</f>
        <v>0</v>
      </c>
      <c r="D43" t="str">
        <f t="shared" si="7"/>
        <v>TCAREELC</v>
      </c>
      <c r="E43" s="155">
        <f t="shared" si="8"/>
        <v>0</v>
      </c>
      <c r="F43" s="155">
        <f t="shared" si="9"/>
        <v>0</v>
      </c>
      <c r="G43" s="155">
        <f t="shared" si="9"/>
        <v>0</v>
      </c>
      <c r="H43" s="155">
        <f t="shared" si="9"/>
        <v>0</v>
      </c>
      <c r="I43" s="155">
        <f t="shared" si="9"/>
        <v>0</v>
      </c>
      <c r="J43" s="155">
        <f t="shared" si="9"/>
        <v>0</v>
      </c>
      <c r="K43" s="155">
        <f t="shared" si="9"/>
        <v>0</v>
      </c>
      <c r="L43" s="155">
        <f t="shared" si="9"/>
        <v>0</v>
      </c>
      <c r="M43" s="155">
        <f t="shared" si="9"/>
        <v>0</v>
      </c>
      <c r="N43" s="155">
        <f t="shared" si="9"/>
        <v>0</v>
      </c>
      <c r="O43" s="155">
        <f t="shared" si="9"/>
        <v>0</v>
      </c>
      <c r="P43" s="155">
        <f t="shared" si="9"/>
        <v>0</v>
      </c>
      <c r="Q43" s="155">
        <f t="shared" si="9"/>
        <v>0</v>
      </c>
      <c r="R43" s="155">
        <f t="shared" si="9"/>
        <v>0</v>
      </c>
      <c r="S43" s="155">
        <f t="shared" si="9"/>
        <v>0</v>
      </c>
      <c r="T43" s="155">
        <f t="shared" si="9"/>
        <v>0</v>
      </c>
      <c r="U43" s="155">
        <f t="shared" si="9"/>
        <v>0</v>
      </c>
      <c r="V43" s="155">
        <f t="shared" si="10"/>
        <v>0</v>
      </c>
      <c r="W43" s="155">
        <f t="shared" si="10"/>
        <v>0</v>
      </c>
      <c r="X43" s="155">
        <f t="shared" si="10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workbookViewId="0">
      <selection activeCell="V10" sqref="V1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9" width="4.5703125" bestFit="1" customWidth="1"/>
    <col min="20" max="20" width="6" customWidth="1"/>
  </cols>
  <sheetData>
    <row r="1" spans="2:25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25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4" spans="2:25" x14ac:dyDescent="0.2">
      <c r="G4" s="38"/>
      <c r="H4" s="38"/>
      <c r="I4" s="38"/>
      <c r="J4" s="38"/>
      <c r="K4" s="38"/>
    </row>
    <row r="5" spans="2:25" x14ac:dyDescent="0.2">
      <c r="C5" s="3" t="s">
        <v>13</v>
      </c>
      <c r="D5" s="3"/>
      <c r="E5" s="1"/>
      <c r="G5" s="3" t="s">
        <v>191</v>
      </c>
      <c r="H5" s="1"/>
    </row>
    <row r="6" spans="2:25" x14ac:dyDescent="0.2">
      <c r="B6" s="2" t="s">
        <v>80</v>
      </c>
      <c r="C6" s="2" t="s">
        <v>0</v>
      </c>
      <c r="D6" s="2" t="s">
        <v>149</v>
      </c>
      <c r="E6" s="90">
        <v>2005</v>
      </c>
      <c r="G6" s="2" t="s">
        <v>0</v>
      </c>
      <c r="H6" s="150" t="s">
        <v>182</v>
      </c>
      <c r="I6" s="150" t="s">
        <v>183</v>
      </c>
      <c r="J6" s="150" t="s">
        <v>184</v>
      </c>
      <c r="K6" s="150" t="s">
        <v>118</v>
      </c>
      <c r="L6" s="150" t="s">
        <v>119</v>
      </c>
      <c r="M6" s="150" t="s">
        <v>185</v>
      </c>
      <c r="N6" s="150" t="s">
        <v>186</v>
      </c>
      <c r="O6" s="150" t="s">
        <v>187</v>
      </c>
      <c r="P6" s="150" t="s">
        <v>188</v>
      </c>
      <c r="Q6" s="150" t="s">
        <v>120</v>
      </c>
      <c r="R6" s="150" t="s">
        <v>121</v>
      </c>
      <c r="S6" s="150" t="s">
        <v>189</v>
      </c>
    </row>
    <row r="7" spans="2:25" ht="22.5" x14ac:dyDescent="0.2">
      <c r="B7" s="20" t="s">
        <v>81</v>
      </c>
      <c r="C7" s="20" t="s">
        <v>82</v>
      </c>
      <c r="D7" s="20" t="s">
        <v>150</v>
      </c>
      <c r="E7" s="86" t="s">
        <v>36</v>
      </c>
      <c r="G7" s="148" t="s">
        <v>190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2:25" ht="13.5" thickBot="1" x14ac:dyDescent="0.25">
      <c r="B8" s="19" t="s">
        <v>91</v>
      </c>
      <c r="C8" s="19"/>
      <c r="D8" s="19"/>
      <c r="E8" s="17" t="str">
        <f>E2</f>
        <v>BPkm</v>
      </c>
      <c r="G8" s="147" t="s">
        <v>81</v>
      </c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2:25" x14ac:dyDescent="0.2">
      <c r="B9" s="8" t="s">
        <v>35</v>
      </c>
      <c r="C9" s="8" t="str">
        <f>DemTechs_TRA!$Q$5</f>
        <v>DTCAR</v>
      </c>
      <c r="D9" s="25" t="s">
        <v>181</v>
      </c>
      <c r="E9" s="79">
        <f>SUM(DemTechs_TRA!M13:M18)</f>
        <v>3100.5969515937504</v>
      </c>
      <c r="G9" s="8" t="str">
        <f>DemTechs_TRA!$Q$5</f>
        <v>DTCAR</v>
      </c>
      <c r="H9" s="153">
        <v>9.417808219178081E-2</v>
      </c>
      <c r="I9" s="153">
        <v>0.10273972602739725</v>
      </c>
      <c r="J9" s="153">
        <v>8.5616438356164379E-3</v>
      </c>
      <c r="K9" s="153">
        <v>0.12682648401826482</v>
      </c>
      <c r="L9" s="153">
        <v>0.13835616438356163</v>
      </c>
      <c r="M9" s="153">
        <v>1.1529680365296802E-2</v>
      </c>
      <c r="N9" s="153">
        <v>9.9200913242009123E-2</v>
      </c>
      <c r="O9" s="153">
        <v>0.10821917808219178</v>
      </c>
      <c r="P9" s="153">
        <v>9.0182648401826472E-3</v>
      </c>
      <c r="Q9" s="153">
        <v>0.13812785388127852</v>
      </c>
      <c r="R9" s="153">
        <v>0.15068493150684931</v>
      </c>
      <c r="S9" s="153">
        <v>1.2557077625570776E-2</v>
      </c>
    </row>
    <row r="10" spans="2:25" x14ac:dyDescent="0.2">
      <c r="B10" s="8" t="s">
        <v>35</v>
      </c>
      <c r="C10" s="8" t="str">
        <f>DemTechs_TRA!$Q$6</f>
        <v>DTPUB</v>
      </c>
      <c r="D10" s="25" t="s">
        <v>181</v>
      </c>
      <c r="E10" s="79">
        <f>SUM(DemTechs_TRA!M19:M24)</f>
        <v>1750.8371336249998</v>
      </c>
      <c r="G10" s="8" t="str">
        <f>DemTechs_TRA!$Q$6</f>
        <v>DTPUB</v>
      </c>
      <c r="H10" s="153">
        <v>9.417808219178081E-2</v>
      </c>
      <c r="I10" s="153">
        <v>0.10273972602739725</v>
      </c>
      <c r="J10" s="153">
        <v>8.5616438356164379E-3</v>
      </c>
      <c r="K10" s="153">
        <v>0.12682648401826482</v>
      </c>
      <c r="L10" s="153">
        <v>0.13835616438356163</v>
      </c>
      <c r="M10" s="153">
        <v>1.1529680365296802E-2</v>
      </c>
      <c r="N10" s="153">
        <v>9.9200913242009123E-2</v>
      </c>
      <c r="O10" s="153">
        <v>0.10821917808219178</v>
      </c>
      <c r="P10" s="153">
        <v>9.0182648401826472E-3</v>
      </c>
      <c r="Q10" s="153">
        <v>0.13812785388127852</v>
      </c>
      <c r="R10" s="153">
        <v>0.15068493150684931</v>
      </c>
      <c r="S10" s="153">
        <v>1.2557077625570776E-2</v>
      </c>
    </row>
    <row r="11" spans="2:25" x14ac:dyDescent="0.2">
      <c r="G11" s="11"/>
      <c r="H11" s="38"/>
      <c r="I11" s="151"/>
      <c r="J11" s="38"/>
      <c r="K11" s="38"/>
      <c r="L11" s="25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</row>
    <row r="12" spans="2:25" x14ac:dyDescent="0.2">
      <c r="E12" s="36"/>
      <c r="G12" s="11"/>
      <c r="H12" s="38"/>
      <c r="I12" s="151"/>
      <c r="J12" s="38"/>
      <c r="K12" s="38"/>
      <c r="L12" s="25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</row>
    <row r="13" spans="2:25" x14ac:dyDescent="0.2">
      <c r="E13" s="10"/>
      <c r="H13" s="11"/>
      <c r="I13" s="38"/>
      <c r="J13" s="151"/>
      <c r="K13" s="38"/>
      <c r="L13" s="38"/>
      <c r="M13" s="25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</row>
    <row r="14" spans="2:25" x14ac:dyDescent="0.2">
      <c r="H14" s="11"/>
      <c r="I14" s="38"/>
      <c r="J14" s="151"/>
      <c r="K14" s="38"/>
      <c r="L14" s="38"/>
      <c r="M14" s="25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</row>
    <row r="15" spans="2:25" x14ac:dyDescent="0.2">
      <c r="E15" s="10"/>
      <c r="H15" s="11"/>
      <c r="I15" s="38"/>
      <c r="J15" s="151"/>
      <c r="K15" s="38"/>
      <c r="L15" s="38"/>
    </row>
    <row r="16" spans="2:25" x14ac:dyDescent="0.2">
      <c r="G16" s="11"/>
      <c r="H16" s="38"/>
      <c r="I16" s="151"/>
      <c r="J16" s="38"/>
      <c r="K16" s="38"/>
    </row>
    <row r="17" spans="2:12" x14ac:dyDescent="0.2">
      <c r="G17" s="38"/>
      <c r="H17" s="152"/>
      <c r="J17" s="152"/>
      <c r="L17" s="153"/>
    </row>
    <row r="18" spans="2:12" x14ac:dyDescent="0.2">
      <c r="G18" s="38"/>
      <c r="H18" s="152"/>
      <c r="J18" s="152"/>
      <c r="L18" s="153"/>
    </row>
    <row r="19" spans="2:12" x14ac:dyDescent="0.2">
      <c r="H19" s="152"/>
      <c r="J19" s="152"/>
      <c r="L19" s="153"/>
    </row>
    <row r="20" spans="2:12" x14ac:dyDescent="0.2">
      <c r="H20" s="152"/>
      <c r="J20" s="152"/>
      <c r="L20" s="153"/>
    </row>
    <row r="21" spans="2:12" x14ac:dyDescent="0.2">
      <c r="H21" s="152"/>
      <c r="J21" s="152"/>
      <c r="L21" s="153"/>
    </row>
    <row r="22" spans="2:12" x14ac:dyDescent="0.2">
      <c r="H22" s="152"/>
      <c r="J22" s="152"/>
      <c r="L22" s="153"/>
    </row>
    <row r="23" spans="2:12" x14ac:dyDescent="0.2">
      <c r="B23" s="55"/>
      <c r="C23" s="1" t="s">
        <v>156</v>
      </c>
      <c r="H23" s="152"/>
      <c r="J23" s="152"/>
      <c r="L23" s="153"/>
    </row>
    <row r="24" spans="2:12" x14ac:dyDescent="0.2">
      <c r="B24" s="74"/>
      <c r="C24" s="1" t="s">
        <v>157</v>
      </c>
      <c r="H24" s="152"/>
      <c r="J24" s="152"/>
      <c r="L24" s="153"/>
    </row>
    <row r="25" spans="2:12" x14ac:dyDescent="0.2">
      <c r="H25" s="152"/>
      <c r="J25" s="152"/>
      <c r="L25" s="153"/>
    </row>
    <row r="26" spans="2:12" x14ac:dyDescent="0.2">
      <c r="H26" s="152"/>
      <c r="J26" s="152"/>
      <c r="L26" s="153"/>
    </row>
    <row r="27" spans="2:12" x14ac:dyDescent="0.2">
      <c r="H27" s="152"/>
      <c r="J27" s="152"/>
      <c r="L27" s="153"/>
    </row>
    <row r="28" spans="2:12" x14ac:dyDescent="0.2">
      <c r="H28" s="152"/>
      <c r="J28" s="152"/>
      <c r="L28" s="1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146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147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155</v>
      </c>
      <c r="D7" s="19" t="s">
        <v>155</v>
      </c>
      <c r="E7" s="19" t="s">
        <v>155</v>
      </c>
      <c r="F7" s="19" t="s">
        <v>155</v>
      </c>
      <c r="G7" s="119"/>
      <c r="H7" s="119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5"/>
      <c r="C23" s="1" t="s">
        <v>156</v>
      </c>
    </row>
    <row r="24" spans="2:3" x14ac:dyDescent="0.2">
      <c r="B24" s="74"/>
      <c r="C24" s="1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29033839702606</vt:r8>
  </property>
</Properties>
</file>