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_Models\DemoS_ADV_Stuttgart061118\"/>
    </mc:Choice>
  </mc:AlternateContent>
  <xr:revisionPtr revIDLastSave="0" documentId="8_{852CB93B-103A-4194-9FCE-EF86038612EC}" xr6:coauthVersionLast="45" xr6:coauthVersionMax="45" xr10:uidLastSave="{00000000-0000-0000-0000-000000000000}"/>
  <bookViews>
    <workbookView xWindow="3720" yWindow="570" windowWidth="25080" windowHeight="15030" tabRatio="901"/>
  </bookViews>
  <sheets>
    <sheet name="EB2" sheetId="133" r:id="rId1"/>
    <sheet name="RES_RCA" sheetId="156" r:id="rId2"/>
    <sheet name="Sector_Fuels_AGR" sheetId="154" r:id="rId3"/>
    <sheet name="DemTechs_AGR" sheetId="155" r:id="rId4"/>
    <sheet name="Sector_Fuels_COM" sheetId="152" r:id="rId5"/>
    <sheet name="DemTechs_COM" sheetId="153" r:id="rId6"/>
    <sheet name="Sector_Fuels_RSD" sheetId="140" r:id="rId7"/>
    <sheet name="DemTechs_RSD" sheetId="138" r:id="rId8"/>
    <sheet name="Demands" sheetId="134" r:id="rId9"/>
    <sheet name="Emi" sheetId="149" r:id="rId10"/>
  </sheets>
  <externalReferences>
    <externalReference r:id="rId11"/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33" l="1"/>
  <c r="E14" i="138"/>
  <c r="K14" i="138" s="1"/>
  <c r="E5" i="133"/>
  <c r="E15" i="138"/>
  <c r="K15" i="138"/>
  <c r="F5" i="133"/>
  <c r="F13" i="133" s="1"/>
  <c r="G5" i="133"/>
  <c r="H5" i="133"/>
  <c r="I5" i="133"/>
  <c r="J5" i="133"/>
  <c r="K5" i="133"/>
  <c r="L5" i="133"/>
  <c r="M5" i="133"/>
  <c r="E16" i="138" s="1"/>
  <c r="K16" i="138" s="1"/>
  <c r="N5" i="133"/>
  <c r="N13" i="133" s="1"/>
  <c r="O5" i="133"/>
  <c r="E24" i="138" s="1"/>
  <c r="K24" i="138" s="1"/>
  <c r="P5" i="133"/>
  <c r="Q5" i="133"/>
  <c r="V5" i="133" s="1"/>
  <c r="R5" i="133"/>
  <c r="R13" i="133" s="1"/>
  <c r="S5" i="133"/>
  <c r="S13" i="133" s="1"/>
  <c r="T5" i="133"/>
  <c r="T13" i="133" s="1"/>
  <c r="U5" i="133"/>
  <c r="E19" i="138" s="1"/>
  <c r="K19" i="138" s="1"/>
  <c r="E20" i="138"/>
  <c r="K20" i="138" s="1"/>
  <c r="E10" i="134" s="1"/>
  <c r="D6" i="133"/>
  <c r="E6" i="133"/>
  <c r="F6" i="133"/>
  <c r="G6" i="133"/>
  <c r="E23" i="153" s="1"/>
  <c r="K23" i="153" s="1"/>
  <c r="H6" i="133"/>
  <c r="I6" i="133"/>
  <c r="J6" i="133"/>
  <c r="K6" i="133"/>
  <c r="L6" i="133"/>
  <c r="E21" i="152" s="1"/>
  <c r="M6" i="133"/>
  <c r="E20" i="152"/>
  <c r="N6" i="133"/>
  <c r="O6" i="133"/>
  <c r="F14" i="155" s="1"/>
  <c r="G14" i="155" s="1"/>
  <c r="P6" i="133"/>
  <c r="Q6" i="133"/>
  <c r="R6" i="133"/>
  <c r="E18" i="153"/>
  <c r="K18" i="153"/>
  <c r="S6" i="133"/>
  <c r="T6" i="133"/>
  <c r="U6" i="133"/>
  <c r="F12" i="155" s="1"/>
  <c r="G12" i="155" s="1"/>
  <c r="E20" i="153"/>
  <c r="K20" i="153" s="1"/>
  <c r="E13" i="134" s="1"/>
  <c r="D7" i="133"/>
  <c r="D13" i="133" s="1"/>
  <c r="E7" i="133"/>
  <c r="E13" i="133" s="1"/>
  <c r="F7" i="133"/>
  <c r="G7" i="133"/>
  <c r="H7" i="133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V8" i="133" s="1"/>
  <c r="E8" i="133"/>
  <c r="E15" i="134" s="1"/>
  <c r="F8" i="133"/>
  <c r="G8" i="133"/>
  <c r="G13" i="133" s="1"/>
  <c r="H8" i="133"/>
  <c r="H13" i="133" s="1"/>
  <c r="I8" i="133"/>
  <c r="I13" i="133"/>
  <c r="J8" i="133"/>
  <c r="J13" i="133" s="1"/>
  <c r="K8" i="133"/>
  <c r="K13" i="133" s="1"/>
  <c r="L8" i="133"/>
  <c r="L13" i="133" s="1"/>
  <c r="M8" i="133"/>
  <c r="M13" i="133" s="1"/>
  <c r="N8" i="133"/>
  <c r="O8" i="133"/>
  <c r="O13" i="133" s="1"/>
  <c r="P8" i="133"/>
  <c r="Q8" i="133"/>
  <c r="R8" i="133"/>
  <c r="S8" i="133"/>
  <c r="T8" i="133"/>
  <c r="U8" i="133"/>
  <c r="D9" i="133"/>
  <c r="E9" i="133"/>
  <c r="F9" i="133"/>
  <c r="V9" i="133" s="1"/>
  <c r="G9" i="133"/>
  <c r="H9" i="133"/>
  <c r="I9" i="133"/>
  <c r="J9" i="133"/>
  <c r="K9" i="133"/>
  <c r="L9" i="133"/>
  <c r="M9" i="133"/>
  <c r="N9" i="133"/>
  <c r="O9" i="133"/>
  <c r="P9" i="133"/>
  <c r="P13" i="133" s="1"/>
  <c r="Q9" i="133"/>
  <c r="Q13" i="133" s="1"/>
  <c r="R9" i="133"/>
  <c r="S9" i="133"/>
  <c r="T9" i="133"/>
  <c r="U9" i="133"/>
  <c r="U13" i="133" s="1"/>
  <c r="D10" i="133"/>
  <c r="V10" i="133" s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V11" i="133" s="1"/>
  <c r="O11" i="133"/>
  <c r="P11" i="133"/>
  <c r="Q11" i="133"/>
  <c r="R11" i="133"/>
  <c r="S11" i="133"/>
  <c r="T11" i="133"/>
  <c r="U11" i="133"/>
  <c r="D12" i="133"/>
  <c r="E12" i="133"/>
  <c r="V12" i="133" s="1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R26" i="133"/>
  <c r="U26" i="133"/>
  <c r="E25" i="153"/>
  <c r="K25" i="153" s="1"/>
  <c r="O26" i="133"/>
  <c r="M26" i="133"/>
  <c r="L26" i="133"/>
  <c r="J26" i="133"/>
  <c r="I26" i="133"/>
  <c r="H26" i="133"/>
  <c r="G26" i="133"/>
  <c r="E26" i="133"/>
  <c r="D26" i="133"/>
  <c r="E21" i="153"/>
  <c r="K21" i="153"/>
  <c r="U23" i="133"/>
  <c r="O23" i="133"/>
  <c r="M23" i="133"/>
  <c r="L23" i="133"/>
  <c r="J23" i="133"/>
  <c r="I23" i="133"/>
  <c r="H23" i="133"/>
  <c r="G23" i="133"/>
  <c r="E23" i="133"/>
  <c r="D23" i="133"/>
  <c r="E17" i="138"/>
  <c r="K17" i="138"/>
  <c r="C23" i="140"/>
  <c r="C22" i="140"/>
  <c r="C21" i="140"/>
  <c r="C20" i="140"/>
  <c r="C19" i="140"/>
  <c r="C18" i="140"/>
  <c r="C23" i="152"/>
  <c r="C22" i="152"/>
  <c r="C21" i="152"/>
  <c r="C20" i="152"/>
  <c r="C19" i="152"/>
  <c r="C18" i="152"/>
  <c r="C23" i="154"/>
  <c r="C22" i="154"/>
  <c r="C21" i="154"/>
  <c r="C20" i="154"/>
  <c r="C19" i="154"/>
  <c r="C18" i="154"/>
  <c r="E2" i="138"/>
  <c r="R15" i="138" s="1"/>
  <c r="E2" i="153"/>
  <c r="Q25" i="153" s="1"/>
  <c r="Q18" i="153"/>
  <c r="E2" i="155"/>
  <c r="P12" i="155" s="1"/>
  <c r="C2" i="155"/>
  <c r="O6" i="155" s="1"/>
  <c r="B2" i="155"/>
  <c r="N5" i="155" s="1"/>
  <c r="N12" i="155"/>
  <c r="B12" i="155" s="1"/>
  <c r="P6" i="155"/>
  <c r="H2" i="155"/>
  <c r="D2" i="155"/>
  <c r="O12" i="155" s="1"/>
  <c r="O5" i="155"/>
  <c r="C2" i="154"/>
  <c r="M9" i="154" s="1"/>
  <c r="M20" i="154" s="1"/>
  <c r="B2" i="154"/>
  <c r="L5" i="154" s="1"/>
  <c r="L6" i="154"/>
  <c r="D17" i="154" s="1"/>
  <c r="C17" i="154" s="1"/>
  <c r="F2" i="154"/>
  <c r="E2" i="154"/>
  <c r="N7" i="154" s="1"/>
  <c r="C2" i="153"/>
  <c r="P8" i="153"/>
  <c r="B2" i="153"/>
  <c r="Q8" i="153"/>
  <c r="G2" i="153"/>
  <c r="D2" i="153"/>
  <c r="P16" i="153" s="1"/>
  <c r="B2" i="140"/>
  <c r="L6" i="140"/>
  <c r="N6" i="149" s="1"/>
  <c r="C2" i="152"/>
  <c r="M9" i="152" s="1"/>
  <c r="M20" i="152" s="1"/>
  <c r="B2" i="152"/>
  <c r="L6" i="152" s="1"/>
  <c r="L5" i="152"/>
  <c r="D16" i="152" s="1"/>
  <c r="C16" i="152" s="1"/>
  <c r="F2" i="152"/>
  <c r="E2" i="152"/>
  <c r="N18" i="152" s="1"/>
  <c r="N9" i="152"/>
  <c r="C2" i="140"/>
  <c r="M9" i="140" s="1"/>
  <c r="M20" i="140" s="1"/>
  <c r="M7" i="140"/>
  <c r="M18" i="140" s="1"/>
  <c r="D2" i="138"/>
  <c r="P6" i="138" s="1"/>
  <c r="C2" i="138"/>
  <c r="P14" i="138" s="1"/>
  <c r="B2" i="138"/>
  <c r="C16" i="138" s="1"/>
  <c r="Q8" i="138"/>
  <c r="F2" i="140"/>
  <c r="E2" i="140"/>
  <c r="O18" i="140" s="1"/>
  <c r="E2" i="134"/>
  <c r="E8" i="134"/>
  <c r="G2" i="138"/>
  <c r="R15" i="153"/>
  <c r="Q5" i="138"/>
  <c r="R25" i="138"/>
  <c r="Q14" i="138"/>
  <c r="R21" i="138"/>
  <c r="Q20" i="138"/>
  <c r="Q23" i="153"/>
  <c r="Q17" i="138"/>
  <c r="M5" i="152"/>
  <c r="M16" i="152"/>
  <c r="L10" i="140"/>
  <c r="L21" i="140"/>
  <c r="B26" i="140" s="1"/>
  <c r="P17" i="153"/>
  <c r="M5" i="140"/>
  <c r="M16" i="140" s="1"/>
  <c r="O16" i="153"/>
  <c r="B16" i="153" s="1"/>
  <c r="O19" i="153"/>
  <c r="B19" i="153" s="1"/>
  <c r="C19" i="153" s="1"/>
  <c r="O6" i="153"/>
  <c r="D20" i="153" s="1"/>
  <c r="O24" i="153"/>
  <c r="B24" i="153" s="1"/>
  <c r="C24" i="153" s="1"/>
  <c r="O25" i="153"/>
  <c r="B25" i="153" s="1"/>
  <c r="C25" i="153" s="1"/>
  <c r="O7" i="153"/>
  <c r="D25" i="153" s="1"/>
  <c r="O22" i="138"/>
  <c r="B22" i="138" s="1"/>
  <c r="C22" i="138" s="1"/>
  <c r="O16" i="138"/>
  <c r="B16" i="138" s="1"/>
  <c r="Q17" i="153"/>
  <c r="R22" i="153"/>
  <c r="R17" i="153"/>
  <c r="R24" i="153"/>
  <c r="R18" i="138"/>
  <c r="P23" i="138"/>
  <c r="H13" i="138"/>
  <c r="R23" i="138"/>
  <c r="O14" i="153"/>
  <c r="B14" i="153"/>
  <c r="C14" i="153" s="1"/>
  <c r="M8" i="154"/>
  <c r="M19" i="154" s="1"/>
  <c r="Q22" i="138"/>
  <c r="O8" i="153"/>
  <c r="G8" i="149"/>
  <c r="P15" i="153"/>
  <c r="L10" i="152"/>
  <c r="D26" i="152" s="1"/>
  <c r="C26" i="152" s="1"/>
  <c r="R17" i="138"/>
  <c r="Q6" i="138"/>
  <c r="L7" i="152"/>
  <c r="J6" i="149" s="1"/>
  <c r="L9" i="152"/>
  <c r="L20" i="152" s="1"/>
  <c r="B25" i="152" s="1"/>
  <c r="D26" i="140"/>
  <c r="C26" i="140" s="1"/>
  <c r="P17" i="138"/>
  <c r="O6" i="138"/>
  <c r="C10" i="134" s="1"/>
  <c r="R20" i="138"/>
  <c r="Q19" i="138"/>
  <c r="M6" i="140"/>
  <c r="M17" i="140" s="1"/>
  <c r="Q7" i="138"/>
  <c r="P21" i="138"/>
  <c r="P19" i="138"/>
  <c r="P18" i="138"/>
  <c r="P20" i="138"/>
  <c r="P15" i="138"/>
  <c r="P25" i="138"/>
  <c r="P22" i="138"/>
  <c r="P7" i="138"/>
  <c r="P5" i="138"/>
  <c r="Q12" i="155"/>
  <c r="P5" i="155"/>
  <c r="P21" i="153"/>
  <c r="P7" i="153"/>
  <c r="P19" i="153"/>
  <c r="P23" i="153"/>
  <c r="P14" i="153"/>
  <c r="P18" i="153"/>
  <c r="P24" i="153"/>
  <c r="P20" i="153"/>
  <c r="P6" i="153"/>
  <c r="N5" i="140"/>
  <c r="O17" i="140"/>
  <c r="Q21" i="153"/>
  <c r="Q5" i="153"/>
  <c r="O17" i="153"/>
  <c r="B17" i="153"/>
  <c r="C17" i="153" s="1"/>
  <c r="O5" i="153"/>
  <c r="C12" i="134" s="1"/>
  <c r="O22" i="153"/>
  <c r="B22" i="153"/>
  <c r="C22" i="153"/>
  <c r="R19" i="153"/>
  <c r="Q15" i="153"/>
  <c r="R19" i="138"/>
  <c r="R22" i="138"/>
  <c r="Q6" i="153"/>
  <c r="R14" i="138"/>
  <c r="R14" i="153"/>
  <c r="L8" i="152"/>
  <c r="D24" i="152" s="1"/>
  <c r="C24" i="152" s="1"/>
  <c r="L19" i="152"/>
  <c r="B24" i="152"/>
  <c r="O23" i="138"/>
  <c r="B23" i="138"/>
  <c r="C23" i="138" s="1"/>
  <c r="O20" i="153"/>
  <c r="B20" i="153" s="1"/>
  <c r="C20" i="153" s="1"/>
  <c r="M7" i="152"/>
  <c r="M18" i="152"/>
  <c r="Q23" i="138"/>
  <c r="Q19" i="153"/>
  <c r="R24" i="138"/>
  <c r="R16" i="138"/>
  <c r="R18" i="153"/>
  <c r="Q18" i="138"/>
  <c r="R20" i="153"/>
  <c r="R23" i="153"/>
  <c r="O23" i="153"/>
  <c r="B23" i="153" s="1"/>
  <c r="C23" i="153" s="1"/>
  <c r="Q7" i="153"/>
  <c r="Q21" i="138"/>
  <c r="R25" i="153"/>
  <c r="Q24" i="138"/>
  <c r="R16" i="153"/>
  <c r="Q22" i="153"/>
  <c r="O8" i="138"/>
  <c r="L8" i="149" s="1"/>
  <c r="O18" i="153"/>
  <c r="B18" i="153" s="1"/>
  <c r="C18" i="153" s="1"/>
  <c r="Q20" i="153"/>
  <c r="R21" i="153"/>
  <c r="H13" i="153"/>
  <c r="Q16" i="153"/>
  <c r="O15" i="153"/>
  <c r="B15" i="153" s="1"/>
  <c r="C15" i="153" s="1"/>
  <c r="Q15" i="138"/>
  <c r="Q25" i="138"/>
  <c r="M6" i="152"/>
  <c r="M17" i="152"/>
  <c r="E23" i="140"/>
  <c r="M10" i="152"/>
  <c r="M21" i="152"/>
  <c r="Q14" i="153"/>
  <c r="Q24" i="153"/>
  <c r="M8" i="152"/>
  <c r="M19" i="152"/>
  <c r="E19" i="153"/>
  <c r="K19" i="153"/>
  <c r="E17" i="153"/>
  <c r="K17" i="153"/>
  <c r="E24" i="153"/>
  <c r="K24" i="153" s="1"/>
  <c r="D16" i="153"/>
  <c r="D14" i="153"/>
  <c r="D17" i="153"/>
  <c r="E22" i="138"/>
  <c r="K22" i="138"/>
  <c r="E19" i="140"/>
  <c r="E23" i="138"/>
  <c r="K23" i="138" s="1"/>
  <c r="E14" i="153"/>
  <c r="K14" i="153"/>
  <c r="E18" i="140"/>
  <c r="E15" i="153"/>
  <c r="K15" i="153" s="1"/>
  <c r="E12" i="134" s="1"/>
  <c r="E18" i="152"/>
  <c r="E20" i="140"/>
  <c r="E22" i="152"/>
  <c r="E21" i="138"/>
  <c r="K21" i="138"/>
  <c r="E25" i="138"/>
  <c r="K25" i="138" s="1"/>
  <c r="F16" i="155"/>
  <c r="G16" i="155"/>
  <c r="E23" i="152"/>
  <c r="E22" i="153"/>
  <c r="K22" i="153"/>
  <c r="E19" i="152"/>
  <c r="V6" i="133"/>
  <c r="F15" i="155"/>
  <c r="G15" i="155" s="1"/>
  <c r="D17" i="140"/>
  <c r="C17" i="140"/>
  <c r="H6" i="149"/>
  <c r="L16" i="152"/>
  <c r="B16" i="152" s="1"/>
  <c r="E16" i="153"/>
  <c r="K16" i="153"/>
  <c r="E21" i="140"/>
  <c r="N20" i="152"/>
  <c r="D19" i="153"/>
  <c r="D18" i="153"/>
  <c r="N17" i="154"/>
  <c r="L8" i="140"/>
  <c r="L5" i="140"/>
  <c r="L9" i="140"/>
  <c r="L20" i="140" s="1"/>
  <c r="B25" i="140" s="1"/>
  <c r="O21" i="153"/>
  <c r="B21" i="153" s="1"/>
  <c r="C21" i="153" s="1"/>
  <c r="E22" i="140"/>
  <c r="N19" i="152"/>
  <c r="L7" i="140"/>
  <c r="O6" i="149" s="1"/>
  <c r="D15" i="153"/>
  <c r="C13" i="134"/>
  <c r="P5" i="153"/>
  <c r="N7" i="152"/>
  <c r="N5" i="152"/>
  <c r="N8" i="152"/>
  <c r="L19" i="140"/>
  <c r="B24" i="140"/>
  <c r="D24" i="140"/>
  <c r="C24" i="140"/>
  <c r="D25" i="140"/>
  <c r="C25" i="140" s="1"/>
  <c r="L16" i="140"/>
  <c r="B16" i="140" s="1"/>
  <c r="D16" i="140"/>
  <c r="C16" i="140"/>
  <c r="M6" i="149"/>
  <c r="C16" i="153" l="1"/>
  <c r="L17" i="152"/>
  <c r="B17" i="152" s="1"/>
  <c r="I6" i="149"/>
  <c r="D17" i="152"/>
  <c r="C17" i="152" s="1"/>
  <c r="C12" i="155"/>
  <c r="C6" i="149"/>
  <c r="L16" i="154"/>
  <c r="B16" i="154" s="1"/>
  <c r="D16" i="154"/>
  <c r="C16" i="154" s="1"/>
  <c r="D12" i="155"/>
  <c r="C15" i="134"/>
  <c r="E14" i="134"/>
  <c r="E11" i="134"/>
  <c r="C13" i="155"/>
  <c r="N16" i="154"/>
  <c r="V7" i="133"/>
  <c r="V13" i="133" s="1"/>
  <c r="D6" i="149"/>
  <c r="O18" i="154"/>
  <c r="N19" i="154"/>
  <c r="O20" i="138"/>
  <c r="B20" i="138" s="1"/>
  <c r="C20" i="138" s="1"/>
  <c r="N5" i="154"/>
  <c r="P24" i="138"/>
  <c r="M5" i="154"/>
  <c r="M16" i="154" s="1"/>
  <c r="E18" i="138"/>
  <c r="K18" i="138" s="1"/>
  <c r="E9" i="134" s="1"/>
  <c r="F15" i="154"/>
  <c r="O20" i="154"/>
  <c r="L17" i="154"/>
  <c r="B17" i="154" s="1"/>
  <c r="P16" i="138"/>
  <c r="N6" i="154"/>
  <c r="O21" i="140"/>
  <c r="O21" i="138"/>
  <c r="B21" i="138" s="1"/>
  <c r="O16" i="154"/>
  <c r="D25" i="152"/>
  <c r="C25" i="152" s="1"/>
  <c r="L9" i="154"/>
  <c r="N6" i="155"/>
  <c r="B8" i="149" s="1"/>
  <c r="M6" i="154"/>
  <c r="M17" i="154" s="1"/>
  <c r="O24" i="138"/>
  <c r="B24" i="138" s="1"/>
  <c r="D23" i="153"/>
  <c r="O19" i="154"/>
  <c r="L7" i="154"/>
  <c r="N6" i="140"/>
  <c r="N10" i="140"/>
  <c r="N17" i="140"/>
  <c r="O25" i="138"/>
  <c r="B25" i="138" s="1"/>
  <c r="C25" i="138" s="1"/>
  <c r="N9" i="140"/>
  <c r="D22" i="153"/>
  <c r="L8" i="154"/>
  <c r="O15" i="138"/>
  <c r="B15" i="138" s="1"/>
  <c r="C15" i="138" s="1"/>
  <c r="D21" i="153"/>
  <c r="D24" i="153"/>
  <c r="P8" i="138"/>
  <c r="O5" i="138"/>
  <c r="D20" i="138"/>
  <c r="C24" i="138"/>
  <c r="N6" i="152"/>
  <c r="M8" i="140"/>
  <c r="M19" i="140" s="1"/>
  <c r="N10" i="152"/>
  <c r="O19" i="140"/>
  <c r="M7" i="154"/>
  <c r="M18" i="154" s="1"/>
  <c r="N17" i="152"/>
  <c r="F15" i="152"/>
  <c r="F15" i="140"/>
  <c r="N16" i="152"/>
  <c r="P25" i="153"/>
  <c r="Q16" i="138"/>
  <c r="C17" i="138"/>
  <c r="C14" i="134"/>
  <c r="D18" i="140"/>
  <c r="O17" i="152"/>
  <c r="O17" i="154"/>
  <c r="N18" i="140"/>
  <c r="L21" i="152"/>
  <c r="B26" i="152" s="1"/>
  <c r="O20" i="140"/>
  <c r="N8" i="140"/>
  <c r="O14" i="138"/>
  <c r="B14" i="138" s="1"/>
  <c r="C14" i="138" s="1"/>
  <c r="O19" i="152"/>
  <c r="M10" i="140"/>
  <c r="M21" i="140" s="1"/>
  <c r="C21" i="138"/>
  <c r="O18" i="138"/>
  <c r="B18" i="138" s="1"/>
  <c r="C18" i="138" s="1"/>
  <c r="N21" i="140"/>
  <c r="L18" i="140"/>
  <c r="B18" i="140" s="1"/>
  <c r="L17" i="140"/>
  <c r="B17" i="140" s="1"/>
  <c r="N19" i="140"/>
  <c r="P22" i="153"/>
  <c r="O16" i="152"/>
  <c r="N9" i="154"/>
  <c r="F13" i="155"/>
  <c r="G13" i="155" s="1"/>
  <c r="O21" i="152"/>
  <c r="N20" i="140"/>
  <c r="O7" i="138"/>
  <c r="O17" i="138"/>
  <c r="B17" i="138" s="1"/>
  <c r="L18" i="152"/>
  <c r="B18" i="152" s="1"/>
  <c r="N20" i="154"/>
  <c r="O16" i="140"/>
  <c r="N21" i="152"/>
  <c r="D18" i="152"/>
  <c r="O20" i="152"/>
  <c r="N18" i="154"/>
  <c r="N16" i="140"/>
  <c r="O19" i="138"/>
  <c r="B19" i="138" s="1"/>
  <c r="C19" i="138" s="1"/>
  <c r="O18" i="152"/>
  <c r="N8" i="154"/>
  <c r="N7" i="140"/>
  <c r="D24" i="138" l="1"/>
  <c r="D23" i="138"/>
  <c r="D22" i="138"/>
  <c r="D25" i="138"/>
  <c r="C11" i="134"/>
  <c r="D21" i="138"/>
  <c r="D17" i="138"/>
  <c r="D16" i="138"/>
  <c r="D19" i="138"/>
  <c r="D15" i="138"/>
  <c r="C9" i="134"/>
  <c r="D18" i="138"/>
  <c r="D14" i="138"/>
  <c r="C14" i="155"/>
  <c r="E6" i="149"/>
  <c r="D18" i="154"/>
  <c r="L18" i="154"/>
  <c r="B18" i="154" s="1"/>
  <c r="L19" i="154"/>
  <c r="B24" i="154" s="1"/>
  <c r="C15" i="155"/>
  <c r="D24" i="154"/>
  <c r="C24" i="154" s="1"/>
  <c r="C16" i="155"/>
  <c r="L20" i="154"/>
  <c r="B25" i="154" s="1"/>
  <c r="D25" i="154"/>
  <c r="C25" i="154" s="1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<sst xmlns="http://schemas.openxmlformats.org/spreadsheetml/2006/main" count="632" uniqueCount="190">
  <si>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</si>
  <si>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</si>
  <si>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</si>
  <si>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</si>
  <si>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</si>
  <si>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</si>
  <si>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</si>
  <si>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</si>
  <si>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</si>
  <si>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</si>
  <si>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</si>
  <si>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</si>
  <si>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</si>
  <si>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</si>
  <si>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</si>
  <si>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</si>
  <si>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</si>
  <si>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</si>
  <si>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</si>
  <si>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</si>
  <si>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</si>
  <si>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</si>
  <si>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</si>
  <si>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</si>
  <si>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</si>
  <si>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</si>
  <si>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</si>
  <si>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</si>
  <si>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</si>
  <si>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</si>
  <si>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</si>
  <si>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</si>
  <si>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</si>
  <si>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</si>
  <si>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</si>
  <si>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</si>
  <si>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</si>
  <si>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</si>
  <si>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</si>
  <si>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</si>
  <si>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</si>
  <si>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</si>
  <si>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</si>
  <si>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</si>
  <si>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</si>
  <si>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</si>
  <si>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</si>
  <si>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</si>
  <si>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</si>
  <si>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</si>
  <si>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</si>
  <si>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</si>
  <si>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</si>
  <si>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</si>
  <si>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</si>
  <si>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</si>
  <si>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</si>
  <si>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</si>
  <si>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</si>
  <si>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</si>
  <si>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</si>
  <si>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</si>
  <si>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</si>
  <si>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</si>
  <si>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</si>
  <si>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</si>
  <si>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</si>
  <si>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</si>
  <si>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</si>
  <si>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</si>
  <si>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</si>
  <si>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</si>
  <si>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</si>
  <si>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</si>
  <si>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</si>
  <si>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</si>
  <si>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</si>
  <si>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</si>
  <si>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</si>
  <si>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</si>
  <si>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</si>
  <si>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</si>
  <si>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</si>
  <si>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</si>
  <si>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</si>
  <si>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</si>
  <si>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</si>
  <si>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</si>
  <si>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</si>
  <si>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</si>
  <si>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</si>
  <si>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</si>
  <si>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Remaining Lifetime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</si>
  <si>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</si>
  <si>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</si>
  <si>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</si>
  <si>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</si>
  <si>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</si>
  <si>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</si>
  <si>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</si>
  <si>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</si>
  <si>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</si>
  <si>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SH</t>
  </si>
  <si>
    <t>AP</t>
  </si>
  <si>
    <t>OT</t>
  </si>
  <si>
    <t>Space Heating</t>
  </si>
  <si>
    <t>Appliancens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</si>
  <si>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</si>
  <si>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</si>
  <si>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</si>
  <si>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</si>
  <si>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</si>
  <si>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</si>
  <si>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</si>
  <si>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</si>
  <si>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</si>
  <si>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</si>
  <si>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</si>
  <si>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</si>
  <si>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</si>
  <si>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</si>
  <si>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Capacity unit</t>
  </si>
  <si>
    <t>GW</t>
  </si>
  <si>
    <t>Capacity to Activity Factor</t>
  </si>
  <si>
    <t>SD</t>
  </si>
  <si>
    <t>SN</t>
  </si>
  <si>
    <t>WD</t>
  </si>
  <si>
    <t>WN</t>
  </si>
  <si>
    <t>DAYNITE</t>
  </si>
  <si>
    <t>REG2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</si>
  <si>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</si>
  <si>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</si>
  <si>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</si>
  <si>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</si>
  <si>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</si>
  <si>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</si>
  <si>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</si>
  <si>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</si>
  <si>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</si>
  <si>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</si>
  <si>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</si>
  <si>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</si>
  <si>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</si>
  <si>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</si>
  <si>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Pja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</si>
  <si>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</si>
  <si>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</si>
  <si>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</si>
  <si>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</si>
  <si>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</si>
  <si>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</si>
  <si>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</si>
  <si>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</si>
  <si>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</si>
  <si>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</si>
  <si>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</si>
  <si>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</si>
  <si>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</si>
  <si>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TOT</t>
  </si>
  <si>
    <t>Production</t>
  </si>
  <si>
    <t>Dynamic coefficients for combustion emissions in agriculture, residential and comemrcial</t>
  </si>
  <si>
    <t>Relaxation factor</t>
  </si>
  <si>
    <t>Share-I~2050~UP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</si>
  <si>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</si>
  <si>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</si>
  <si>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</si>
  <si>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</si>
  <si>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</si>
  <si>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</si>
  <si>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</si>
  <si>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</si>
  <si>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Demand Sectors: Agriculture, Commercial and Residential</t>
  </si>
  <si>
    <t>Lifetime</t>
  </si>
  <si>
    <t>CAP2ACT</t>
  </si>
  <si>
    <t>RD</t>
  </si>
  <si>
    <t>RN</t>
  </si>
  <si>
    <t>RP</t>
  </si>
  <si>
    <t>SP</t>
  </si>
  <si>
    <t>FD</t>
  </si>
  <si>
    <t>FN</t>
  </si>
  <si>
    <t>FP</t>
  </si>
  <si>
    <t>WP</t>
  </si>
  <si>
    <t>DRSH</t>
  </si>
  <si>
    <t>DRAP</t>
  </si>
  <si>
    <t>DROT</t>
  </si>
  <si>
    <t>DCSH</t>
  </si>
  <si>
    <t>DCAP</t>
  </si>
  <si>
    <t>DCOT</t>
  </si>
  <si>
    <t>*Demand Commodity Name</t>
  </si>
  <si>
    <t>~FI_T:COM_FR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</si>
</sst>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7" formatCode="General_)"/>
    <numFmt numFmtId="194" formatCode="0.000000"/>
    <numFmt numFmtId="195" formatCode="\Te\x\t"/>
  </numFmts>
  <fonts count="33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8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6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9" applyNumberFormat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0" fontId="21" fillId="10" borderId="0" applyNumberFormat="0" applyBorder="0" applyAlignment="0" applyProtection="0"/>
    <xf numFmtId="0" fontId="22" fillId="11" borderId="19" applyNumberFormat="0" applyAlignment="0" applyProtection="0"/>
    <xf numFmtId="171" fontId="17" fillId="0" borderId="0" applyFont="0" applyFill="0" applyBorder="0" applyAlignment="0" applyProtection="0"/>
    <xf numFmtId="0" fontId="23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72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7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9" fillId="8" borderId="0" xfId="5"/>
    <xf numFmtId="0" fontId="24" fillId="0" borderId="0" xfId="10" applyFont="1" applyFill="1"/>
    <xf numFmtId="0" fontId="24" fillId="13" borderId="0" xfId="10" applyFont="1" applyFill="1"/>
    <xf numFmtId="0" fontId="4" fillId="0" borderId="0" xfId="13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5" fillId="4" borderId="3" xfId="1" applyFont="1" applyBorder="1" applyAlignment="1">
      <alignment horizontal="center" wrapText="1"/>
    </xf>
    <xf numFmtId="0" fontId="26" fillId="0" borderId="0" xfId="0" applyFont="1" applyFill="1" applyBorder="1"/>
    <xf numFmtId="0" fontId="25" fillId="4" borderId="3" xfId="1" applyFont="1" applyBorder="1" applyAlignment="1">
      <alignment horizontal="left" wrapText="1"/>
    </xf>
    <xf numFmtId="0" fontId="25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7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4" fillId="13" borderId="0" xfId="10" applyFont="1" applyFill="1" applyAlignment="1">
      <alignment wrapText="1"/>
    </xf>
    <xf numFmtId="0" fontId="0" fillId="0" borderId="0" xfId="0" applyFill="1" applyAlignment="1">
      <alignment wrapText="1"/>
    </xf>
    <xf numFmtId="0" fontId="27" fillId="0" borderId="0" xfId="0" applyFont="1"/>
    <xf numFmtId="0" fontId="4" fillId="0" borderId="0" xfId="0" applyFont="1" applyBorder="1"/>
    <xf numFmtId="9" fontId="26" fillId="0" borderId="0" xfId="22" applyFont="1" applyBorder="1" applyAlignment="1"/>
    <xf numFmtId="0" fontId="19" fillId="8" borderId="0" xfId="5" applyAlignment="1">
      <alignment wrapText="1"/>
    </xf>
    <xf numFmtId="0" fontId="0" fillId="0" borderId="2" xfId="0" applyBorder="1"/>
    <xf numFmtId="0" fontId="3" fillId="0" borderId="0" xfId="0" applyFont="1"/>
    <xf numFmtId="0" fontId="4" fillId="0" borderId="0" xfId="14"/>
    <xf numFmtId="0" fontId="4" fillId="0" borderId="0" xfId="14" applyFont="1"/>
    <xf numFmtId="0" fontId="4" fillId="0" borderId="0" xfId="14" applyFill="1"/>
    <xf numFmtId="0" fontId="4" fillId="0" borderId="0" xfId="14" applyFill="1" applyBorder="1"/>
    <xf numFmtId="0" fontId="4" fillId="0" borderId="0" xfId="14" applyBorder="1"/>
    <xf numFmtId="0" fontId="4" fillId="0" borderId="0" xfId="14" applyFill="1" applyBorder="1" applyAlignment="1">
      <alignment wrapText="1"/>
    </xf>
    <xf numFmtId="0" fontId="4" fillId="0" borderId="0" xfId="14" applyFont="1" applyBorder="1"/>
    <xf numFmtId="0" fontId="0" fillId="0" borderId="0" xfId="0" applyFill="1" applyBorder="1"/>
    <xf numFmtId="0" fontId="4" fillId="0" borderId="4" xfId="0" applyFont="1" applyFill="1" applyBorder="1"/>
    <xf numFmtId="0" fontId="4" fillId="0" borderId="2" xfId="0" applyFont="1" applyBorder="1"/>
    <xf numFmtId="1" fontId="28" fillId="14" borderId="0" xfId="2" applyNumberFormat="1" applyFont="1" applyFill="1" applyBorder="1" applyAlignment="1">
      <alignment horizontal="right" wrapText="1"/>
    </xf>
    <xf numFmtId="0" fontId="19" fillId="0" borderId="0" xfId="5" applyFill="1"/>
    <xf numFmtId="0" fontId="5" fillId="0" borderId="0" xfId="0" applyFont="1" applyFill="1" applyAlignment="1">
      <alignment horizontal="left"/>
    </xf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2" borderId="3" xfId="17" applyFont="1" applyFill="1" applyBorder="1" applyAlignment="1">
      <alignment horizontal="left" vertical="center"/>
    </xf>
    <xf numFmtId="0" fontId="25" fillId="0" borderId="0" xfId="2" applyFont="1" applyFill="1" applyBorder="1" applyAlignment="1">
      <alignment wrapText="1"/>
    </xf>
    <xf numFmtId="0" fontId="29" fillId="0" borderId="0" xfId="0" applyFont="1" applyFill="1"/>
    <xf numFmtId="0" fontId="24" fillId="13" borderId="0" xfId="10" applyFont="1" applyFill="1" applyAlignment="1">
      <alignment horizontal="left"/>
    </xf>
    <xf numFmtId="0" fontId="29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29" fillId="15" borderId="0" xfId="0" applyFont="1" applyFill="1"/>
    <xf numFmtId="187" fontId="13" fillId="16" borderId="0" xfId="0" applyNumberFormat="1" applyFont="1" applyFill="1" applyBorder="1" applyAlignment="1">
      <alignment horizontal="left" vertical="center"/>
    </xf>
    <xf numFmtId="0" fontId="0" fillId="17" borderId="0" xfId="0" applyFill="1"/>
    <xf numFmtId="187" fontId="13" fillId="16" borderId="2" xfId="0" applyNumberFormat="1" applyFont="1" applyFill="1" applyBorder="1" applyAlignment="1">
      <alignment horizontal="left" vertical="center"/>
    </xf>
    <xf numFmtId="1" fontId="0" fillId="16" borderId="2" xfId="0" applyNumberFormat="1" applyFill="1" applyBorder="1" applyAlignment="1"/>
    <xf numFmtId="1" fontId="22" fillId="11" borderId="0" xfId="11" applyNumberFormat="1" applyBorder="1" applyAlignment="1"/>
    <xf numFmtId="1" fontId="20" fillId="9" borderId="5" xfId="6" applyNumberFormat="1" applyBorder="1" applyAlignment="1">
      <alignment horizontal="right"/>
    </xf>
    <xf numFmtId="1" fontId="20" fillId="9" borderId="6" xfId="6" applyNumberFormat="1" applyBorder="1" applyAlignment="1">
      <alignment horizontal="right"/>
    </xf>
    <xf numFmtId="187" fontId="20" fillId="9" borderId="7" xfId="6" applyNumberFormat="1" applyBorder="1" applyAlignment="1">
      <alignment horizontal="right" vertical="center"/>
    </xf>
    <xf numFmtId="187" fontId="13" fillId="16" borderId="8" xfId="0" applyNumberFormat="1" applyFont="1" applyFill="1" applyBorder="1" applyAlignment="1">
      <alignment horizontal="left" vertical="center"/>
    </xf>
    <xf numFmtId="187" fontId="13" fillId="16" borderId="9" xfId="0" applyNumberFormat="1" applyFont="1" applyFill="1" applyBorder="1" applyAlignment="1">
      <alignment horizontal="left" vertical="center"/>
    </xf>
    <xf numFmtId="187" fontId="13" fillId="16" borderId="10" xfId="0" applyNumberFormat="1" applyFont="1" applyFill="1" applyBorder="1" applyAlignment="1">
      <alignment horizontal="left" vertical="center"/>
    </xf>
    <xf numFmtId="187" fontId="13" fillId="16" borderId="1" xfId="0" applyNumberFormat="1" applyFont="1" applyFill="1" applyBorder="1" applyAlignment="1">
      <alignment horizontal="left" vertical="center"/>
    </xf>
    <xf numFmtId="187" fontId="13" fillId="16" borderId="11" xfId="0" applyNumberFormat="1" applyFont="1" applyFill="1" applyBorder="1" applyAlignment="1">
      <alignment horizontal="left" vertical="center"/>
    </xf>
    <xf numFmtId="187" fontId="13" fillId="16" borderId="12" xfId="0" applyNumberFormat="1" applyFont="1" applyFill="1" applyBorder="1" applyAlignment="1">
      <alignment horizontal="left" vertical="center"/>
    </xf>
    <xf numFmtId="187" fontId="13" fillId="16" borderId="13" xfId="0" applyNumberFormat="1" applyFont="1" applyFill="1" applyBorder="1" applyAlignment="1">
      <alignment horizontal="left" vertical="center"/>
    </xf>
    <xf numFmtId="0" fontId="27" fillId="0" borderId="7" xfId="0" applyFont="1" applyBorder="1" applyAlignment="1">
      <alignment horizontal="center"/>
    </xf>
    <xf numFmtId="187" fontId="13" fillId="16" borderId="9" xfId="0" applyNumberFormat="1" applyFont="1" applyFill="1" applyBorder="1" applyAlignment="1">
      <alignment horizontal="center" vertical="center"/>
    </xf>
    <xf numFmtId="187" fontId="13" fillId="16" borderId="10" xfId="0" applyNumberFormat="1" applyFont="1" applyFill="1" applyBorder="1" applyAlignment="1">
      <alignment horizontal="center" vertical="center"/>
    </xf>
    <xf numFmtId="0" fontId="29" fillId="15" borderId="14" xfId="0" applyFont="1" applyFill="1" applyBorder="1" applyAlignment="1">
      <alignment wrapText="1"/>
    </xf>
    <xf numFmtId="0" fontId="29" fillId="15" borderId="6" xfId="0" applyFont="1" applyFill="1" applyBorder="1" applyAlignment="1">
      <alignment wrapText="1"/>
    </xf>
    <xf numFmtId="0" fontId="29" fillId="15" borderId="7" xfId="0" applyFont="1" applyFill="1" applyBorder="1" applyAlignment="1">
      <alignment wrapText="1"/>
    </xf>
    <xf numFmtId="9" fontId="22" fillId="11" borderId="0" xfId="22" applyFont="1" applyFill="1" applyBorder="1" applyAlignment="1"/>
    <xf numFmtId="0" fontId="30" fillId="7" borderId="2" xfId="4" applyFont="1" applyBorder="1" applyAlignment="1">
      <alignment horizontal="left" vertical="center"/>
    </xf>
    <xf numFmtId="1" fontId="0" fillId="18" borderId="0" xfId="0" applyNumberFormat="1" applyFill="1"/>
    <xf numFmtId="0" fontId="0" fillId="18" borderId="0" xfId="0" applyFill="1"/>
    <xf numFmtId="2" fontId="4" fillId="17" borderId="0" xfId="13" applyNumberFormat="1" applyFont="1" applyFill="1"/>
    <xf numFmtId="0" fontId="4" fillId="17" borderId="0" xfId="13" applyFont="1" applyFill="1"/>
    <xf numFmtId="2" fontId="0" fillId="17" borderId="0" xfId="0" applyNumberFormat="1" applyFill="1"/>
    <xf numFmtId="2" fontId="0" fillId="17" borderId="0" xfId="0" applyNumberFormat="1" applyFill="1" applyBorder="1"/>
    <xf numFmtId="0" fontId="4" fillId="17" borderId="0" xfId="14" applyFill="1"/>
    <xf numFmtId="2" fontId="4" fillId="0" borderId="0" xfId="13" applyNumberFormat="1" applyFont="1" applyFill="1"/>
    <xf numFmtId="0" fontId="31" fillId="0" borderId="0" xfId="0" applyFont="1"/>
    <xf numFmtId="0" fontId="3" fillId="19" borderId="0" xfId="0" applyFont="1" applyFill="1"/>
    <xf numFmtId="0" fontId="3" fillId="2" borderId="1" xfId="17" applyFont="1" applyFill="1" applyBorder="1" applyAlignment="1">
      <alignment horizontal="center" vertical="center" wrapText="1"/>
    </xf>
    <xf numFmtId="0" fontId="25" fillId="4" borderId="1" xfId="1" applyFont="1" applyBorder="1" applyAlignment="1">
      <alignment horizontal="center" wrapText="1"/>
    </xf>
    <xf numFmtId="0" fontId="25" fillId="4" borderId="15" xfId="1" applyFont="1" applyBorder="1" applyAlignment="1">
      <alignment horizontal="center" wrapText="1"/>
    </xf>
    <xf numFmtId="0" fontId="3" fillId="2" borderId="1" xfId="18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8" borderId="2" xfId="0" applyNumberFormat="1" applyFill="1" applyBorder="1"/>
    <xf numFmtId="1" fontId="0" fillId="18" borderId="0" xfId="0" applyNumberFormat="1" applyFill="1" applyBorder="1"/>
    <xf numFmtId="0" fontId="0" fillId="0" borderId="0" xfId="0" applyFill="1" applyAlignment="1"/>
    <xf numFmtId="0" fontId="19" fillId="6" borderId="0" xfId="3"/>
    <xf numFmtId="187" fontId="12" fillId="0" borderId="16" xfId="0" applyNumberFormat="1" applyFont="1" applyBorder="1" applyAlignment="1">
      <alignment horizontal="left" vertical="center"/>
    </xf>
    <xf numFmtId="0" fontId="3" fillId="0" borderId="13" xfId="0" applyFont="1" applyBorder="1" applyAlignment="1"/>
    <xf numFmtId="1" fontId="0" fillId="16" borderId="0" xfId="0" applyNumberFormat="1" applyFill="1" applyBorder="1" applyAlignment="1"/>
    <xf numFmtId="1" fontId="3" fillId="16" borderId="12" xfId="0" applyNumberFormat="1" applyFont="1" applyFill="1" applyBorder="1" applyAlignment="1"/>
    <xf numFmtId="1" fontId="3" fillId="16" borderId="13" xfId="0" applyNumberFormat="1" applyFont="1" applyFill="1" applyBorder="1" applyAlignment="1"/>
    <xf numFmtId="0" fontId="25" fillId="4" borderId="5" xfId="1" applyFont="1" applyBorder="1" applyAlignment="1">
      <alignment horizontal="left" wrapText="1"/>
    </xf>
    <xf numFmtId="0" fontId="29" fillId="15" borderId="12" xfId="0" applyFont="1" applyFill="1" applyBorder="1"/>
    <xf numFmtId="0" fontId="0" fillId="0" borderId="12" xfId="0" applyBorder="1"/>
    <xf numFmtId="0" fontId="3" fillId="15" borderId="17" xfId="0" applyFont="1" applyFill="1" applyBorder="1" applyAlignment="1">
      <alignment wrapText="1"/>
    </xf>
    <xf numFmtId="0" fontId="3" fillId="15" borderId="8" xfId="0" applyFont="1" applyFill="1" applyBorder="1" applyAlignment="1">
      <alignment wrapText="1"/>
    </xf>
    <xf numFmtId="187" fontId="13" fillId="16" borderId="17" xfId="0" applyNumberFormat="1" applyFont="1" applyFill="1" applyBorder="1" applyAlignment="1">
      <alignment horizontal="center" vertical="center"/>
    </xf>
    <xf numFmtId="187" fontId="13" fillId="16" borderId="8" xfId="0" applyNumberFormat="1" applyFont="1" applyFill="1" applyBorder="1" applyAlignment="1">
      <alignment horizontal="center" vertical="center"/>
    </xf>
    <xf numFmtId="187" fontId="13" fillId="16" borderId="11" xfId="0" applyNumberFormat="1" applyFont="1" applyFill="1" applyBorder="1" applyAlignment="1">
      <alignment horizontal="center" vertical="center"/>
    </xf>
    <xf numFmtId="187" fontId="13" fillId="16" borderId="18" xfId="0" applyNumberFormat="1" applyFont="1" applyFill="1" applyBorder="1" applyAlignment="1">
      <alignment horizontal="center" vertical="center"/>
    </xf>
    <xf numFmtId="187" fontId="13" fillId="16" borderId="12" xfId="0" applyNumberFormat="1" applyFont="1" applyFill="1" applyBorder="1" applyAlignment="1">
      <alignment horizontal="center" vertical="center"/>
    </xf>
    <xf numFmtId="187" fontId="13" fillId="16" borderId="16" xfId="0" applyNumberFormat="1" applyFont="1" applyFill="1" applyBorder="1" applyAlignment="1">
      <alignment horizontal="center" vertical="center"/>
    </xf>
    <xf numFmtId="187" fontId="13" fillId="16" borderId="13" xfId="0" applyNumberFormat="1" applyFont="1" applyFill="1" applyBorder="1" applyAlignment="1">
      <alignment horizontal="center" vertical="center"/>
    </xf>
    <xf numFmtId="9" fontId="22" fillId="11" borderId="12" xfId="22" applyFont="1" applyFill="1" applyBorder="1" applyAlignment="1"/>
    <xf numFmtId="0" fontId="32" fillId="5" borderId="5" xfId="2" applyFont="1" applyBorder="1" applyAlignment="1">
      <alignment horizontal="center" wrapText="1"/>
    </xf>
    <xf numFmtId="9" fontId="4" fillId="0" borderId="0" xfId="22" applyFont="1" applyFill="1"/>
    <xf numFmtId="9" fontId="13" fillId="16" borderId="2" xfId="22" applyFont="1" applyFill="1" applyBorder="1" applyAlignment="1">
      <alignment horizontal="left" vertical="center"/>
    </xf>
    <xf numFmtId="9" fontId="13" fillId="16" borderId="5" xfId="22" applyFont="1" applyFill="1" applyBorder="1" applyAlignment="1">
      <alignment horizontal="left" vertical="center"/>
    </xf>
    <xf numFmtId="9" fontId="13" fillId="16" borderId="18" xfId="22" applyFont="1" applyFill="1" applyBorder="1" applyAlignment="1">
      <alignment horizontal="left" vertical="center"/>
    </xf>
    <xf numFmtId="9" fontId="13" fillId="16" borderId="0" xfId="22" applyFont="1" applyFill="1" applyBorder="1" applyAlignment="1">
      <alignment horizontal="left" vertical="center"/>
    </xf>
    <xf numFmtId="9" fontId="22" fillId="11" borderId="16" xfId="22" applyFont="1" applyFill="1" applyBorder="1" applyAlignment="1"/>
    <xf numFmtId="9" fontId="22" fillId="11" borderId="2" xfId="22" applyFont="1" applyFill="1" applyBorder="1" applyAlignment="1"/>
    <xf numFmtId="9" fontId="13" fillId="16" borderId="14" xfId="22" applyFont="1" applyFill="1" applyBorder="1" applyAlignment="1">
      <alignment horizontal="left" vertical="center"/>
    </xf>
    <xf numFmtId="9" fontId="13" fillId="16" borderId="6" xfId="22" applyFont="1" applyFill="1" applyBorder="1" applyAlignment="1">
      <alignment horizontal="left" vertical="center"/>
    </xf>
    <xf numFmtId="0" fontId="32" fillId="0" borderId="0" xfId="2" applyFont="1" applyFill="1" applyBorder="1" applyAlignment="1">
      <alignment horizontal="center" wrapText="1"/>
    </xf>
    <xf numFmtId="2" fontId="0" fillId="17" borderId="2" xfId="0" applyNumberFormat="1" applyFill="1" applyBorder="1"/>
    <xf numFmtId="0" fontId="4" fillId="17" borderId="2" xfId="14" applyFill="1" applyBorder="1"/>
    <xf numFmtId="0" fontId="0" fillId="17" borderId="2" xfId="0" applyFill="1" applyBorder="1"/>
    <xf numFmtId="1" fontId="28" fillId="14" borderId="2" xfId="2" applyNumberFormat="1" applyFont="1" applyFill="1" applyBorder="1" applyAlignment="1">
      <alignment horizontal="right" wrapText="1"/>
    </xf>
    <xf numFmtId="0" fontId="0" fillId="0" borderId="5" xfId="0" applyBorder="1"/>
    <xf numFmtId="1" fontId="0" fillId="18" borderId="5" xfId="0" applyNumberFormat="1" applyFill="1" applyBorder="1"/>
    <xf numFmtId="2" fontId="0" fillId="17" borderId="5" xfId="0" applyNumberFormat="1" applyFill="1" applyBorder="1"/>
    <xf numFmtId="0" fontId="0" fillId="17" borderId="5" xfId="0" applyFill="1" applyBorder="1"/>
    <xf numFmtId="1" fontId="28" fillId="14" borderId="5" xfId="2" applyNumberFormat="1" applyFont="1" applyFill="1" applyBorder="1" applyAlignment="1">
      <alignment horizontal="right" wrapText="1"/>
    </xf>
    <xf numFmtId="9" fontId="22" fillId="11" borderId="13" xfId="22" applyFont="1" applyFill="1" applyBorder="1" applyAlignment="1"/>
    <xf numFmtId="1" fontId="3" fillId="2" borderId="3" xfId="17" applyNumberFormat="1" applyFont="1" applyFill="1" applyBorder="1" applyAlignment="1">
      <alignment horizontal="left" vertical="center"/>
    </xf>
    <xf numFmtId="1" fontId="0" fillId="17" borderId="0" xfId="0" applyNumberFormat="1" applyFill="1"/>
    <xf numFmtId="1" fontId="0" fillId="17" borderId="2" xfId="0" applyNumberFormat="1" applyFill="1" applyBorder="1"/>
    <xf numFmtId="1" fontId="0" fillId="17" borderId="5" xfId="0" applyNumberFormat="1" applyFill="1" applyBorder="1"/>
    <xf numFmtId="9" fontId="4" fillId="18" borderId="0" xfId="22" applyFont="1" applyFill="1"/>
    <xf numFmtId="2" fontId="4" fillId="17" borderId="5" xfId="14" applyNumberFormat="1" applyFill="1" applyBorder="1"/>
    <xf numFmtId="2" fontId="4" fillId="17" borderId="0" xfId="14" applyNumberFormat="1" applyFill="1"/>
    <xf numFmtId="0" fontId="25" fillId="4" borderId="3" xfId="1" applyFont="1" applyBorder="1" applyAlignment="1">
      <alignment horizontal="center" wrapText="1"/>
    </xf>
    <xf numFmtId="0" fontId="25" fillId="4" borderId="1" xfId="1" applyFont="1" applyBorder="1" applyAlignment="1">
      <alignment horizontal="left" wrapText="1"/>
    </xf>
    <xf numFmtId="9" fontId="17" fillId="17" borderId="0" xfId="33" applyFont="1" applyFill="1"/>
    <xf numFmtId="0" fontId="21" fillId="10" borderId="0" xfId="10"/>
    <xf numFmtId="9" fontId="21" fillId="10" borderId="0" xfId="10" applyNumberFormat="1" applyAlignment="1">
      <alignment horizontal="left"/>
    </xf>
    <xf numFmtId="0" fontId="3" fillId="15" borderId="14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3" fillId="15" borderId="6" xfId="0" applyFont="1" applyFill="1" applyBorder="1" applyAlignment="1">
      <alignment wrapText="1"/>
    </xf>
    <xf numFmtId="9" fontId="22" fillId="11" borderId="0" xfId="30" applyFont="1" applyFill="1" applyBorder="1" applyAlignment="1"/>
    <xf numFmtId="9" fontId="13" fillId="16" borderId="0" xfId="30" applyFont="1" applyFill="1" applyBorder="1" applyAlignment="1">
      <alignment horizontal="left" vertical="center"/>
    </xf>
    <xf numFmtId="9" fontId="22" fillId="11" borderId="2" xfId="30" applyFont="1" applyFill="1" applyBorder="1" applyAlignment="1"/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5" xfId="0" applyNumberFormat="1" applyFont="1" applyFill="1" applyBorder="1" applyAlignment="1">
      <alignment horizontal="left"/>
    </xf>
    <xf numFmtId="195" fontId="25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5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95" fontId="0" fillId="0" borderId="5" xfId="0" applyNumberFormat="1" applyFill="1" applyBorder="1"/>
    <xf numFmtId="195" fontId="0" fillId="0" borderId="5" xfId="0" applyNumberFormat="1" applyFill="1" applyBorder="1" applyAlignment="1"/>
    <xf numFmtId="0" fontId="25" fillId="4" borderId="3" xfId="1" applyFont="1" applyBorder="1" applyAlignment="1">
      <alignment horizontal="left" wrapText="1"/>
    </xf>
    <xf numFmtId="0" fontId="25" fillId="4" borderId="1" xfId="1" applyFont="1" applyBorder="1" applyAlignment="1">
      <alignment horizontal="left" wrapText="1"/>
    </xf>
    <xf numFmtId="194" fontId="0" fillId="0" borderId="0" xfId="0" applyNumberFormat="1"/>
    <xf numFmtId="0" fontId="3" fillId="13" borderId="1" xfId="0" applyFont="1" applyFill="1" applyBorder="1" applyAlignment="1">
      <alignment vertical="center"/>
    </xf>
    <xf numFmtId="2" fontId="0" fillId="0" borderId="2" xfId="0" applyNumberFormat="1" applyBorder="1"/>
  </cellXfs>
  <cellStyles count="36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/>
    <cellStyle name="Comma 2 2" xfId="8"/>
    <cellStyle name="Comma 2 3" xfId="9"/>
    <cellStyle name="Good" xfId="10" builtinId="26"/>
    <cellStyle name="Input" xfId="11" builtinId="20"/>
    <cellStyle name="Migliaia_tab emissioni" xfId="12"/>
    <cellStyle name="Neutral" xfId="13" builtinId="28"/>
    <cellStyle name="Normal" xfId="0" builtinId="0"/>
    <cellStyle name="Normal 10" xfId="14"/>
    <cellStyle name="Normal 2" xfId="15"/>
    <cellStyle name="Normal 2 3" xfId="16"/>
    <cellStyle name="Normal 4" xfId="17"/>
    <cellStyle name="Normal 4 2" xfId="18"/>
    <cellStyle name="Normal 8" xfId="19"/>
    <cellStyle name="Normal 9 2" xfId="20"/>
    <cellStyle name="Normale_B2020" xfId="21"/>
    <cellStyle name="Percent" xfId="22" builtinId="5"/>
    <cellStyle name="Percent 2" xfId="23"/>
    <cellStyle name="Percent 3" xfId="24"/>
    <cellStyle name="Percent 3 2" xfId="25"/>
    <cellStyle name="Percent 3 3" xfId="26"/>
    <cellStyle name="Percent 4" xfId="27"/>
    <cellStyle name="Percent 4 2" xfId="28"/>
    <cellStyle name="Percent 4 3" xfId="29"/>
    <cellStyle name="Percent 5" xfId="30"/>
    <cellStyle name="Percent 5 2" xfId="31"/>
    <cellStyle name="Percent 5 3" xfId="32"/>
    <cellStyle name="Percent 6" xfId="33"/>
    <cellStyle name="Percent 7" xfId="34"/>
    <cellStyle name="Standard_Sce_D_Extraction" xfId="3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61640" name="Picture 6">
          <a:extLst>
            <a:ext uri="{FF2B5EF4-FFF2-40B4-BE49-F238E27FC236}">
              <a16:creationId xmlns:a16="http://schemas.microsoft.com/office/drawing/2014/main" id="{8968D4A4-26CB-4312-A7EE-8FEEF71E7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10</xdr:col>
      <xdr:colOff>9525</xdr:colOff>
      <xdr:row>127</xdr:row>
      <xdr:rowOff>133350</xdr:rowOff>
    </xdr:to>
    <xdr:pic>
      <xdr:nvPicPr>
        <xdr:cNvPr id="61641" name="Picture 8">
          <a:extLst>
            <a:ext uri="{FF2B5EF4-FFF2-40B4-BE49-F238E27FC236}">
              <a16:creationId xmlns:a16="http://schemas.microsoft.com/office/drawing/2014/main" id="{9357522C-4923-4645-A31E-E559CD086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6</xdr:row>
      <xdr:rowOff>0</xdr:rowOff>
    </xdr:from>
    <xdr:to>
      <xdr:col>8</xdr:col>
      <xdr:colOff>533400</xdr:colOff>
      <xdr:row>14</xdr:row>
      <xdr:rowOff>66675</xdr:rowOff>
    </xdr:to>
    <xdr:pic>
      <xdr:nvPicPr>
        <xdr:cNvPr id="61642" name="Picture 3">
          <a:extLst>
            <a:ext uri="{FF2B5EF4-FFF2-40B4-BE49-F238E27FC236}">
              <a16:creationId xmlns:a16="http://schemas.microsoft.com/office/drawing/2014/main" id="{5B9C3F23-7A13-4782-816A-37CDA8F5D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038225"/>
          <a:ext cx="29527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142875</xdr:rowOff>
    </xdr:from>
    <xdr:to>
      <xdr:col>9</xdr:col>
      <xdr:colOff>38100</xdr:colOff>
      <xdr:row>47</xdr:row>
      <xdr:rowOff>104775</xdr:rowOff>
    </xdr:to>
    <xdr:pic>
      <xdr:nvPicPr>
        <xdr:cNvPr id="61643" name="Picture 4">
          <a:extLst>
            <a:ext uri="{FF2B5EF4-FFF2-40B4-BE49-F238E27FC236}">
              <a16:creationId xmlns:a16="http://schemas.microsoft.com/office/drawing/2014/main" id="{9649E6C3-EFE8-4DA7-918B-8D24C8B51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933825"/>
          <a:ext cx="308610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47</xdr:row>
      <xdr:rowOff>114300</xdr:rowOff>
    </xdr:from>
    <xdr:to>
      <xdr:col>7</xdr:col>
      <xdr:colOff>495300</xdr:colOff>
      <xdr:row>57</xdr:row>
      <xdr:rowOff>19050</xdr:rowOff>
    </xdr:to>
    <xdr:pic>
      <xdr:nvPicPr>
        <xdr:cNvPr id="61644" name="Picture 5">
          <a:extLst>
            <a:ext uri="{FF2B5EF4-FFF2-40B4-BE49-F238E27FC236}">
              <a16:creationId xmlns:a16="http://schemas.microsoft.com/office/drawing/2014/main" id="{F6D02948-46B8-4C5B-8CFA-9153A9283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791450"/>
          <a:ext cx="23241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57</xdr:row>
      <xdr:rowOff>19050</xdr:rowOff>
    </xdr:from>
    <xdr:to>
      <xdr:col>8</xdr:col>
      <xdr:colOff>561975</xdr:colOff>
      <xdr:row>78</xdr:row>
      <xdr:rowOff>47625</xdr:rowOff>
    </xdr:to>
    <xdr:pic>
      <xdr:nvPicPr>
        <xdr:cNvPr id="61645" name="Picture 6">
          <a:extLst>
            <a:ext uri="{FF2B5EF4-FFF2-40B4-BE49-F238E27FC236}">
              <a16:creationId xmlns:a16="http://schemas.microsoft.com/office/drawing/2014/main" id="{F497C76F-F474-4A5E-A9AF-3F0CBF828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315450"/>
          <a:ext cx="3000375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8</xdr:col>
      <xdr:colOff>466725</xdr:colOff>
      <xdr:row>23</xdr:row>
      <xdr:rowOff>28575</xdr:rowOff>
    </xdr:to>
    <xdr:pic>
      <xdr:nvPicPr>
        <xdr:cNvPr id="61646" name="Picture 7">
          <a:extLst>
            <a:ext uri="{FF2B5EF4-FFF2-40B4-BE49-F238E27FC236}">
              <a16:creationId xmlns:a16="http://schemas.microsoft.com/office/drawing/2014/main" id="{0EDB9793-84E3-462E-9C09-19E04826C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95550"/>
          <a:ext cx="29051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78</xdr:row>
      <xdr:rowOff>142875</xdr:rowOff>
    </xdr:from>
    <xdr:to>
      <xdr:col>9</xdr:col>
      <xdr:colOff>38100</xdr:colOff>
      <xdr:row>103</xdr:row>
      <xdr:rowOff>0</xdr:rowOff>
    </xdr:to>
    <xdr:pic>
      <xdr:nvPicPr>
        <xdr:cNvPr id="61647" name="Picture 8">
          <a:extLst>
            <a:ext uri="{FF2B5EF4-FFF2-40B4-BE49-F238E27FC236}">
              <a16:creationId xmlns:a16="http://schemas.microsoft.com/office/drawing/2014/main" id="{F84D9D43-1223-495F-9B4C-C48BAE139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3086100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142875</xdr:rowOff>
    </xdr:from>
    <xdr:to>
      <xdr:col>7</xdr:col>
      <xdr:colOff>533400</xdr:colOff>
      <xdr:row>112</xdr:row>
      <xdr:rowOff>104775</xdr:rowOff>
    </xdr:to>
    <xdr:pic>
      <xdr:nvPicPr>
        <xdr:cNvPr id="61648" name="Picture 9">
          <a:extLst>
            <a:ext uri="{FF2B5EF4-FFF2-40B4-BE49-F238E27FC236}">
              <a16:creationId xmlns:a16="http://schemas.microsoft.com/office/drawing/2014/main" id="{15640E4E-B336-4CFF-9E5E-4FF2621B8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725900"/>
          <a:ext cx="23622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114300</xdr:rowOff>
    </xdr:from>
    <xdr:to>
      <xdr:col>8</xdr:col>
      <xdr:colOff>495300</xdr:colOff>
      <xdr:row>133</xdr:row>
      <xdr:rowOff>133350</xdr:rowOff>
    </xdr:to>
    <xdr:pic>
      <xdr:nvPicPr>
        <xdr:cNvPr id="61649" name="Picture 10">
          <a:extLst>
            <a:ext uri="{FF2B5EF4-FFF2-40B4-BE49-F238E27FC236}">
              <a16:creationId xmlns:a16="http://schemas.microsoft.com/office/drawing/2014/main" id="{E28AEDBB-A1CE-456B-9BCD-C61B864B5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316575"/>
          <a:ext cx="2933700" cy="341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30</xdr:row>
      <xdr:rowOff>0</xdr:rowOff>
    </xdr:from>
    <xdr:to>
      <xdr:col>14</xdr:col>
      <xdr:colOff>398145</xdr:colOff>
      <xdr:row>36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231797-7FDD-47A9-AD82-5796C85E25DF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16</xdr:row>
      <xdr:rowOff>0</xdr:rowOff>
    </xdr:from>
    <xdr:to>
      <xdr:col>14</xdr:col>
      <xdr:colOff>3811972</xdr:colOff>
      <xdr:row>22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2C2CE8-AE74-4ED9-8E85-4B81CCF98B55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AC0AB9-9589-4CB2-AC34-B453A89A8B27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122A65-3C24-43FC-B918-D29085E3FE3F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7CBD98-0E2B-4E12-8C50-689C8C7A2294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A41A6C-FCEC-4553-AA4E-0C1216F615DD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104775</xdr:rowOff>
    </xdr:from>
    <xdr:to>
      <xdr:col>5</xdr:col>
      <xdr:colOff>0</xdr:colOff>
      <xdr:row>28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3A05B4-B32D-4AAF-9BB1-AF0D1E22310E}"/>
            </a:ext>
          </a:extLst>
        </xdr:cNvPr>
        <xdr:cNvSpPr txBox="1"/>
      </xdr:nvSpPr>
      <xdr:spPr>
        <a:xfrm>
          <a:off x="133350" y="4191000"/>
          <a:ext cx="3238500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CACCC7-CA9C-4037-A047-BACC38BDE9AE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residential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commercial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AA33"/>
  <sheetViews>
    <sheetView tabSelected="1" zoomScale="80" zoomScaleNormal="80" workbookViewId="0">
      <selection activeCell="AC13" sqref="AC13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12" width="10.85546875" customWidth="1"/>
    <col min="13" max="13" width="12.5703125" customWidth="1"/>
    <col min="14" max="21" width="10.85546875" customWidth="1"/>
    <col min="22" max="22" width="7.28515625" bestFit="1" customWidth="1"/>
    <col min="23" max="23" width="2" bestFit="1" customWidth="1"/>
    <col min="24" max="24" width="13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5" customFormat="1" x14ac:dyDescent="0.2">
      <c r="X1" s="27" t="s">
        <v>93</v>
      </c>
      <c r="Y1" s="1" t="s">
        <v>94</v>
      </c>
      <c r="Z1" s="1" t="s">
        <v>95</v>
      </c>
      <c r="AA1" s="1" t="s">
        <v>107</v>
      </c>
    </row>
    <row r="2" spans="1:27" ht="15.75" x14ac:dyDescent="0.25">
      <c r="C2" s="6"/>
      <c r="D2" s="52" t="s">
        <v>44</v>
      </c>
      <c r="E2" s="52" t="s">
        <v>45</v>
      </c>
      <c r="F2" s="52" t="s">
        <v>46</v>
      </c>
      <c r="G2" s="52" t="s">
        <v>132</v>
      </c>
      <c r="H2" s="52" t="s">
        <v>133</v>
      </c>
      <c r="I2" s="52" t="s">
        <v>134</v>
      </c>
      <c r="J2" s="52" t="s">
        <v>135</v>
      </c>
      <c r="K2" s="52" t="s">
        <v>136</v>
      </c>
      <c r="L2" s="52" t="s">
        <v>137</v>
      </c>
      <c r="M2" s="52" t="s">
        <v>138</v>
      </c>
      <c r="N2" s="52" t="s">
        <v>47</v>
      </c>
      <c r="O2" s="52" t="s">
        <v>163</v>
      </c>
      <c r="P2" s="52" t="s">
        <v>164</v>
      </c>
      <c r="Q2" s="52" t="s">
        <v>165</v>
      </c>
      <c r="R2" s="52" t="s">
        <v>166</v>
      </c>
      <c r="S2" s="52" t="s">
        <v>48</v>
      </c>
      <c r="T2" s="52" t="s">
        <v>49</v>
      </c>
      <c r="U2" s="52" t="s">
        <v>50</v>
      </c>
      <c r="V2" s="52" t="s">
        <v>158</v>
      </c>
      <c r="X2" s="7"/>
      <c r="Y2" s="51" t="s">
        <v>151</v>
      </c>
      <c r="Z2" s="13" t="s">
        <v>76</v>
      </c>
      <c r="AA2" s="13" t="s">
        <v>108</v>
      </c>
    </row>
    <row r="3" spans="1:27" ht="38.25" x14ac:dyDescent="0.2">
      <c r="C3" s="77" t="s">
        <v>129</v>
      </c>
      <c r="D3" s="53" t="s">
        <v>51</v>
      </c>
      <c r="E3" s="53" t="s">
        <v>52</v>
      </c>
      <c r="F3" s="53" t="s">
        <v>131</v>
      </c>
      <c r="G3" s="53" t="s">
        <v>145</v>
      </c>
      <c r="H3" s="53" t="s">
        <v>141</v>
      </c>
      <c r="I3" s="53" t="s">
        <v>134</v>
      </c>
      <c r="J3" s="53" t="s">
        <v>142</v>
      </c>
      <c r="K3" s="53" t="s">
        <v>143</v>
      </c>
      <c r="L3" s="53" t="s">
        <v>139</v>
      </c>
      <c r="M3" s="53" t="s">
        <v>140</v>
      </c>
      <c r="N3" s="53" t="s">
        <v>53</v>
      </c>
      <c r="O3" s="53" t="s">
        <v>167</v>
      </c>
      <c r="P3" s="53" t="s">
        <v>168</v>
      </c>
      <c r="Q3" s="53" t="s">
        <v>169</v>
      </c>
      <c r="R3" s="53" t="s">
        <v>170</v>
      </c>
      <c r="S3" s="53" t="s">
        <v>54</v>
      </c>
      <c r="T3" s="53" t="s">
        <v>55</v>
      </c>
      <c r="U3" s="53" t="s">
        <v>87</v>
      </c>
      <c r="V3" s="53" t="s">
        <v>56</v>
      </c>
    </row>
    <row r="4" spans="1:27" x14ac:dyDescent="0.2">
      <c r="B4" s="50"/>
      <c r="C4" s="97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8"/>
    </row>
    <row r="5" spans="1:27" ht="15" x14ac:dyDescent="0.25">
      <c r="A5" s="5"/>
      <c r="B5" s="54" t="s">
        <v>58</v>
      </c>
      <c r="C5" s="63" t="s">
        <v>59</v>
      </c>
      <c r="D5" s="59">
        <f>[2]EB2!D16</f>
        <v>124.79425000000001</v>
      </c>
      <c r="E5" s="59">
        <f>[2]EB2!E16</f>
        <v>3095.8757999999998</v>
      </c>
      <c r="F5" s="99">
        <f>[2]EB2!F16</f>
        <v>0</v>
      </c>
      <c r="G5" s="59">
        <f>[2]EB2!G16</f>
        <v>862.053</v>
      </c>
      <c r="H5" s="59">
        <f>[2]EB2!H16</f>
        <v>72.9495</v>
      </c>
      <c r="I5" s="59">
        <f>[2]EB2!I16</f>
        <v>190.17599999999999</v>
      </c>
      <c r="J5" s="59">
        <f>[2]EB2!J16</f>
        <v>3.1680000000000001</v>
      </c>
      <c r="K5" s="99">
        <f>[2]EB2!K16</f>
        <v>0</v>
      </c>
      <c r="L5" s="59">
        <f>[2]EB2!L16</f>
        <v>15.38</v>
      </c>
      <c r="M5" s="59">
        <f>[2]EB2!M16</f>
        <v>0.92</v>
      </c>
      <c r="N5" s="99">
        <f>[2]EB2!N16</f>
        <v>0</v>
      </c>
      <c r="O5" s="59">
        <f>[2]EB2!O16</f>
        <v>298.48174999999992</v>
      </c>
      <c r="P5" s="99">
        <f>[2]EB2!P16</f>
        <v>0</v>
      </c>
      <c r="Q5" s="99">
        <f>[2]EB2!Q16</f>
        <v>0</v>
      </c>
      <c r="R5" s="59">
        <f>[2]EB2!R16</f>
        <v>50</v>
      </c>
      <c r="S5" s="99">
        <f>[2]EB2!S16</f>
        <v>0</v>
      </c>
      <c r="T5" s="99">
        <f>[2]EB2!T16</f>
        <v>432.74250000000001</v>
      </c>
      <c r="U5" s="59">
        <f>[2]EB2!U16</f>
        <v>1435.8710000000001</v>
      </c>
      <c r="V5" s="100">
        <f>SUM(D5:U5)</f>
        <v>6582.4117999999999</v>
      </c>
    </row>
    <row r="6" spans="1:27" ht="15" x14ac:dyDescent="0.25">
      <c r="A6" s="5"/>
      <c r="B6" s="54" t="s">
        <v>60</v>
      </c>
      <c r="C6" s="64" t="s">
        <v>61</v>
      </c>
      <c r="D6" s="59">
        <f>[2]EB2!D17</f>
        <v>19.923749999999998</v>
      </c>
      <c r="E6" s="59">
        <f>[2]EB2!E17</f>
        <v>1051.038</v>
      </c>
      <c r="F6" s="99">
        <f>[2]EB2!F17</f>
        <v>0</v>
      </c>
      <c r="G6" s="59">
        <f>[2]EB2!G17</f>
        <v>368.84399999999999</v>
      </c>
      <c r="H6" s="59">
        <f>[2]EB2!H17</f>
        <v>1.677</v>
      </c>
      <c r="I6" s="59">
        <f>[2]EB2!I17</f>
        <v>31.602</v>
      </c>
      <c r="J6" s="59">
        <f>[2]EB2!J17</f>
        <v>5.72</v>
      </c>
      <c r="K6" s="99">
        <f>[2]EB2!K17</f>
        <v>0</v>
      </c>
      <c r="L6" s="59">
        <f>[2]EB2!L17</f>
        <v>19.32</v>
      </c>
      <c r="M6" s="59">
        <f>[2]EB2!M17</f>
        <v>0.24199999999999999</v>
      </c>
      <c r="N6" s="99">
        <f>[2]EB2!N17</f>
        <v>0</v>
      </c>
      <c r="O6" s="59">
        <f>[2]EB2!O17</f>
        <v>13</v>
      </c>
      <c r="P6" s="99">
        <f>[2]EB2!P17</f>
        <v>0</v>
      </c>
      <c r="Q6" s="99">
        <f>[2]EB2!Q17</f>
        <v>0</v>
      </c>
      <c r="R6" s="59">
        <f>[2]EB2!R17</f>
        <v>7.5</v>
      </c>
      <c r="S6" s="99">
        <f>[2]EB2!S17</f>
        <v>0.60850000000000004</v>
      </c>
      <c r="T6" s="99">
        <f>[2]EB2!T17</f>
        <v>127.32299999999999</v>
      </c>
      <c r="U6" s="59">
        <f>[2]EB2!U17</f>
        <v>1263.6955</v>
      </c>
      <c r="V6" s="100">
        <f t="shared" ref="V6:V12" si="0">SUM(D6:U6)</f>
        <v>2910.4937500000001</v>
      </c>
    </row>
    <row r="7" spans="1:27" x14ac:dyDescent="0.2">
      <c r="A7" s="5"/>
      <c r="B7" s="54" t="s">
        <v>62</v>
      </c>
      <c r="C7" s="64" t="s">
        <v>63</v>
      </c>
      <c r="D7" s="99">
        <f>[2]EB2!D18</f>
        <v>663.94509999999991</v>
      </c>
      <c r="E7" s="99">
        <f>[2]EB2!E18</f>
        <v>2662.2965999999997</v>
      </c>
      <c r="F7" s="99">
        <f>[2]EB2!F18</f>
        <v>0</v>
      </c>
      <c r="G7" s="99">
        <f>[2]EB2!G18</f>
        <v>298.68</v>
      </c>
      <c r="H7" s="99">
        <f>[2]EB2!H18</f>
        <v>36.356499999999997</v>
      </c>
      <c r="I7" s="99">
        <f>[2]EB2!I18</f>
        <v>142.97149999999999</v>
      </c>
      <c r="J7" s="99">
        <f>[2]EB2!J18</f>
        <v>7.766</v>
      </c>
      <c r="K7" s="99">
        <f>[2]EB2!K18</f>
        <v>44.066000000000003</v>
      </c>
      <c r="L7" s="99">
        <f>[2]EB2!L18</f>
        <v>286.0505</v>
      </c>
      <c r="M7" s="99">
        <f>[2]EB2!M18</f>
        <v>191.57300000000001</v>
      </c>
      <c r="N7" s="99">
        <f>[2]EB2!N18</f>
        <v>0</v>
      </c>
      <c r="O7" s="99">
        <f>[2]EB2!O18</f>
        <v>180.41775000000007</v>
      </c>
      <c r="P7" s="99">
        <f>[2]EB2!P18</f>
        <v>0</v>
      </c>
      <c r="Q7" s="99">
        <f>[2]EB2!Q18</f>
        <v>0</v>
      </c>
      <c r="R7" s="99">
        <f>[2]EB2!R18</f>
        <v>0</v>
      </c>
      <c r="S7" s="99">
        <f>[2]EB2!S18</f>
        <v>58.595999999999997</v>
      </c>
      <c r="T7" s="99">
        <f>[2]EB2!T18</f>
        <v>316.79149999999998</v>
      </c>
      <c r="U7" s="99">
        <f>[2]EB2!U18</f>
        <v>2044.222</v>
      </c>
      <c r="V7" s="100">
        <f t="shared" si="0"/>
        <v>6933.7324499999986</v>
      </c>
    </row>
    <row r="8" spans="1:27" ht="15" x14ac:dyDescent="0.25">
      <c r="A8" s="5"/>
      <c r="B8" s="54" t="s">
        <v>64</v>
      </c>
      <c r="C8" s="64" t="s">
        <v>65</v>
      </c>
      <c r="D8" s="99">
        <f>[2]EB2!D19</f>
        <v>15.434999999999999</v>
      </c>
      <c r="E8" s="99">
        <f>[2]EB2!E19</f>
        <v>120.72359999999999</v>
      </c>
      <c r="F8" s="99">
        <f>[2]EB2!F19</f>
        <v>0</v>
      </c>
      <c r="G8" s="99">
        <f>[2]EB2!G19</f>
        <v>366.58800000000002</v>
      </c>
      <c r="H8" s="99">
        <f>[2]EB2!H19</f>
        <v>0.47299999999999998</v>
      </c>
      <c r="I8" s="99">
        <f>[2]EB2!I19</f>
        <v>16.169</v>
      </c>
      <c r="J8" s="99">
        <f>[2]EB2!J19</f>
        <v>1.716</v>
      </c>
      <c r="K8" s="99">
        <f>[2]EB2!K19</f>
        <v>0</v>
      </c>
      <c r="L8" s="99">
        <f>[2]EB2!L19</f>
        <v>13.74</v>
      </c>
      <c r="M8" s="99">
        <f>[2]EB2!M19</f>
        <v>0</v>
      </c>
      <c r="N8" s="99">
        <f>[2]EB2!N19</f>
        <v>0</v>
      </c>
      <c r="O8" s="99">
        <f>[2]EB2!O19</f>
        <v>15.771500000000003</v>
      </c>
      <c r="P8" s="99">
        <f>[2]EB2!P19</f>
        <v>0</v>
      </c>
      <c r="Q8" s="99">
        <f>[2]EB2!Q19</f>
        <v>0</v>
      </c>
      <c r="R8" s="99">
        <f>[2]EB2!R19</f>
        <v>0</v>
      </c>
      <c r="S8" s="99">
        <f>[2]EB2!S19</f>
        <v>5.0000000000000001E-4</v>
      </c>
      <c r="T8" s="99">
        <f>[2]EB2!T19</f>
        <v>7.7869999999999999</v>
      </c>
      <c r="U8" s="99">
        <f>[2]EB2!U19</f>
        <v>9.6930000000000014</v>
      </c>
      <c r="V8" s="59">
        <f t="shared" si="0"/>
        <v>568.09659999999997</v>
      </c>
    </row>
    <row r="9" spans="1:27" x14ac:dyDescent="0.2">
      <c r="A9" s="5"/>
      <c r="B9" s="54" t="s">
        <v>66</v>
      </c>
      <c r="C9" s="64" t="s">
        <v>67</v>
      </c>
      <c r="D9" s="99">
        <f>[2]EB2!D20</f>
        <v>0.1946</v>
      </c>
      <c r="E9" s="99">
        <f>[2]EB2!E20</f>
        <v>12.7494</v>
      </c>
      <c r="F9" s="99">
        <f>[2]EB2!F20</f>
        <v>0</v>
      </c>
      <c r="G9" s="99">
        <f>[2]EB2!G20</f>
        <v>3856.2855</v>
      </c>
      <c r="H9" s="99">
        <f>[2]EB2!H20</f>
        <v>1047.652</v>
      </c>
      <c r="I9" s="99">
        <f>[2]EB2!I20</f>
        <v>94.230999999999995</v>
      </c>
      <c r="J9" s="99">
        <f>[2]EB2!J20</f>
        <v>2394.2159999999999</v>
      </c>
      <c r="K9" s="99">
        <f>[2]EB2!K20</f>
        <v>0</v>
      </c>
      <c r="L9" s="99">
        <f>[2]EB2!L20</f>
        <v>33.24</v>
      </c>
      <c r="M9" s="99">
        <f>[2]EB2!M20</f>
        <v>0</v>
      </c>
      <c r="N9" s="99">
        <f>[2]EB2!N20</f>
        <v>0</v>
      </c>
      <c r="O9" s="99">
        <f>[2]EB2!O20</f>
        <v>40.25</v>
      </c>
      <c r="P9" s="99">
        <f>[2]EB2!P20</f>
        <v>0</v>
      </c>
      <c r="Q9" s="99">
        <f>[2]EB2!Q20</f>
        <v>0</v>
      </c>
      <c r="R9" s="99">
        <f>[2]EB2!R20</f>
        <v>0</v>
      </c>
      <c r="S9" s="99">
        <f>[2]EB2!S20</f>
        <v>0</v>
      </c>
      <c r="T9" s="99">
        <f>[2]EB2!T20</f>
        <v>0</v>
      </c>
      <c r="U9" s="99">
        <f>[2]EB2!U20</f>
        <v>132.98599999999999</v>
      </c>
      <c r="V9" s="100">
        <f t="shared" si="0"/>
        <v>7611.8044999999993</v>
      </c>
    </row>
    <row r="10" spans="1:27" x14ac:dyDescent="0.2">
      <c r="A10" s="5"/>
      <c r="B10" s="54" t="s">
        <v>68</v>
      </c>
      <c r="C10" s="65" t="s">
        <v>69</v>
      </c>
      <c r="D10" s="58">
        <f>[2]EB2!D21</f>
        <v>416.23084999999924</v>
      </c>
      <c r="E10" s="58">
        <f>[2]EB2!E21</f>
        <v>0</v>
      </c>
      <c r="F10" s="58">
        <f>[2]EB2!F21</f>
        <v>0</v>
      </c>
      <c r="G10" s="58">
        <f>[2]EB2!G21</f>
        <v>0</v>
      </c>
      <c r="H10" s="58">
        <f>[2]EB2!H21</f>
        <v>0</v>
      </c>
      <c r="I10" s="58">
        <f>[2]EB2!I21</f>
        <v>0</v>
      </c>
      <c r="J10" s="58">
        <f>[2]EB2!J21</f>
        <v>0</v>
      </c>
      <c r="K10" s="58">
        <f>[2]EB2!K21</f>
        <v>0</v>
      </c>
      <c r="L10" s="58">
        <f>[2]EB2!L21</f>
        <v>0</v>
      </c>
      <c r="M10" s="58">
        <f>[2]EB2!M21</f>
        <v>0</v>
      </c>
      <c r="N10" s="58">
        <f>[2]EB2!N21</f>
        <v>0</v>
      </c>
      <c r="O10" s="58">
        <f>[2]EB2!O21</f>
        <v>0</v>
      </c>
      <c r="P10" s="58">
        <f>[2]EB2!P21</f>
        <v>0</v>
      </c>
      <c r="Q10" s="58">
        <f>[2]EB2!Q21</f>
        <v>0</v>
      </c>
      <c r="R10" s="58">
        <f>[2]EB2!R21</f>
        <v>0</v>
      </c>
      <c r="S10" s="58">
        <f>[2]EB2!S21</f>
        <v>0</v>
      </c>
      <c r="T10" s="58">
        <f>[2]EB2!T21</f>
        <v>313.51900000000001</v>
      </c>
      <c r="U10" s="58">
        <f>[2]EB2!U21</f>
        <v>325</v>
      </c>
      <c r="V10" s="101">
        <f t="shared" si="0"/>
        <v>1054.7498499999992</v>
      </c>
    </row>
    <row r="11" spans="1:27" x14ac:dyDescent="0.2">
      <c r="A11" s="5"/>
      <c r="B11" s="54" t="s">
        <v>85</v>
      </c>
      <c r="C11" s="64" t="s">
        <v>70</v>
      </c>
      <c r="D11" s="99">
        <f>[2]EB2!D22</f>
        <v>18.358550000000001</v>
      </c>
      <c r="E11" s="99">
        <f>[2]EB2!E22</f>
        <v>380.29379999999998</v>
      </c>
      <c r="F11" s="99">
        <f>[2]EB2!F22</f>
        <v>0</v>
      </c>
      <c r="G11" s="99">
        <f>[2]EB2!G22</f>
        <v>76.465000000000003</v>
      </c>
      <c r="H11" s="99">
        <f>[2]EB2!H22</f>
        <v>4.7945000000000002</v>
      </c>
      <c r="I11" s="99">
        <f>[2]EB2!I22</f>
        <v>199.87350000000001</v>
      </c>
      <c r="J11" s="99">
        <f>[2]EB2!J22</f>
        <v>3.1459999999999999</v>
      </c>
      <c r="K11" s="99">
        <f>[2]EB2!K22</f>
        <v>899.20600000000002</v>
      </c>
      <c r="L11" s="99">
        <f>[2]EB2!L22</f>
        <v>52.04</v>
      </c>
      <c r="M11" s="99">
        <f>[2]EB2!M22</f>
        <v>800.72900000000004</v>
      </c>
      <c r="N11" s="99">
        <f>[2]EB2!N22</f>
        <v>0</v>
      </c>
      <c r="O11" s="99">
        <f>[2]EB2!O22</f>
        <v>0</v>
      </c>
      <c r="P11" s="99">
        <f>[2]EB2!P22</f>
        <v>0</v>
      </c>
      <c r="Q11" s="99">
        <f>[2]EB2!Q22</f>
        <v>0</v>
      </c>
      <c r="R11" s="99">
        <f>[2]EB2!R22</f>
        <v>0</v>
      </c>
      <c r="S11" s="99">
        <f>[2]EB2!S22</f>
        <v>0</v>
      </c>
      <c r="T11" s="99">
        <f>[2]EB2!T22</f>
        <v>0</v>
      </c>
      <c r="U11" s="99">
        <f>[2]EB2!U22</f>
        <v>0</v>
      </c>
      <c r="V11" s="100">
        <f t="shared" si="0"/>
        <v>2434.9063500000002</v>
      </c>
    </row>
    <row r="12" spans="1:27" x14ac:dyDescent="0.2">
      <c r="A12" s="5"/>
      <c r="B12" s="54" t="s">
        <v>86</v>
      </c>
      <c r="C12" s="64" t="s">
        <v>71</v>
      </c>
      <c r="D12" s="99">
        <f>[2]EB2!D23</f>
        <v>0</v>
      </c>
      <c r="E12" s="99">
        <f>[2]EB2!E23</f>
        <v>0</v>
      </c>
      <c r="F12" s="99">
        <f>[2]EB2!F23</f>
        <v>0</v>
      </c>
      <c r="G12" s="99">
        <f>[2]EB2!G23</f>
        <v>146.90600000000001</v>
      </c>
      <c r="H12" s="99">
        <f>[2]EB2!H23</f>
        <v>0</v>
      </c>
      <c r="I12" s="99">
        <f>[2]EB2!I23</f>
        <v>0</v>
      </c>
      <c r="J12" s="99">
        <f>[2]EB2!J23</f>
        <v>0</v>
      </c>
      <c r="K12" s="99">
        <f>[2]EB2!K23</f>
        <v>0</v>
      </c>
      <c r="L12" s="99">
        <f>[2]EB2!L23</f>
        <v>902.14</v>
      </c>
      <c r="M12" s="99">
        <f>[2]EB2!M23</f>
        <v>6.5</v>
      </c>
      <c r="N12" s="99">
        <f>[2]EB2!N23</f>
        <v>0</v>
      </c>
      <c r="O12" s="58">
        <f>[2]EB2!O23</f>
        <v>0</v>
      </c>
      <c r="P12" s="58">
        <f>[2]EB2!P23</f>
        <v>0</v>
      </c>
      <c r="Q12" s="58">
        <f>[2]EB2!Q23</f>
        <v>0</v>
      </c>
      <c r="R12" s="99">
        <f>[2]EB2!R23</f>
        <v>0</v>
      </c>
      <c r="S12" s="99">
        <f>[2]EB2!S23</f>
        <v>0</v>
      </c>
      <c r="T12" s="99">
        <f>[2]EB2!T23</f>
        <v>0</v>
      </c>
      <c r="U12" s="99">
        <f>[2]EB2!U23</f>
        <v>0</v>
      </c>
      <c r="V12" s="100">
        <f t="shared" si="0"/>
        <v>1055.546</v>
      </c>
    </row>
    <row r="13" spans="1:27" ht="15" x14ac:dyDescent="0.25">
      <c r="A13" s="5"/>
      <c r="B13" s="96" t="s">
        <v>88</v>
      </c>
      <c r="C13" s="62" t="s">
        <v>157</v>
      </c>
      <c r="D13" s="60">
        <f t="shared" ref="D13:V13" si="1">SUM(D5:D12)</f>
        <v>1258.8820999999991</v>
      </c>
      <c r="E13" s="60">
        <f t="shared" si="1"/>
        <v>7322.9772000000003</v>
      </c>
      <c r="F13" s="60">
        <f t="shared" si="1"/>
        <v>0</v>
      </c>
      <c r="G13" s="60">
        <f t="shared" si="1"/>
        <v>5975.8215</v>
      </c>
      <c r="H13" s="60">
        <f t="shared" si="1"/>
        <v>1163.9024999999999</v>
      </c>
      <c r="I13" s="60">
        <f t="shared" si="1"/>
        <v>675.02300000000002</v>
      </c>
      <c r="J13" s="60">
        <f t="shared" si="1"/>
        <v>2415.732</v>
      </c>
      <c r="K13" s="60">
        <f t="shared" si="1"/>
        <v>943.27200000000005</v>
      </c>
      <c r="L13" s="60">
        <f t="shared" si="1"/>
        <v>1321.9105</v>
      </c>
      <c r="M13" s="60">
        <f t="shared" si="1"/>
        <v>999.96400000000006</v>
      </c>
      <c r="N13" s="60">
        <f t="shared" si="1"/>
        <v>0</v>
      </c>
      <c r="O13" s="60">
        <f t="shared" si="1"/>
        <v>547.92100000000005</v>
      </c>
      <c r="P13" s="60">
        <f t="shared" si="1"/>
        <v>0</v>
      </c>
      <c r="Q13" s="60">
        <f t="shared" si="1"/>
        <v>0</v>
      </c>
      <c r="R13" s="60">
        <f t="shared" si="1"/>
        <v>57.5</v>
      </c>
      <c r="S13" s="60">
        <f t="shared" si="1"/>
        <v>59.204999999999998</v>
      </c>
      <c r="T13" s="60">
        <f t="shared" si="1"/>
        <v>1198.163</v>
      </c>
      <c r="U13" s="60">
        <f>SUM(U5:U12)</f>
        <v>5211.4674999999997</v>
      </c>
      <c r="V13" s="61">
        <f t="shared" si="1"/>
        <v>29151.741299999998</v>
      </c>
    </row>
    <row r="14" spans="1:27" x14ac:dyDescent="0.2">
      <c r="A14" s="5"/>
      <c r="D14" s="9"/>
      <c r="F14" s="9"/>
      <c r="G14" s="9"/>
      <c r="H14" s="9"/>
      <c r="I14" s="9"/>
      <c r="J14" s="9"/>
      <c r="K14" s="9"/>
      <c r="L14" s="9"/>
      <c r="M14" s="9"/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ht="15" x14ac:dyDescent="0.25">
      <c r="A16" s="5"/>
      <c r="C16" s="59" t="s">
        <v>152</v>
      </c>
      <c r="D16" s="59"/>
      <c r="E16" s="59"/>
      <c r="F16" s="9"/>
      <c r="G16" s="9"/>
      <c r="H16" s="9"/>
      <c r="I16" s="9"/>
      <c r="J16" s="9"/>
      <c r="K16" s="9"/>
      <c r="L16" s="9"/>
      <c r="M16" s="9"/>
    </row>
    <row r="17" spans="1:24" x14ac:dyDescent="0.2">
      <c r="A17" s="5"/>
      <c r="C17" s="28"/>
      <c r="D17" s="29"/>
    </row>
    <row r="18" spans="1:24" x14ac:dyDescent="0.2">
      <c r="A18" s="5"/>
      <c r="C18" s="28"/>
      <c r="D18" s="29"/>
      <c r="O18" s="31"/>
      <c r="P18" s="31"/>
      <c r="Q18" s="31"/>
      <c r="R18" s="31"/>
    </row>
    <row r="19" spans="1:24" ht="38.25" x14ac:dyDescent="0.2">
      <c r="A19" s="5"/>
      <c r="B19" s="32" t="s">
        <v>101</v>
      </c>
      <c r="C19" s="70" t="s">
        <v>119</v>
      </c>
      <c r="D19" s="148" t="s">
        <v>51</v>
      </c>
      <c r="E19" s="149" t="s">
        <v>52</v>
      </c>
      <c r="F19" s="149" t="s">
        <v>131</v>
      </c>
      <c r="G19" s="149" t="s">
        <v>145</v>
      </c>
      <c r="H19" s="149" t="s">
        <v>141</v>
      </c>
      <c r="I19" s="149" t="s">
        <v>134</v>
      </c>
      <c r="J19" s="149" t="s">
        <v>142</v>
      </c>
      <c r="K19" s="149" t="s">
        <v>143</v>
      </c>
      <c r="L19" s="149" t="s">
        <v>139</v>
      </c>
      <c r="M19" s="149" t="s">
        <v>140</v>
      </c>
      <c r="N19" s="149" t="s">
        <v>53</v>
      </c>
      <c r="O19" s="53" t="s">
        <v>167</v>
      </c>
      <c r="P19" s="53" t="s">
        <v>168</v>
      </c>
      <c r="Q19" s="53" t="s">
        <v>169</v>
      </c>
      <c r="R19" s="53" t="s">
        <v>170</v>
      </c>
      <c r="S19" s="149" t="s">
        <v>54</v>
      </c>
      <c r="T19" s="149" t="s">
        <v>55</v>
      </c>
      <c r="U19" s="150" t="s">
        <v>87</v>
      </c>
      <c r="V19" s="53" t="s">
        <v>56</v>
      </c>
    </row>
    <row r="20" spans="1:24" x14ac:dyDescent="0.2">
      <c r="A20" s="5"/>
      <c r="B20" s="103" t="s">
        <v>64</v>
      </c>
      <c r="C20" s="66" t="s">
        <v>104</v>
      </c>
      <c r="D20" s="123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24"/>
      <c r="V20" s="66"/>
      <c r="W20" s="104"/>
      <c r="X20" s="67" t="s">
        <v>35</v>
      </c>
    </row>
    <row r="21" spans="1:24" ht="15" x14ac:dyDescent="0.25">
      <c r="A21" s="5"/>
      <c r="B21" s="103" t="s">
        <v>58</v>
      </c>
      <c r="C21" s="66" t="s">
        <v>102</v>
      </c>
      <c r="D21" s="119"/>
      <c r="E21" s="76">
        <v>0.8</v>
      </c>
      <c r="F21" s="120"/>
      <c r="G21" s="76">
        <v>0.8</v>
      </c>
      <c r="H21" s="76">
        <v>0.8</v>
      </c>
      <c r="I21" s="76">
        <v>0.8</v>
      </c>
      <c r="J21" s="76">
        <v>0.8</v>
      </c>
      <c r="K21" s="120"/>
      <c r="L21" s="76">
        <v>0.8</v>
      </c>
      <c r="M21" s="76">
        <v>0.8</v>
      </c>
      <c r="N21" s="120"/>
      <c r="O21" s="76">
        <v>0.8</v>
      </c>
      <c r="P21" s="120"/>
      <c r="Q21" s="120"/>
      <c r="R21" s="151">
        <v>1</v>
      </c>
      <c r="S21" s="120"/>
      <c r="T21" s="120"/>
      <c r="U21" s="114">
        <v>0.05</v>
      </c>
      <c r="V21" s="66"/>
      <c r="W21" s="104"/>
      <c r="X21" s="67" t="s">
        <v>105</v>
      </c>
    </row>
    <row r="22" spans="1:24" ht="15" x14ac:dyDescent="0.25">
      <c r="A22" s="5"/>
      <c r="B22" s="103" t="s">
        <v>58</v>
      </c>
      <c r="C22" s="55" t="s">
        <v>103</v>
      </c>
      <c r="D22" s="119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52"/>
      <c r="S22" s="120"/>
      <c r="T22" s="120"/>
      <c r="U22" s="114">
        <v>0.9</v>
      </c>
      <c r="V22" s="55"/>
      <c r="W22" s="104"/>
      <c r="X22" s="68" t="s">
        <v>106</v>
      </c>
    </row>
    <row r="23" spans="1:24" ht="15" x14ac:dyDescent="0.25">
      <c r="A23" s="5"/>
      <c r="B23" s="103" t="s">
        <v>58</v>
      </c>
      <c r="C23" s="57" t="s">
        <v>104</v>
      </c>
      <c r="D23" s="121">
        <f>1-D21-D22</f>
        <v>1</v>
      </c>
      <c r="E23" s="122">
        <f>1-E21-E22</f>
        <v>0.19999999999999996</v>
      </c>
      <c r="F23" s="117"/>
      <c r="G23" s="122">
        <f>1-G21-G22</f>
        <v>0.19999999999999996</v>
      </c>
      <c r="H23" s="122">
        <f>1-H21-H22</f>
        <v>0.19999999999999996</v>
      </c>
      <c r="I23" s="122">
        <f>1-I21-I22</f>
        <v>0.19999999999999996</v>
      </c>
      <c r="J23" s="122">
        <f>1-J21-J22</f>
        <v>0.19999999999999996</v>
      </c>
      <c r="K23" s="117"/>
      <c r="L23" s="122">
        <f>1-L21-L22</f>
        <v>0.19999999999999996</v>
      </c>
      <c r="M23" s="122">
        <f>1-M21-M22</f>
        <v>0.19999999999999996</v>
      </c>
      <c r="N23" s="117"/>
      <c r="O23" s="122">
        <f>1-O21-O22</f>
        <v>0.19999999999999996</v>
      </c>
      <c r="P23" s="117"/>
      <c r="Q23" s="117"/>
      <c r="R23" s="153">
        <v>0</v>
      </c>
      <c r="S23" s="117"/>
      <c r="T23" s="117"/>
      <c r="U23" s="135">
        <f>1-U21-U22</f>
        <v>4.9999999999999933E-2</v>
      </c>
      <c r="V23" s="57"/>
      <c r="W23" s="104"/>
      <c r="X23" s="69" t="s">
        <v>69</v>
      </c>
    </row>
    <row r="24" spans="1:24" ht="15" x14ac:dyDescent="0.25">
      <c r="A24" s="5"/>
      <c r="B24" s="103" t="s">
        <v>60</v>
      </c>
      <c r="C24" s="66" t="s">
        <v>102</v>
      </c>
      <c r="D24" s="119"/>
      <c r="E24" s="76">
        <v>0.9</v>
      </c>
      <c r="F24" s="120"/>
      <c r="G24" s="76">
        <v>0.9</v>
      </c>
      <c r="H24" s="76">
        <v>0.9</v>
      </c>
      <c r="I24" s="76">
        <v>0.9</v>
      </c>
      <c r="J24" s="76">
        <v>0.9</v>
      </c>
      <c r="K24" s="120"/>
      <c r="L24" s="76">
        <v>0.9</v>
      </c>
      <c r="M24" s="76">
        <v>0.9</v>
      </c>
      <c r="N24" s="120"/>
      <c r="O24" s="76">
        <v>0.9</v>
      </c>
      <c r="P24" s="120"/>
      <c r="Q24" s="120"/>
      <c r="R24" s="151">
        <v>1</v>
      </c>
      <c r="S24" s="120"/>
      <c r="T24" s="120"/>
      <c r="U24" s="114">
        <v>0.01</v>
      </c>
      <c r="V24" s="66"/>
      <c r="W24" s="104"/>
      <c r="X24" s="67" t="s">
        <v>105</v>
      </c>
    </row>
    <row r="25" spans="1:24" ht="15" x14ac:dyDescent="0.25">
      <c r="A25" s="5"/>
      <c r="B25" s="103" t="s">
        <v>60</v>
      </c>
      <c r="C25" s="55" t="s">
        <v>103</v>
      </c>
      <c r="D25" s="119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52"/>
      <c r="S25" s="120"/>
      <c r="T25" s="120"/>
      <c r="U25" s="114">
        <v>0.9</v>
      </c>
      <c r="V25" s="55"/>
      <c r="W25" s="104"/>
      <c r="X25" s="68" t="s">
        <v>106</v>
      </c>
    </row>
    <row r="26" spans="1:24" ht="15" x14ac:dyDescent="0.25">
      <c r="A26" s="5"/>
      <c r="B26" s="103" t="s">
        <v>60</v>
      </c>
      <c r="C26" s="57" t="s">
        <v>104</v>
      </c>
      <c r="D26" s="121">
        <f>1-D24-D25</f>
        <v>1</v>
      </c>
      <c r="E26" s="122">
        <f>1-E24-E25</f>
        <v>9.9999999999999978E-2</v>
      </c>
      <c r="F26" s="117"/>
      <c r="G26" s="122">
        <f>1-G24-G25</f>
        <v>9.9999999999999978E-2</v>
      </c>
      <c r="H26" s="122">
        <f>1-H24-H25</f>
        <v>9.9999999999999978E-2</v>
      </c>
      <c r="I26" s="122">
        <f>1-I24-I25</f>
        <v>9.9999999999999978E-2</v>
      </c>
      <c r="J26" s="122">
        <f>1-J24-J25</f>
        <v>9.9999999999999978E-2</v>
      </c>
      <c r="K26" s="117"/>
      <c r="L26" s="122">
        <f>1-L24-L25</f>
        <v>9.9999999999999978E-2</v>
      </c>
      <c r="M26" s="122">
        <f>1-M24-M25</f>
        <v>9.9999999999999978E-2</v>
      </c>
      <c r="N26" s="117"/>
      <c r="O26" s="122">
        <f>1-O24-O25</f>
        <v>9.9999999999999978E-2</v>
      </c>
      <c r="P26" s="117"/>
      <c r="Q26" s="117"/>
      <c r="R26" s="153">
        <f>1-R24-R25</f>
        <v>0</v>
      </c>
      <c r="S26" s="117"/>
      <c r="T26" s="117"/>
      <c r="U26" s="135">
        <f>1-U24-U25</f>
        <v>8.9999999999999969E-2</v>
      </c>
      <c r="V26" s="57"/>
      <c r="W26" s="104"/>
      <c r="X26" s="69" t="s">
        <v>69</v>
      </c>
    </row>
    <row r="27" spans="1:24" x14ac:dyDescent="0.2">
      <c r="A27" s="5"/>
      <c r="V27" s="7"/>
    </row>
    <row r="28" spans="1:24" x14ac:dyDescent="0.2">
      <c r="A28" s="5"/>
      <c r="V28" s="7"/>
    </row>
    <row r="29" spans="1:24" x14ac:dyDescent="0.2">
      <c r="A29" s="5"/>
      <c r="C29" s="73" t="s">
        <v>110</v>
      </c>
      <c r="D29" s="75" t="s">
        <v>111</v>
      </c>
      <c r="E29" s="74" t="s">
        <v>112</v>
      </c>
      <c r="V29" s="7"/>
    </row>
    <row r="30" spans="1:24" x14ac:dyDescent="0.2">
      <c r="A30" s="5"/>
      <c r="B30" s="27" t="s">
        <v>120</v>
      </c>
      <c r="C30" s="105" t="s">
        <v>113</v>
      </c>
      <c r="D30" s="105" t="s">
        <v>114</v>
      </c>
      <c r="E30" s="106" t="s">
        <v>112</v>
      </c>
      <c r="V30" s="7"/>
    </row>
    <row r="31" spans="1:24" x14ac:dyDescent="0.2">
      <c r="A31" s="5"/>
      <c r="B31" s="54" t="s">
        <v>64</v>
      </c>
      <c r="C31" s="107">
        <v>1</v>
      </c>
      <c r="D31" s="108"/>
      <c r="E31" s="109"/>
      <c r="V31" s="7"/>
    </row>
    <row r="32" spans="1:24" x14ac:dyDescent="0.2">
      <c r="A32" s="5"/>
      <c r="B32" s="54" t="s">
        <v>58</v>
      </c>
      <c r="C32" s="110">
        <v>1</v>
      </c>
      <c r="D32" s="71"/>
      <c r="E32" s="111"/>
    </row>
    <row r="33" spans="1:5" x14ac:dyDescent="0.2">
      <c r="A33" s="5"/>
      <c r="B33" s="54" t="s">
        <v>60</v>
      </c>
      <c r="C33" s="112">
        <v>1</v>
      </c>
      <c r="D33" s="72"/>
      <c r="E33" s="113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4"/>
  <sheetViews>
    <sheetView workbookViewId="0">
      <selection activeCell="K25" sqref="K25"/>
    </sheetView>
  </sheetViews>
  <sheetFormatPr defaultRowHeight="12.75" x14ac:dyDescent="0.2"/>
  <cols>
    <col min="2" max="2" width="19.140625" customWidth="1"/>
    <col min="4" max="4" width="8.85546875" bestFit="1" customWidth="1"/>
    <col min="7" max="7" width="17.42578125" bestFit="1" customWidth="1"/>
    <col min="8" max="9" width="9.28515625" bestFit="1" customWidth="1"/>
    <col min="10" max="10" width="8.42578125" bestFit="1" customWidth="1"/>
    <col min="12" max="12" width="17.42578125" bestFit="1" customWidth="1"/>
    <col min="13" max="14" width="9" bestFit="1" customWidth="1"/>
    <col min="15" max="15" width="8.140625" bestFit="1" customWidth="1"/>
  </cols>
  <sheetData>
    <row r="3" spans="2:15" ht="17.45" customHeight="1" x14ac:dyDescent="0.25">
      <c r="B3" s="46" t="s">
        <v>160</v>
      </c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2:15" s="5" customFormat="1" ht="17.45" customHeight="1" x14ac:dyDescent="0.25">
      <c r="B4" s="47"/>
      <c r="C4" s="47"/>
      <c r="D4" s="47"/>
      <c r="E4" s="47"/>
      <c r="F4" s="47"/>
      <c r="G4" s="47"/>
    </row>
    <row r="5" spans="2:15" x14ac:dyDescent="0.2">
      <c r="B5" s="45" t="s">
        <v>146</v>
      </c>
      <c r="G5" s="45" t="s">
        <v>146</v>
      </c>
      <c r="L5" s="45" t="s">
        <v>146</v>
      </c>
    </row>
    <row r="6" spans="2:15" ht="13.5" thickBot="1" x14ac:dyDescent="0.25">
      <c r="B6" s="48" t="s">
        <v>0</v>
      </c>
      <c r="C6" s="136" t="str">
        <f>Sector_Fuels_AGR!$L$5</f>
        <v>AGRCOA</v>
      </c>
      <c r="D6" s="136" t="str">
        <f>Sector_Fuels_AGR!$L$6</f>
        <v>AGRGAS</v>
      </c>
      <c r="E6" s="136" t="str">
        <f>Sector_Fuels_AGR!$L$7</f>
        <v>AGROIL</v>
      </c>
      <c r="F6" s="1"/>
      <c r="G6" s="48" t="s">
        <v>0</v>
      </c>
      <c r="H6" s="136" t="str">
        <f>Sector_Fuels_COM!$L$5</f>
        <v>COMCOA</v>
      </c>
      <c r="I6" s="136" t="str">
        <f>Sector_Fuels_COM!$L$6</f>
        <v>COMGAS</v>
      </c>
      <c r="J6" s="136" t="str">
        <f>Sector_Fuels_COM!$L$7</f>
        <v>COMOIL</v>
      </c>
      <c r="L6" s="48" t="s">
        <v>0</v>
      </c>
      <c r="M6" s="136" t="str">
        <f>Sector_Fuels_RSD!$L$5</f>
        <v>RSDCOA</v>
      </c>
      <c r="N6" s="136" t="str">
        <f>Sector_Fuels_RSD!$L$6</f>
        <v>RSDGAS</v>
      </c>
      <c r="O6" s="136" t="str">
        <f>Sector_Fuels_RSD!$L$7</f>
        <v>RSDOIL</v>
      </c>
    </row>
    <row r="7" spans="2:15" ht="13.5" thickBot="1" x14ac:dyDescent="0.25">
      <c r="B7" s="19" t="s">
        <v>90</v>
      </c>
      <c r="C7" s="19" t="s">
        <v>153</v>
      </c>
      <c r="D7" s="19" t="s">
        <v>153</v>
      </c>
      <c r="E7" s="19" t="s">
        <v>153</v>
      </c>
      <c r="F7" s="1"/>
      <c r="G7" s="19" t="s">
        <v>90</v>
      </c>
      <c r="H7" s="19" t="s">
        <v>153</v>
      </c>
      <c r="I7" s="19" t="s">
        <v>153</v>
      </c>
      <c r="J7" s="19" t="s">
        <v>153</v>
      </c>
      <c r="L7" s="19" t="s">
        <v>90</v>
      </c>
      <c r="M7" s="19" t="s">
        <v>153</v>
      </c>
      <c r="N7" s="19" t="s">
        <v>153</v>
      </c>
      <c r="O7" s="19" t="s">
        <v>153</v>
      </c>
    </row>
    <row r="8" spans="2:15" x14ac:dyDescent="0.2">
      <c r="B8" t="str">
        <f>DemTechs_AGR!$N$6</f>
        <v>AGRCO2</v>
      </c>
      <c r="C8" s="82">
        <v>95</v>
      </c>
      <c r="D8" s="83">
        <v>56.1</v>
      </c>
      <c r="E8" s="82">
        <v>76.400000000000006</v>
      </c>
      <c r="F8" s="1"/>
      <c r="G8" t="str">
        <f>DemTechs_COM!$O$8</f>
        <v>COMCO2</v>
      </c>
      <c r="H8" s="82">
        <v>95</v>
      </c>
      <c r="I8" s="83">
        <v>56.1</v>
      </c>
      <c r="J8" s="82">
        <v>76.400000000000006</v>
      </c>
      <c r="L8" t="str">
        <f>DemTechs_RSD!$O$8</f>
        <v>RSDCO2</v>
      </c>
      <c r="M8" s="82">
        <v>95</v>
      </c>
      <c r="N8" s="83">
        <v>56.1</v>
      </c>
      <c r="O8" s="82">
        <v>76.400000000000006</v>
      </c>
    </row>
    <row r="23" spans="2:3" x14ac:dyDescent="0.2">
      <c r="B23" s="56"/>
      <c r="C23" s="1" t="s">
        <v>154</v>
      </c>
    </row>
    <row r="24" spans="2:3" x14ac:dyDescent="0.2">
      <c r="B24" s="79"/>
      <c r="C24" s="1" t="s">
        <v>155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"/>
  <sheetViews>
    <sheetView zoomScale="90" zoomScaleNormal="90" workbookViewId="0">
      <selection activeCell="E7" sqref="E7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5.42578125" customWidth="1"/>
  </cols>
  <sheetData>
    <row r="3" spans="2:10" ht="18" x14ac:dyDescent="0.25">
      <c r="B3" s="86" t="s">
        <v>156</v>
      </c>
    </row>
    <row r="5" spans="2:10" x14ac:dyDescent="0.2">
      <c r="E5" s="87" t="s">
        <v>171</v>
      </c>
      <c r="F5" s="87"/>
      <c r="G5" s="87"/>
      <c r="H5" s="87"/>
      <c r="I5" s="87"/>
      <c r="J5" s="87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1"/>
  <sheetViews>
    <sheetView zoomScaleNormal="100" workbookViewId="0">
      <selection activeCell="H26" sqref="H2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4"/>
    </row>
    <row r="2" spans="2:18" ht="15.75" x14ac:dyDescent="0.25">
      <c r="B2" s="13" t="str">
        <f>'EB2'!B8</f>
        <v>AGR</v>
      </c>
      <c r="C2" s="13" t="str">
        <f>'EB2'!C8</f>
        <v>Agriculture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54" t="s">
        <v>14</v>
      </c>
      <c r="K2" s="154"/>
      <c r="L2" s="155"/>
      <c r="M2" s="155"/>
      <c r="N2" s="155"/>
      <c r="O2" s="155"/>
      <c r="P2" s="155"/>
      <c r="Q2" s="155"/>
      <c r="R2" s="155"/>
    </row>
    <row r="3" spans="2:18" x14ac:dyDescent="0.2">
      <c r="J3" s="156" t="s">
        <v>7</v>
      </c>
      <c r="K3" s="157" t="s">
        <v>30</v>
      </c>
      <c r="L3" s="156" t="s">
        <v>0</v>
      </c>
      <c r="M3" s="156" t="s">
        <v>3</v>
      </c>
      <c r="N3" s="156" t="s">
        <v>4</v>
      </c>
      <c r="O3" s="156" t="s">
        <v>8</v>
      </c>
      <c r="P3" s="156" t="s">
        <v>9</v>
      </c>
      <c r="Q3" s="156" t="s">
        <v>10</v>
      </c>
      <c r="R3" s="156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58" t="s">
        <v>37</v>
      </c>
      <c r="K4" s="158" t="s">
        <v>31</v>
      </c>
      <c r="L4" s="158" t="s">
        <v>26</v>
      </c>
      <c r="M4" s="158" t="s">
        <v>27</v>
      </c>
      <c r="N4" s="158" t="s">
        <v>4</v>
      </c>
      <c r="O4" s="158" t="s">
        <v>40</v>
      </c>
      <c r="P4" s="158" t="s">
        <v>41</v>
      </c>
      <c r="Q4" s="158" t="s">
        <v>28</v>
      </c>
      <c r="R4" s="158" t="s">
        <v>29</v>
      </c>
    </row>
    <row r="5" spans="2:18" x14ac:dyDescent="0.2">
      <c r="B5" s="7"/>
      <c r="C5" s="7"/>
      <c r="D5" s="7"/>
      <c r="E5" s="15"/>
      <c r="F5" s="15"/>
      <c r="G5" s="85"/>
      <c r="H5" s="14"/>
      <c r="J5" s="159" t="s">
        <v>72</v>
      </c>
      <c r="K5" s="159"/>
      <c r="L5" s="159" t="str">
        <f>$B$2&amp;'EB2'!$D$2</f>
        <v>AGRCOA</v>
      </c>
      <c r="M5" s="160" t="str">
        <f>$C$2&amp;" "&amp;'EB2'!$D$3</f>
        <v>Agriculture Solid Fuels</v>
      </c>
      <c r="N5" s="159" t="str">
        <f>$E$2</f>
        <v>PJ</v>
      </c>
      <c r="O5" s="159"/>
      <c r="P5" s="159"/>
      <c r="Q5" s="159"/>
      <c r="R5" s="159"/>
    </row>
    <row r="6" spans="2:18" x14ac:dyDescent="0.2">
      <c r="B6" s="7"/>
      <c r="C6" s="7"/>
      <c r="D6" s="7"/>
      <c r="E6" s="15"/>
      <c r="F6" s="15"/>
      <c r="G6" s="85"/>
      <c r="H6" s="14"/>
      <c r="J6" s="159"/>
      <c r="K6" s="159"/>
      <c r="L6" s="159" t="str">
        <f>$B$2&amp;'EB2'!$E$2</f>
        <v>AGRGAS</v>
      </c>
      <c r="M6" s="160" t="str">
        <f>$C$2&amp;" "&amp;'EB2'!$E$3</f>
        <v>Agriculture Natural Gas</v>
      </c>
      <c r="N6" s="159" t="str">
        <f>$E$2</f>
        <v>PJ</v>
      </c>
      <c r="O6" s="159"/>
      <c r="P6" s="159"/>
      <c r="Q6" s="159"/>
      <c r="R6" s="159"/>
    </row>
    <row r="7" spans="2:18" x14ac:dyDescent="0.2">
      <c r="B7" s="7"/>
      <c r="C7" s="7"/>
      <c r="D7" s="7"/>
      <c r="E7" s="15"/>
      <c r="F7" s="15"/>
      <c r="G7" s="85"/>
      <c r="H7" s="14"/>
      <c r="J7" s="159"/>
      <c r="K7" s="159"/>
      <c r="L7" s="159" t="str">
        <f>$B$2&amp;'EB2'!$F$2</f>
        <v>AGROIL</v>
      </c>
      <c r="M7" s="160" t="str">
        <f>$C$2&amp;" "&amp;RIGHT('EB2'!$F$3,3)</f>
        <v>Agriculture oil</v>
      </c>
      <c r="N7" s="159" t="str">
        <f>$E$2</f>
        <v>PJ</v>
      </c>
      <c r="O7" s="159"/>
      <c r="P7" s="159"/>
      <c r="Q7" s="159"/>
      <c r="R7" s="159"/>
    </row>
    <row r="8" spans="2:18" x14ac:dyDescent="0.2">
      <c r="B8" s="7"/>
      <c r="C8" s="7"/>
      <c r="D8" s="7"/>
      <c r="E8" s="15"/>
      <c r="F8" s="15"/>
      <c r="G8" s="85"/>
      <c r="H8" s="14"/>
      <c r="J8" s="159"/>
      <c r="K8" s="159"/>
      <c r="L8" s="159" t="str">
        <f>$B$2&amp;'EB2'!$O$2</f>
        <v>AGRBIO</v>
      </c>
      <c r="M8" s="160" t="str">
        <f>$C$2&amp;" "&amp;'EB2'!$O$3</f>
        <v>Agriculture Biomass</v>
      </c>
      <c r="N8" s="159" t="str">
        <f>$E$2</f>
        <v>PJ</v>
      </c>
      <c r="O8" s="159"/>
      <c r="P8" s="159"/>
      <c r="Q8" s="159"/>
      <c r="R8" s="159"/>
    </row>
    <row r="9" spans="2:18" x14ac:dyDescent="0.2">
      <c r="B9" s="7"/>
      <c r="C9" s="7"/>
      <c r="D9" s="7"/>
      <c r="E9" s="15"/>
      <c r="F9" s="15"/>
      <c r="G9" s="85"/>
      <c r="H9" s="14"/>
      <c r="J9" s="159"/>
      <c r="K9" s="159"/>
      <c r="L9" s="159" t="str">
        <f>$B$2&amp;'EB2'!$U$2</f>
        <v>AGRELC</v>
      </c>
      <c r="M9" s="160" t="str">
        <f>$C$2&amp;" "&amp;'EB2'!$U$3</f>
        <v>Agriculture Electricity</v>
      </c>
      <c r="N9" s="159" t="str">
        <f>$E$2</f>
        <v>PJ</v>
      </c>
      <c r="O9" s="159"/>
      <c r="P9" s="159" t="s">
        <v>128</v>
      </c>
      <c r="Q9" s="159"/>
      <c r="R9" s="159" t="s">
        <v>50</v>
      </c>
    </row>
    <row r="10" spans="2:18" x14ac:dyDescent="0.2">
      <c r="B10" s="7"/>
      <c r="C10" s="7"/>
      <c r="D10" s="7"/>
      <c r="E10" s="15"/>
      <c r="F10" s="15"/>
      <c r="G10" s="85"/>
      <c r="H10" s="14"/>
      <c r="J10" s="5"/>
      <c r="K10" s="5"/>
      <c r="L10" s="5"/>
      <c r="M10" s="26"/>
      <c r="N10" s="5"/>
      <c r="O10" s="5"/>
      <c r="P10" s="5"/>
      <c r="Q10" s="5"/>
      <c r="R10" s="5"/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54" t="s">
        <v>15</v>
      </c>
      <c r="K12" s="154"/>
      <c r="L12" s="161"/>
      <c r="M12" s="161"/>
      <c r="N12" s="161"/>
      <c r="O12" s="161"/>
      <c r="P12" s="161"/>
      <c r="Q12" s="161"/>
      <c r="R12" s="161"/>
    </row>
    <row r="13" spans="2:18" x14ac:dyDescent="0.2">
      <c r="B13" s="22" t="s">
        <v>1</v>
      </c>
      <c r="C13" s="22" t="s">
        <v>5</v>
      </c>
      <c r="D13" s="22" t="s">
        <v>6</v>
      </c>
      <c r="E13" s="91" t="s">
        <v>150</v>
      </c>
      <c r="F13" s="88" t="s">
        <v>130</v>
      </c>
      <c r="G13" s="88" t="s">
        <v>84</v>
      </c>
      <c r="H13" s="88" t="s">
        <v>79</v>
      </c>
      <c r="J13" s="156" t="s">
        <v>11</v>
      </c>
      <c r="K13" s="157" t="s">
        <v>30</v>
      </c>
      <c r="L13" s="156" t="s">
        <v>1</v>
      </c>
      <c r="M13" s="156" t="s">
        <v>2</v>
      </c>
      <c r="N13" s="156" t="s">
        <v>16</v>
      </c>
      <c r="O13" s="156" t="s">
        <v>17</v>
      </c>
      <c r="P13" s="156" t="s">
        <v>18</v>
      </c>
      <c r="Q13" s="156" t="s">
        <v>19</v>
      </c>
      <c r="R13" s="156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149</v>
      </c>
      <c r="F14" s="20" t="s">
        <v>34</v>
      </c>
      <c r="G14" s="20" t="s">
        <v>89</v>
      </c>
      <c r="H14" s="20" t="s">
        <v>172</v>
      </c>
      <c r="J14" s="158" t="s">
        <v>38</v>
      </c>
      <c r="K14" s="158" t="s">
        <v>31</v>
      </c>
      <c r="L14" s="158" t="s">
        <v>21</v>
      </c>
      <c r="M14" s="158" t="s">
        <v>22</v>
      </c>
      <c r="N14" s="158" t="s">
        <v>23</v>
      </c>
      <c r="O14" s="158" t="s">
        <v>24</v>
      </c>
      <c r="P14" s="158" t="s">
        <v>43</v>
      </c>
      <c r="Q14" s="158" t="s">
        <v>42</v>
      </c>
      <c r="R14" s="158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58" t="s">
        <v>81</v>
      </c>
      <c r="K15" s="162"/>
      <c r="L15" s="162"/>
      <c r="M15" s="162"/>
      <c r="N15" s="162"/>
      <c r="O15" s="162"/>
      <c r="P15" s="162"/>
      <c r="Q15" s="162"/>
      <c r="R15" s="162"/>
    </row>
    <row r="16" spans="2:18" x14ac:dyDescent="0.2">
      <c r="B16" t="str">
        <f>L16</f>
        <v>FTE-AGRCOA</v>
      </c>
      <c r="C16" t="str">
        <f>RIGHT(D16,3)</f>
        <v>COA</v>
      </c>
      <c r="D16" t="str">
        <f>L5</f>
        <v>AGRCOA</v>
      </c>
      <c r="E16" s="15"/>
      <c r="G16" s="80">
        <v>1</v>
      </c>
      <c r="H16" s="81">
        <v>30</v>
      </c>
      <c r="J16" s="163" t="s">
        <v>116</v>
      </c>
      <c r="K16" s="159"/>
      <c r="L16" s="159" t="str">
        <f>"FT"&amp;$G$2&amp;"-"&amp;L5</f>
        <v>FTE-AGRCOA</v>
      </c>
      <c r="M16" s="160" t="str">
        <f>$D$2&amp;" Technology"&amp;" "&amp;$G$1&amp;" "&amp;M5</f>
        <v>Sector Fuel Technology Existing Agriculture Solid Fuels</v>
      </c>
      <c r="N16" s="159" t="str">
        <f>$E$2</f>
        <v>PJ</v>
      </c>
      <c r="O16" s="159" t="str">
        <f>$E$2&amp;"a"</f>
        <v>PJa</v>
      </c>
      <c r="P16" s="159"/>
      <c r="Q16" s="159"/>
      <c r="R16" s="159"/>
    </row>
    <row r="17" spans="2:18" x14ac:dyDescent="0.2">
      <c r="B17" t="str">
        <f>L17</f>
        <v>FTE-AGRGAS</v>
      </c>
      <c r="C17" t="str">
        <f>RIGHT(D17,3)</f>
        <v>GAS</v>
      </c>
      <c r="D17" t="str">
        <f>L6</f>
        <v>AGRGAS</v>
      </c>
      <c r="E17" s="15"/>
      <c r="G17" s="80">
        <v>1</v>
      </c>
      <c r="H17" s="81">
        <v>30</v>
      </c>
      <c r="J17" s="159"/>
      <c r="K17" s="159"/>
      <c r="L17" s="159" t="str">
        <f>"FT"&amp;$G$2&amp;"-"&amp;L6</f>
        <v>FTE-AGRGAS</v>
      </c>
      <c r="M17" s="160" t="str">
        <f>$D$2&amp;" Technology"&amp;" "&amp;$G$1&amp;" "&amp;M6</f>
        <v>Sector Fuel Technology Existing Agriculture Natural Gas</v>
      </c>
      <c r="N17" s="159" t="str">
        <f>$E$2</f>
        <v>PJ</v>
      </c>
      <c r="O17" s="159" t="str">
        <f>$E$2&amp;"a"</f>
        <v>PJa</v>
      </c>
      <c r="P17" s="159"/>
      <c r="Q17" s="159"/>
      <c r="R17" s="159"/>
    </row>
    <row r="18" spans="2:18" x14ac:dyDescent="0.2">
      <c r="B18" t="str">
        <f>L18</f>
        <v>FTE-AGROIL</v>
      </c>
      <c r="C18" t="str">
        <f>'EB2'!$G$2</f>
        <v>DSL</v>
      </c>
      <c r="D18" t="str">
        <f>L7</f>
        <v>AGROIL</v>
      </c>
      <c r="E18" s="15"/>
      <c r="G18" s="80">
        <v>1</v>
      </c>
      <c r="H18" s="81">
        <v>30</v>
      </c>
      <c r="J18" s="159"/>
      <c r="K18" s="159"/>
      <c r="L18" s="159" t="str">
        <f>"FT"&amp;$G$2&amp;"-"&amp;L7</f>
        <v>FTE-AGROIL</v>
      </c>
      <c r="M18" s="160" t="str">
        <f>$D$2&amp;" Technology"&amp;" "&amp;$G$1&amp;" "&amp;M7</f>
        <v>Sector Fuel Technology Existing Agriculture oil</v>
      </c>
      <c r="N18" s="159" t="str">
        <f>$E$2</f>
        <v>PJ</v>
      </c>
      <c r="O18" s="159" t="str">
        <f>$E$2&amp;"a"</f>
        <v>PJa</v>
      </c>
      <c r="P18" s="159"/>
      <c r="Q18" s="159"/>
      <c r="R18" s="159"/>
    </row>
    <row r="19" spans="2:18" x14ac:dyDescent="0.2">
      <c r="C19" t="str">
        <f>'EB2'!$H$2</f>
        <v>KER</v>
      </c>
      <c r="E19" s="15"/>
      <c r="G19" s="85"/>
      <c r="H19" s="14"/>
      <c r="J19" s="159"/>
      <c r="K19" s="159"/>
      <c r="L19" s="159" t="str">
        <f>"FT"&amp;$G$2&amp;"-"&amp;L8</f>
        <v>FTE-AGRBIO</v>
      </c>
      <c r="M19" s="160" t="str">
        <f>$D$2&amp;" Technology"&amp;" "&amp;$G$1&amp;" "&amp;M8</f>
        <v>Sector Fuel Technology Existing Agriculture Biomass</v>
      </c>
      <c r="N19" s="159" t="str">
        <f>$E$2</f>
        <v>PJ</v>
      </c>
      <c r="O19" s="159" t="str">
        <f>$E$2&amp;"a"</f>
        <v>PJa</v>
      </c>
      <c r="P19" s="159"/>
      <c r="Q19" s="159"/>
      <c r="R19" s="159"/>
    </row>
    <row r="20" spans="2:18" x14ac:dyDescent="0.2">
      <c r="C20" t="str">
        <f>'EB2'!$I$2</f>
        <v>LPG</v>
      </c>
      <c r="E20" s="15"/>
      <c r="G20" s="85"/>
      <c r="H20" s="14"/>
      <c r="J20" s="159"/>
      <c r="K20" s="159"/>
      <c r="L20" s="159" t="str">
        <f>"FT"&amp;$G$2&amp;"-"&amp;L9</f>
        <v>FTE-AGRELC</v>
      </c>
      <c r="M20" s="160" t="str">
        <f>$D$2&amp;" Technology"&amp;" "&amp;$G$1&amp;" "&amp;M9</f>
        <v>Sector Fuel Technology Existing Agriculture Electricity</v>
      </c>
      <c r="N20" s="159" t="str">
        <f>$E$2</f>
        <v>PJ</v>
      </c>
      <c r="O20" s="159" t="str">
        <f>$E$2&amp;"a"</f>
        <v>PJa</v>
      </c>
      <c r="P20" s="159" t="s">
        <v>128</v>
      </c>
      <c r="Q20" s="159"/>
      <c r="R20" s="159"/>
    </row>
    <row r="21" spans="2:18" x14ac:dyDescent="0.2">
      <c r="C21" t="str">
        <f>'EB2'!$J$2</f>
        <v>GSL</v>
      </c>
      <c r="E21" s="15"/>
      <c r="G21" s="85"/>
      <c r="H21" s="14"/>
      <c r="J21" s="5"/>
      <c r="K21" s="5"/>
      <c r="L21" s="5"/>
      <c r="M21" s="26"/>
      <c r="N21" s="5"/>
      <c r="O21" s="5"/>
      <c r="P21" s="5"/>
      <c r="Q21" s="5"/>
      <c r="R21" s="5"/>
    </row>
    <row r="22" spans="2:18" x14ac:dyDescent="0.2">
      <c r="C22" t="str">
        <f>'EB2'!$L$2</f>
        <v>HFO</v>
      </c>
      <c r="E22" s="15"/>
      <c r="G22" s="85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5"/>
      <c r="G23" s="85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FTE-AGRBIO</v>
      </c>
      <c r="C24" t="str">
        <f>RIGHT(D24,3)</f>
        <v>BIO</v>
      </c>
      <c r="D24" t="str">
        <f>L8</f>
        <v>AGRBIO</v>
      </c>
      <c r="E24" s="15"/>
      <c r="G24" s="80">
        <v>1</v>
      </c>
      <c r="H24" s="81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FTE-AGRELC</v>
      </c>
      <c r="C25" t="str">
        <f>RIGHT(D25,3)</f>
        <v>ELC</v>
      </c>
      <c r="D25" t="str">
        <f>L9</f>
        <v>AGRELC</v>
      </c>
      <c r="E25" s="15"/>
      <c r="G25" s="80">
        <v>1</v>
      </c>
      <c r="H25" s="81">
        <v>30</v>
      </c>
      <c r="J25" s="33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s="5"/>
      <c r="C26" s="5"/>
      <c r="D26" s="5"/>
      <c r="E26" s="15"/>
      <c r="G26" s="85"/>
      <c r="H26" s="14"/>
      <c r="J26" s="39"/>
      <c r="K26" s="37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5"/>
      <c r="H27" s="14"/>
      <c r="J27" s="40"/>
      <c r="K27" s="40"/>
      <c r="L27" s="5"/>
      <c r="M27" s="26"/>
      <c r="N27" s="5"/>
      <c r="O27" s="5"/>
      <c r="P27" s="40"/>
      <c r="Q27" s="40"/>
      <c r="R27" s="5"/>
    </row>
    <row r="28" spans="2:18" x14ac:dyDescent="0.2">
      <c r="B28" s="40"/>
      <c r="C28" s="40"/>
      <c r="D28" s="40"/>
      <c r="E28" s="15"/>
      <c r="F28" s="15"/>
      <c r="G28" s="85"/>
      <c r="H28" s="14"/>
      <c r="J28" s="5"/>
      <c r="K28" s="5"/>
      <c r="L28" s="5"/>
      <c r="M28" s="5"/>
      <c r="N28" s="5"/>
      <c r="O28" s="5"/>
      <c r="P28" s="5"/>
      <c r="Q28" s="5"/>
      <c r="R28" s="5"/>
    </row>
    <row r="29" spans="2:18" x14ac:dyDescent="0.2">
      <c r="B29" s="35"/>
      <c r="C29" s="5"/>
      <c r="D29" s="35"/>
      <c r="E29" s="15"/>
      <c r="F29" s="15"/>
      <c r="G29" s="85"/>
      <c r="H29" s="14"/>
    </row>
    <row r="30" spans="2:18" x14ac:dyDescent="0.2">
      <c r="B30" s="35"/>
      <c r="C30" s="5"/>
      <c r="D30" s="35"/>
      <c r="E30" s="15"/>
      <c r="F30" s="15"/>
      <c r="G30" s="85"/>
      <c r="H30" s="14"/>
    </row>
    <row r="31" spans="2:18" x14ac:dyDescent="0.2">
      <c r="B31" s="35"/>
      <c r="C31" s="5"/>
      <c r="D31" s="35"/>
      <c r="E31" s="116"/>
      <c r="F31" s="15"/>
      <c r="G31" s="85"/>
      <c r="H31" s="14"/>
    </row>
    <row r="32" spans="2:18" x14ac:dyDescent="0.2">
      <c r="B32" s="35"/>
      <c r="C32" s="5"/>
      <c r="D32" s="35"/>
      <c r="E32" s="116"/>
      <c r="F32" s="15"/>
      <c r="G32" s="85"/>
      <c r="H32" s="14"/>
    </row>
    <row r="33" spans="2:8" x14ac:dyDescent="0.2">
      <c r="B33" s="35"/>
      <c r="C33" s="5"/>
      <c r="D33" s="35"/>
      <c r="E33" s="116"/>
      <c r="F33" s="15"/>
      <c r="G33" s="85"/>
      <c r="H33" s="14"/>
    </row>
    <row r="34" spans="2:8" x14ac:dyDescent="0.2">
      <c r="B34" s="35"/>
      <c r="C34" s="5"/>
      <c r="D34" s="35"/>
      <c r="E34" s="116"/>
      <c r="F34" s="15"/>
      <c r="G34" s="85"/>
      <c r="H34" s="14"/>
    </row>
    <row r="35" spans="2:8" x14ac:dyDescent="0.2">
      <c r="B35" s="36"/>
      <c r="C35" s="5"/>
      <c r="D35" s="35"/>
      <c r="E35" s="15"/>
      <c r="F35" s="15"/>
      <c r="G35" s="85"/>
      <c r="H35" s="14"/>
    </row>
    <row r="36" spans="2:8" x14ac:dyDescent="0.2">
      <c r="B36" s="36"/>
      <c r="C36" s="5"/>
      <c r="D36" s="35"/>
      <c r="E36" s="15"/>
      <c r="F36" s="15"/>
      <c r="G36" s="85"/>
      <c r="H36" s="14"/>
    </row>
    <row r="40" spans="2:8" x14ac:dyDescent="0.2">
      <c r="B40" s="56"/>
      <c r="C40" s="1" t="s">
        <v>154</v>
      </c>
    </row>
    <row r="41" spans="2:8" x14ac:dyDescent="0.2">
      <c r="B41" s="79"/>
      <c r="C41" s="1" t="s">
        <v>155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9"/>
  <sheetViews>
    <sheetView zoomScaleNormal="100" workbookViewId="0">
      <selection activeCell="O7" sqref="O7"/>
    </sheetView>
  </sheetViews>
  <sheetFormatPr defaultRowHeight="12.75" x14ac:dyDescent="0.2"/>
  <cols>
    <col min="1" max="1" width="3" customWidth="1"/>
    <col min="2" max="2" width="12.140625" bestFit="1" customWidth="1"/>
    <col min="3" max="3" width="26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6.140625" bestFit="1" customWidth="1"/>
    <col min="8" max="8" width="13.140625" bestFit="1" customWidth="1"/>
    <col min="9" max="9" width="12.2851562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6.140625" bestFit="1" customWidth="1"/>
    <col min="15" max="15" width="77.570312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30"/>
      <c r="H1" s="11" t="s">
        <v>78</v>
      </c>
      <c r="I1" s="44"/>
      <c r="J1" s="11" t="s">
        <v>99</v>
      </c>
    </row>
    <row r="2" spans="2:20" ht="31.5" x14ac:dyDescent="0.25">
      <c r="B2" s="13" t="str">
        <f>'EB2'!B8</f>
        <v>AGR</v>
      </c>
      <c r="C2" s="13" t="str">
        <f>'EB2'!C8</f>
        <v>Agriculture</v>
      </c>
      <c r="D2" s="25" t="str">
        <f>"Demand Technologies"</f>
        <v>Demand Technologies</v>
      </c>
      <c r="E2" s="13" t="str">
        <f>'EB2'!Z2</f>
        <v>PJ</v>
      </c>
      <c r="F2" s="13" t="s">
        <v>144</v>
      </c>
      <c r="G2" s="13"/>
      <c r="H2" s="13" t="str">
        <f>'EB2'!Y2</f>
        <v>M€2005</v>
      </c>
      <c r="I2" s="12"/>
      <c r="J2" s="13" t="s">
        <v>100</v>
      </c>
      <c r="L2" s="154" t="s">
        <v>14</v>
      </c>
      <c r="M2" s="154"/>
      <c r="N2" s="155"/>
      <c r="O2" s="155"/>
      <c r="P2" s="155"/>
      <c r="Q2" s="155"/>
      <c r="R2" s="155"/>
      <c r="S2" s="155"/>
      <c r="T2" s="155"/>
    </row>
    <row r="3" spans="2:20" x14ac:dyDescent="0.2">
      <c r="L3" s="156" t="s">
        <v>7</v>
      </c>
      <c r="M3" s="157" t="s">
        <v>30</v>
      </c>
      <c r="N3" s="156" t="s">
        <v>0</v>
      </c>
      <c r="O3" s="156" t="s">
        <v>3</v>
      </c>
      <c r="P3" s="156" t="s">
        <v>4</v>
      </c>
      <c r="Q3" s="156" t="s">
        <v>8</v>
      </c>
      <c r="R3" s="156" t="s">
        <v>9</v>
      </c>
      <c r="S3" s="156" t="s">
        <v>10</v>
      </c>
      <c r="T3" s="156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L4" s="158" t="s">
        <v>37</v>
      </c>
      <c r="M4" s="158" t="s">
        <v>31</v>
      </c>
      <c r="N4" s="158" t="s">
        <v>26</v>
      </c>
      <c r="O4" s="158" t="s">
        <v>27</v>
      </c>
      <c r="P4" s="158" t="s">
        <v>4</v>
      </c>
      <c r="Q4" s="158" t="s">
        <v>40</v>
      </c>
      <c r="R4" s="158" t="s">
        <v>41</v>
      </c>
      <c r="S4" s="158" t="s">
        <v>28</v>
      </c>
      <c r="T4" s="158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L5" s="163" t="s">
        <v>83</v>
      </c>
      <c r="M5" s="159"/>
      <c r="N5" s="163" t="str">
        <f>LEFT($L$5,1)&amp;LEFT($B$2,1)&amp;'EB2'!$C$20</f>
        <v>DAOT</v>
      </c>
      <c r="O5" s="163" t="str">
        <f>LEFT($D$2,6)&amp;" "&amp;$C$2&amp; " Sector - "&amp;'EB2'!$X$20</f>
        <v>Demand Agriculture Sector - Demand</v>
      </c>
      <c r="P5" s="163" t="str">
        <f>$E$2</f>
        <v>PJ</v>
      </c>
      <c r="Q5" s="163"/>
      <c r="R5" s="163"/>
      <c r="S5" s="163"/>
      <c r="T5" s="163"/>
    </row>
    <row r="6" spans="2:20" x14ac:dyDescent="0.2">
      <c r="L6" s="161" t="s">
        <v>109</v>
      </c>
      <c r="M6" s="161"/>
      <c r="N6" s="161" t="str">
        <f>$B$2&amp;'EB2'!$C$29</f>
        <v>AGRCO2</v>
      </c>
      <c r="O6" s="161" t="str">
        <f>$C$2&amp;" "&amp;'EB2'!$C$30</f>
        <v>Agriculture Carbon dioxide</v>
      </c>
      <c r="P6" s="161" t="str">
        <f>'EB2'!$AA$2</f>
        <v>kt</v>
      </c>
      <c r="Q6" s="161"/>
      <c r="R6" s="161"/>
      <c r="S6" s="161"/>
      <c r="T6" s="161"/>
    </row>
    <row r="7" spans="2:20" ht="15" x14ac:dyDescent="0.25">
      <c r="G7" s="146" t="s">
        <v>161</v>
      </c>
    </row>
    <row r="8" spans="2:20" ht="15" x14ac:dyDescent="0.25">
      <c r="D8" s="4" t="s">
        <v>13</v>
      </c>
      <c r="E8" s="4"/>
      <c r="G8" s="147">
        <v>0.2</v>
      </c>
      <c r="H8" s="4"/>
      <c r="I8" s="4"/>
      <c r="J8" s="18"/>
      <c r="L8" s="154" t="s">
        <v>15</v>
      </c>
      <c r="M8" s="154"/>
      <c r="N8" s="161"/>
      <c r="O8" s="161"/>
      <c r="P8" s="161"/>
      <c r="Q8" s="161"/>
      <c r="R8" s="161"/>
      <c r="S8" s="161"/>
      <c r="T8" s="161"/>
    </row>
    <row r="9" spans="2:20" ht="25.5" x14ac:dyDescent="0.2">
      <c r="B9" s="22" t="s">
        <v>1</v>
      </c>
      <c r="C9" s="22" t="s">
        <v>5</v>
      </c>
      <c r="D9" s="22" t="s">
        <v>6</v>
      </c>
      <c r="E9" s="88" t="s">
        <v>130</v>
      </c>
      <c r="F9" s="91" t="s">
        <v>150</v>
      </c>
      <c r="G9" s="91" t="s">
        <v>162</v>
      </c>
      <c r="H9" s="88" t="s">
        <v>84</v>
      </c>
      <c r="I9" s="88" t="s">
        <v>97</v>
      </c>
      <c r="J9" s="88" t="s">
        <v>79</v>
      </c>
      <c r="L9" s="156" t="s">
        <v>11</v>
      </c>
      <c r="M9" s="157" t="s">
        <v>30</v>
      </c>
      <c r="N9" s="156" t="s">
        <v>1</v>
      </c>
      <c r="O9" s="156" t="s">
        <v>2</v>
      </c>
      <c r="P9" s="156" t="s">
        <v>16</v>
      </c>
      <c r="Q9" s="156" t="s">
        <v>17</v>
      </c>
      <c r="R9" s="156" t="s">
        <v>18</v>
      </c>
      <c r="S9" s="156" t="s">
        <v>19</v>
      </c>
      <c r="T9" s="156" t="s">
        <v>20</v>
      </c>
    </row>
    <row r="10" spans="2:20" ht="23.25" thickBot="1" x14ac:dyDescent="0.25">
      <c r="B10" s="20" t="s">
        <v>39</v>
      </c>
      <c r="C10" s="20" t="s">
        <v>32</v>
      </c>
      <c r="D10" s="20" t="s">
        <v>33</v>
      </c>
      <c r="E10" s="20" t="s">
        <v>34</v>
      </c>
      <c r="F10" s="20" t="s">
        <v>149</v>
      </c>
      <c r="G10" s="144" t="s">
        <v>149</v>
      </c>
      <c r="H10" s="20" t="s">
        <v>89</v>
      </c>
      <c r="I10" s="102" t="s">
        <v>98</v>
      </c>
      <c r="J10" s="20" t="s">
        <v>92</v>
      </c>
      <c r="L10" s="158" t="s">
        <v>38</v>
      </c>
      <c r="M10" s="158" t="s">
        <v>31</v>
      </c>
      <c r="N10" s="158" t="s">
        <v>21</v>
      </c>
      <c r="O10" s="158" t="s">
        <v>22</v>
      </c>
      <c r="P10" s="158" t="s">
        <v>23</v>
      </c>
      <c r="Q10" s="158" t="s">
        <v>24</v>
      </c>
      <c r="R10" s="158" t="s">
        <v>43</v>
      </c>
      <c r="S10" s="158" t="s">
        <v>42</v>
      </c>
      <c r="T10" s="158" t="s">
        <v>25</v>
      </c>
    </row>
    <row r="11" spans="2:20" ht="13.5" thickBot="1" x14ac:dyDescent="0.25">
      <c r="B11" s="19" t="s">
        <v>90</v>
      </c>
      <c r="C11" s="19"/>
      <c r="D11" s="19"/>
      <c r="E11" s="17" t="s">
        <v>122</v>
      </c>
      <c r="F11" s="17"/>
      <c r="G11" s="143"/>
      <c r="H11" s="17"/>
      <c r="I11" s="90"/>
      <c r="J11" s="17" t="s">
        <v>91</v>
      </c>
      <c r="L11" s="158" t="s">
        <v>81</v>
      </c>
      <c r="M11" s="158"/>
      <c r="N11" s="158"/>
      <c r="O11" s="158"/>
      <c r="P11" s="158"/>
      <c r="Q11" s="158"/>
      <c r="R11" s="158"/>
      <c r="S11" s="158"/>
      <c r="T11" s="158"/>
    </row>
    <row r="12" spans="2:20" x14ac:dyDescent="0.2">
      <c r="B12" t="str">
        <f>N12</f>
        <v>AOTETOT</v>
      </c>
      <c r="C12" t="str">
        <f>Sector_Fuels_AGR!L5</f>
        <v>AGRCOA</v>
      </c>
      <c r="D12" t="str">
        <f>$N$5</f>
        <v>DAOT</v>
      </c>
      <c r="E12" s="16"/>
      <c r="F12" s="140">
        <f>'EB2'!$D$6/('EB2'!$D$6+'EB2'!$E$6+SUM('EB2'!$G$6:$J$6,'EB2'!$L$6:$M$6)+'EB2'!$O$6+'EB2'!$U$6)</f>
        <v>7.179568674540544E-3</v>
      </c>
      <c r="G12" s="145">
        <f>IF(F12=0,20%,F12*(1+$G$8))</f>
        <v>8.6154824094486528E-3</v>
      </c>
      <c r="H12" s="82">
        <v>1</v>
      </c>
      <c r="I12" s="82">
        <v>1</v>
      </c>
      <c r="J12" s="56">
        <v>20</v>
      </c>
      <c r="L12" s="163" t="s">
        <v>96</v>
      </c>
      <c r="M12" s="159"/>
      <c r="N12" s="159" t="str">
        <f>LEFT($B$2)&amp;'EB2'!$C$20&amp;$J$2&amp;'EB2'!$V$2</f>
        <v>AOTETOT</v>
      </c>
      <c r="O12" s="164" t="str">
        <f>$D$2&amp;" "&amp;$C$2&amp; " Sector - "&amp;""&amp;$J$1&amp;" "&amp;'EB2'!$X$20&amp;" - "&amp;'EB2'!$V$2</f>
        <v>Demand Technologies Agriculture Sector - Existing Demand - TOT</v>
      </c>
      <c r="P12" s="159" t="str">
        <f>$E$2</f>
        <v>PJ</v>
      </c>
      <c r="Q12" s="159" t="str">
        <f>$E$2&amp;"a"</f>
        <v>PJa</v>
      </c>
      <c r="R12" s="159"/>
      <c r="S12" s="159"/>
      <c r="T12" s="159"/>
    </row>
    <row r="13" spans="2:20" x14ac:dyDescent="0.2">
      <c r="C13" t="str">
        <f>Sector_Fuels_AGR!L6</f>
        <v>AGRGAS</v>
      </c>
      <c r="E13" s="23"/>
      <c r="F13" s="140">
        <f>'EB2'!$E$6/('EB2'!$D$6+'EB2'!$E$6+SUM('EB2'!$G$6:$J$6,'EB2'!$L$6:$M$6)+'EB2'!$O$6+'EB2'!$U$6)</f>
        <v>0.37874393628467257</v>
      </c>
      <c r="G13" s="145">
        <f>IF(F13=0,20%,F13*(1+$G$8))</f>
        <v>0.45449272354160708</v>
      </c>
      <c r="H13" s="21"/>
      <c r="I13" s="21"/>
      <c r="L13" s="5"/>
      <c r="M13" s="5"/>
      <c r="N13" s="5"/>
      <c r="O13" s="95"/>
      <c r="P13" s="5"/>
      <c r="Q13" s="5"/>
      <c r="R13" s="5"/>
      <c r="S13" s="5"/>
      <c r="T13" s="5"/>
    </row>
    <row r="14" spans="2:20" x14ac:dyDescent="0.2">
      <c r="C14" t="str">
        <f>Sector_Fuels_AGR!L7</f>
        <v>AGROIL</v>
      </c>
      <c r="E14" s="9"/>
      <c r="F14" s="140">
        <f>SUM('EB2'!$G$6:$J$6,'EB2'!$L$6:$M$6)/('EB2'!$D$6+'EB2'!$E$6+SUM('EB2'!$G$6:$J$6,'EB2'!$L$6:$M$6)+'EB2'!$O$6+'EB2'!$U$6)</f>
        <v>0.15401636485812167</v>
      </c>
      <c r="G14" s="145">
        <f>IF(F14=0,20%,F14*(1+$G$8))</f>
        <v>0.184819637829746</v>
      </c>
      <c r="H14" s="21"/>
      <c r="I14" s="21"/>
      <c r="L14" s="5"/>
      <c r="M14" s="5"/>
      <c r="N14" s="5"/>
      <c r="O14" s="26"/>
      <c r="P14" s="5"/>
      <c r="Q14" s="5"/>
      <c r="R14" s="5"/>
      <c r="S14" s="5"/>
      <c r="T14" s="5"/>
    </row>
    <row r="15" spans="2:20" x14ac:dyDescent="0.2">
      <c r="B15" s="7"/>
      <c r="C15" t="str">
        <f>Sector_Fuels_AGR!L8</f>
        <v>AGRBIO</v>
      </c>
      <c r="D15" s="7"/>
      <c r="E15" s="23"/>
      <c r="F15" s="140">
        <f>'EB2'!$O$6/('EB2'!$D$6+'EB2'!$E$6+SUM('EB2'!$G$6:$J$6,'EB2'!$L$6:$M$6)+'EB2'!$O$6+'EB2'!$U$6)</f>
        <v>4.6845795981693746E-3</v>
      </c>
      <c r="G15" s="145">
        <f>IF(F15=0,20%,F15*(1+$G$8))</f>
        <v>5.6214955178032497E-3</v>
      </c>
      <c r="H15" s="24"/>
      <c r="I15" s="24"/>
      <c r="J15" s="7"/>
      <c r="L15" s="5"/>
      <c r="M15" s="5"/>
      <c r="N15" s="5"/>
      <c r="O15" s="26"/>
      <c r="P15" s="5"/>
      <c r="Q15" s="5"/>
      <c r="R15" s="5"/>
      <c r="S15" s="5"/>
      <c r="T15" s="5"/>
    </row>
    <row r="16" spans="2:20" x14ac:dyDescent="0.2">
      <c r="B16" s="7"/>
      <c r="C16" t="str">
        <f>Sector_Fuels_AGR!L9</f>
        <v>AGRELC</v>
      </c>
      <c r="E16" s="23"/>
      <c r="F16" s="140">
        <f>'EB2'!$U$6/('EB2'!$D$6+'EB2'!$E$6+SUM('EB2'!$G$6:$J$6,'EB2'!$L$6:$M$6)+'EB2'!$O$6+'EB2'!$U$6)</f>
        <v>0.45537555058449591</v>
      </c>
      <c r="G16" s="145">
        <f>IF(F16=0,20%,F16*(1+$G$8))</f>
        <v>0.54645066070139503</v>
      </c>
      <c r="H16" s="24"/>
      <c r="I16" s="24"/>
      <c r="J16" s="7"/>
      <c r="L16" s="5"/>
      <c r="M16" s="5"/>
      <c r="N16" s="5"/>
      <c r="O16" s="26"/>
      <c r="P16" s="5"/>
      <c r="Q16" s="5"/>
      <c r="R16" s="5"/>
      <c r="S16" s="5"/>
      <c r="T16" s="5"/>
    </row>
    <row r="17" spans="2:20" x14ac:dyDescent="0.2">
      <c r="F17" s="15"/>
      <c r="G17" s="1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5"/>
      <c r="G18" s="1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F19" s="15"/>
      <c r="G19" s="1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F22" s="15"/>
      <c r="G22" s="15"/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"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">
      <c r="B24" s="56"/>
      <c r="C24" s="1" t="s">
        <v>154</v>
      </c>
    </row>
    <row r="25" spans="2:20" x14ac:dyDescent="0.2">
      <c r="B25" s="79"/>
      <c r="C25" s="1" t="s">
        <v>155</v>
      </c>
    </row>
    <row r="26" spans="2:20" x14ac:dyDescent="0.2">
      <c r="K26" s="1"/>
    </row>
    <row r="27" spans="2:20" x14ac:dyDescent="0.2">
      <c r="K27" s="1"/>
    </row>
    <row r="28" spans="2:20" x14ac:dyDescent="0.2">
      <c r="K28" s="1"/>
    </row>
    <row r="29" spans="2:20" x14ac:dyDescent="0.2">
      <c r="K29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2"/>
  <sheetViews>
    <sheetView zoomScaleNormal="100" workbookViewId="0">
      <selection activeCell="H27" sqref="H2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4"/>
    </row>
    <row r="2" spans="2:18" ht="15.75" x14ac:dyDescent="0.25">
      <c r="B2" s="13" t="str">
        <f>'EB2'!B6</f>
        <v>COM</v>
      </c>
      <c r="C2" s="13" t="str">
        <f>'EB2'!C6</f>
        <v>Commercial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54" t="s">
        <v>14</v>
      </c>
      <c r="K2" s="154"/>
      <c r="L2" s="155"/>
      <c r="M2" s="155"/>
      <c r="N2" s="155"/>
      <c r="O2" s="155"/>
      <c r="P2" s="155"/>
      <c r="Q2" s="155"/>
      <c r="R2" s="155"/>
    </row>
    <row r="3" spans="2:18" x14ac:dyDescent="0.2">
      <c r="J3" s="156" t="s">
        <v>7</v>
      </c>
      <c r="K3" s="157" t="s">
        <v>30</v>
      </c>
      <c r="L3" s="156" t="s">
        <v>0</v>
      </c>
      <c r="M3" s="156" t="s">
        <v>3</v>
      </c>
      <c r="N3" s="156" t="s">
        <v>4</v>
      </c>
      <c r="O3" s="156" t="s">
        <v>8</v>
      </c>
      <c r="P3" s="156" t="s">
        <v>9</v>
      </c>
      <c r="Q3" s="156" t="s">
        <v>10</v>
      </c>
      <c r="R3" s="156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58" t="s">
        <v>37</v>
      </c>
      <c r="K4" s="158" t="s">
        <v>31</v>
      </c>
      <c r="L4" s="158" t="s">
        <v>26</v>
      </c>
      <c r="M4" s="158" t="s">
        <v>27</v>
      </c>
      <c r="N4" s="158" t="s">
        <v>4</v>
      </c>
      <c r="O4" s="158" t="s">
        <v>40</v>
      </c>
      <c r="P4" s="158" t="s">
        <v>41</v>
      </c>
      <c r="Q4" s="158" t="s">
        <v>28</v>
      </c>
      <c r="R4" s="158" t="s">
        <v>29</v>
      </c>
    </row>
    <row r="5" spans="2:18" x14ac:dyDescent="0.2">
      <c r="B5" s="7"/>
      <c r="C5" s="7"/>
      <c r="D5" s="7"/>
      <c r="E5" s="15"/>
      <c r="F5" s="15"/>
      <c r="G5" s="85"/>
      <c r="H5" s="14"/>
      <c r="J5" s="159" t="s">
        <v>72</v>
      </c>
      <c r="K5" s="159"/>
      <c r="L5" s="159" t="str">
        <f>$B$2&amp;'EB2'!$D$2</f>
        <v>COMCOA</v>
      </c>
      <c r="M5" s="160" t="str">
        <f>$C$2&amp;" "&amp;'EB2'!$D$3</f>
        <v>Commercial Solid Fuels</v>
      </c>
      <c r="N5" s="159" t="str">
        <f t="shared" ref="N5:N10" si="0">$E$2</f>
        <v>PJ</v>
      </c>
      <c r="O5" s="159"/>
      <c r="P5" s="159"/>
      <c r="Q5" s="159"/>
      <c r="R5" s="159"/>
    </row>
    <row r="6" spans="2:18" x14ac:dyDescent="0.2">
      <c r="B6" s="7"/>
      <c r="C6" s="7"/>
      <c r="D6" s="7"/>
      <c r="E6" s="15"/>
      <c r="F6" s="15"/>
      <c r="G6" s="85"/>
      <c r="H6" s="14"/>
      <c r="J6" s="159"/>
      <c r="K6" s="159"/>
      <c r="L6" s="159" t="str">
        <f>$B$2&amp;'EB2'!$E$2</f>
        <v>COMGAS</v>
      </c>
      <c r="M6" s="160" t="str">
        <f>$C$2&amp;" "&amp;'EB2'!$E$3</f>
        <v>Commercial Natural Gas</v>
      </c>
      <c r="N6" s="159" t="str">
        <f t="shared" si="0"/>
        <v>PJ</v>
      </c>
      <c r="O6" s="159"/>
      <c r="P6" s="159"/>
      <c r="Q6" s="159"/>
      <c r="R6" s="159"/>
    </row>
    <row r="7" spans="2:18" x14ac:dyDescent="0.2">
      <c r="B7" s="7"/>
      <c r="C7" s="7"/>
      <c r="D7" s="7"/>
      <c r="E7" s="15"/>
      <c r="F7" s="15"/>
      <c r="G7" s="85"/>
      <c r="H7" s="14"/>
      <c r="J7" s="159"/>
      <c r="K7" s="159"/>
      <c r="L7" s="159" t="str">
        <f>$B$2&amp;'EB2'!$F$2</f>
        <v>COMOIL</v>
      </c>
      <c r="M7" s="160" t="str">
        <f>$C$2&amp;" "&amp;RIGHT('EB2'!$F$3,3)</f>
        <v>Commercial oil</v>
      </c>
      <c r="N7" s="159" t="str">
        <f t="shared" si="0"/>
        <v>PJ</v>
      </c>
      <c r="O7" s="159"/>
      <c r="P7" s="159"/>
      <c r="Q7" s="159"/>
      <c r="R7" s="159"/>
    </row>
    <row r="8" spans="2:18" x14ac:dyDescent="0.2">
      <c r="B8" s="7"/>
      <c r="C8" s="7"/>
      <c r="D8" s="7"/>
      <c r="E8" s="15"/>
      <c r="F8" s="15"/>
      <c r="G8" s="85"/>
      <c r="H8" s="14"/>
      <c r="J8" s="159"/>
      <c r="K8" s="159"/>
      <c r="L8" s="159" t="str">
        <f>$B$2&amp;'EB2'!$O$2</f>
        <v>COMBIO</v>
      </c>
      <c r="M8" s="160" t="str">
        <f>$C$2&amp;" "&amp;'EB2'!$O$3</f>
        <v>Commercial Biomass</v>
      </c>
      <c r="N8" s="159" t="str">
        <f t="shared" si="0"/>
        <v>PJ</v>
      </c>
      <c r="O8" s="159"/>
      <c r="P8" s="159"/>
      <c r="Q8" s="159"/>
      <c r="R8" s="159"/>
    </row>
    <row r="9" spans="2:18" x14ac:dyDescent="0.2">
      <c r="B9" s="7"/>
      <c r="C9" s="7"/>
      <c r="D9" s="7"/>
      <c r="E9" s="15"/>
      <c r="F9" s="15"/>
      <c r="G9" s="85"/>
      <c r="H9" s="14"/>
      <c r="J9" s="161"/>
      <c r="K9" s="161"/>
      <c r="L9" s="159" t="str">
        <f>$B$2&amp;'EB2'!$R$2</f>
        <v>COMSOL</v>
      </c>
      <c r="M9" s="160" t="str">
        <f>$C$2&amp;" "&amp;'EB2'!$R$3</f>
        <v>Commercial Solar energy</v>
      </c>
      <c r="N9" s="159" t="str">
        <f t="shared" si="0"/>
        <v>PJ</v>
      </c>
      <c r="O9" s="161"/>
      <c r="P9" s="161"/>
      <c r="Q9" s="161"/>
      <c r="R9" s="161"/>
    </row>
    <row r="10" spans="2:18" x14ac:dyDescent="0.2">
      <c r="B10" s="7"/>
      <c r="C10" s="7"/>
      <c r="D10" s="7"/>
      <c r="E10" s="15"/>
      <c r="F10" s="15"/>
      <c r="G10" s="85"/>
      <c r="H10" s="14"/>
      <c r="J10" s="159"/>
      <c r="K10" s="159"/>
      <c r="L10" s="159" t="str">
        <f>$B$2&amp;'EB2'!$U$2</f>
        <v>COMELC</v>
      </c>
      <c r="M10" s="160" t="str">
        <f>$C$2&amp;" "&amp;'EB2'!$U$3</f>
        <v>Commercial Electricity</v>
      </c>
      <c r="N10" s="159" t="str">
        <f t="shared" si="0"/>
        <v>PJ</v>
      </c>
      <c r="O10" s="159"/>
      <c r="P10" s="159" t="s">
        <v>128</v>
      </c>
      <c r="Q10" s="159"/>
      <c r="R10" s="159" t="s">
        <v>50</v>
      </c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54" t="s">
        <v>15</v>
      </c>
      <c r="K12" s="154"/>
      <c r="L12" s="161"/>
      <c r="M12" s="161"/>
      <c r="N12" s="161"/>
      <c r="O12" s="161"/>
      <c r="P12" s="161"/>
      <c r="Q12" s="161"/>
      <c r="R12" s="161"/>
    </row>
    <row r="13" spans="2:18" x14ac:dyDescent="0.2">
      <c r="B13" s="22" t="s">
        <v>1</v>
      </c>
      <c r="C13" s="22" t="s">
        <v>5</v>
      </c>
      <c r="D13" s="22" t="s">
        <v>6</v>
      </c>
      <c r="E13" s="91" t="s">
        <v>150</v>
      </c>
      <c r="F13" s="88" t="s">
        <v>130</v>
      </c>
      <c r="G13" s="88" t="s">
        <v>84</v>
      </c>
      <c r="H13" s="88" t="s">
        <v>79</v>
      </c>
      <c r="J13" s="156" t="s">
        <v>11</v>
      </c>
      <c r="K13" s="157" t="s">
        <v>30</v>
      </c>
      <c r="L13" s="156" t="s">
        <v>1</v>
      </c>
      <c r="M13" s="156" t="s">
        <v>2</v>
      </c>
      <c r="N13" s="156" t="s">
        <v>16</v>
      </c>
      <c r="O13" s="156" t="s">
        <v>17</v>
      </c>
      <c r="P13" s="156" t="s">
        <v>18</v>
      </c>
      <c r="Q13" s="156" t="s">
        <v>19</v>
      </c>
      <c r="R13" s="156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149</v>
      </c>
      <c r="F14" s="20" t="s">
        <v>34</v>
      </c>
      <c r="G14" s="20" t="s">
        <v>89</v>
      </c>
      <c r="H14" s="20" t="s">
        <v>92</v>
      </c>
      <c r="J14" s="158" t="s">
        <v>38</v>
      </c>
      <c r="K14" s="158" t="s">
        <v>31</v>
      </c>
      <c r="L14" s="158" t="s">
        <v>21</v>
      </c>
      <c r="M14" s="158" t="s">
        <v>22</v>
      </c>
      <c r="N14" s="158" t="s">
        <v>23</v>
      </c>
      <c r="O14" s="158" t="s">
        <v>24</v>
      </c>
      <c r="P14" s="158" t="s">
        <v>43</v>
      </c>
      <c r="Q14" s="158" t="s">
        <v>42</v>
      </c>
      <c r="R14" s="158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58" t="s">
        <v>81</v>
      </c>
      <c r="K15" s="162"/>
      <c r="L15" s="162"/>
      <c r="M15" s="162"/>
      <c r="N15" s="162"/>
      <c r="O15" s="162"/>
      <c r="P15" s="162"/>
      <c r="Q15" s="162"/>
      <c r="R15" s="162"/>
    </row>
    <row r="16" spans="2:18" x14ac:dyDescent="0.2">
      <c r="B16" t="str">
        <f>L16</f>
        <v>FTE-COMCOA</v>
      </c>
      <c r="C16" t="str">
        <f>RIGHT(D16,3)</f>
        <v>COA</v>
      </c>
      <c r="D16" t="str">
        <f>L5</f>
        <v>COMCOA</v>
      </c>
      <c r="E16" s="15"/>
      <c r="F16" s="15"/>
      <c r="G16" s="80">
        <v>1</v>
      </c>
      <c r="H16" s="81">
        <v>30</v>
      </c>
      <c r="J16" s="163" t="s">
        <v>116</v>
      </c>
      <c r="K16" s="159"/>
      <c r="L16" s="159" t="str">
        <f t="shared" ref="L16:L21" si="1">"FT"&amp;$G$2&amp;"-"&amp;L5</f>
        <v>FTE-COMCOA</v>
      </c>
      <c r="M16" s="160" t="str">
        <f t="shared" ref="M16:M21" si="2">$D$2&amp;" Technology"&amp;" "&amp;$G$1&amp;" "&amp;M5</f>
        <v>Sector Fuel Technology Existing Commercial Solid Fuels</v>
      </c>
      <c r="N16" s="159" t="str">
        <f t="shared" ref="N16:N21" si="3">$E$2</f>
        <v>PJ</v>
      </c>
      <c r="O16" s="159" t="str">
        <f t="shared" ref="O16:O21" si="4">$E$2&amp;"a"</f>
        <v>PJa</v>
      </c>
      <c r="P16" s="159"/>
      <c r="Q16" s="159"/>
      <c r="R16" s="159"/>
    </row>
    <row r="17" spans="2:18" x14ac:dyDescent="0.2">
      <c r="B17" t="str">
        <f>L17</f>
        <v>FTE-COMGAS</v>
      </c>
      <c r="C17" t="str">
        <f>RIGHT(D17,3)</f>
        <v>GAS</v>
      </c>
      <c r="D17" t="str">
        <f>L6</f>
        <v>COMGAS</v>
      </c>
      <c r="E17" s="15"/>
      <c r="F17" s="15"/>
      <c r="G17" s="80">
        <v>1</v>
      </c>
      <c r="H17" s="81">
        <v>30</v>
      </c>
      <c r="J17" s="159"/>
      <c r="K17" s="159"/>
      <c r="L17" s="159" t="str">
        <f t="shared" si="1"/>
        <v>FTE-COMGAS</v>
      </c>
      <c r="M17" s="160" t="str">
        <f t="shared" si="2"/>
        <v>Sector Fuel Technology Existing Commercial Natural Gas</v>
      </c>
      <c r="N17" s="159" t="str">
        <f t="shared" si="3"/>
        <v>PJ</v>
      </c>
      <c r="O17" s="159" t="str">
        <f t="shared" si="4"/>
        <v>PJa</v>
      </c>
      <c r="P17" s="159"/>
      <c r="Q17" s="159"/>
      <c r="R17" s="159"/>
    </row>
    <row r="18" spans="2:18" x14ac:dyDescent="0.2">
      <c r="B18" t="str">
        <f>L18</f>
        <v>FTE-COMOIL</v>
      </c>
      <c r="C18" t="str">
        <f>'EB2'!$G$2</f>
        <v>DSL</v>
      </c>
      <c r="D18" t="str">
        <f>L7</f>
        <v>COMOIL</v>
      </c>
      <c r="E18" s="140">
        <f>'EB2'!$G$6/SUM('EB2'!$G$6:$J$6,'EB2'!$L$6:$M$6)*1.01</f>
        <v>0.87161460441501615</v>
      </c>
      <c r="G18" s="80">
        <v>1</v>
      </c>
      <c r="H18" s="81">
        <v>30</v>
      </c>
      <c r="J18" s="159"/>
      <c r="K18" s="159"/>
      <c r="L18" s="159" t="str">
        <f t="shared" si="1"/>
        <v>FTE-COMOIL</v>
      </c>
      <c r="M18" s="160" t="str">
        <f t="shared" si="2"/>
        <v>Sector Fuel Technology Existing Commercial oil</v>
      </c>
      <c r="N18" s="159" t="str">
        <f t="shared" si="3"/>
        <v>PJ</v>
      </c>
      <c r="O18" s="159" t="str">
        <f t="shared" si="4"/>
        <v>PJa</v>
      </c>
      <c r="P18" s="159"/>
      <c r="Q18" s="159"/>
      <c r="R18" s="159"/>
    </row>
    <row r="19" spans="2:18" x14ac:dyDescent="0.2">
      <c r="C19" t="str">
        <f>'EB2'!$H$2</f>
        <v>KER</v>
      </c>
      <c r="E19" s="140">
        <f>'EB2'!$H$6/SUM('EB2'!$G$6:$J$6,'EB2'!$L$6:$M$6)*1.01</f>
        <v>3.9629157356605559E-3</v>
      </c>
      <c r="F19" s="15"/>
      <c r="G19" s="85"/>
      <c r="H19" s="14"/>
      <c r="J19" s="159"/>
      <c r="K19" s="159"/>
      <c r="L19" s="159" t="str">
        <f t="shared" si="1"/>
        <v>FTE-COMBIO</v>
      </c>
      <c r="M19" s="160" t="str">
        <f t="shared" si="2"/>
        <v>Sector Fuel Technology Existing Commercial Biomass</v>
      </c>
      <c r="N19" s="159" t="str">
        <f t="shared" si="3"/>
        <v>PJ</v>
      </c>
      <c r="O19" s="159" t="str">
        <f t="shared" si="4"/>
        <v>PJa</v>
      </c>
      <c r="P19" s="159"/>
      <c r="Q19" s="159"/>
      <c r="R19" s="159"/>
    </row>
    <row r="20" spans="2:18" x14ac:dyDescent="0.2">
      <c r="C20" t="str">
        <f>'EB2'!$I$2</f>
        <v>LPG</v>
      </c>
      <c r="E20" s="140">
        <f>'EB2'!$I$6/SUM('EB2'!$G$6:$J$6,'EB2'!$L$6:$M$6)*1.01</f>
        <v>7.4678630338905719E-2</v>
      </c>
      <c r="F20" s="15"/>
      <c r="G20" s="85"/>
      <c r="H20" s="14"/>
      <c r="J20" s="161"/>
      <c r="K20" s="161"/>
      <c r="L20" s="159" t="str">
        <f t="shared" si="1"/>
        <v>FTE-COMSOL</v>
      </c>
      <c r="M20" s="160" t="str">
        <f t="shared" si="2"/>
        <v>Sector Fuel Technology Existing Commercial Solar energy</v>
      </c>
      <c r="N20" s="159" t="str">
        <f t="shared" si="3"/>
        <v>PJ</v>
      </c>
      <c r="O20" s="159" t="str">
        <f t="shared" si="4"/>
        <v>PJa</v>
      </c>
      <c r="P20" s="161"/>
      <c r="Q20" s="159"/>
      <c r="R20" s="159"/>
    </row>
    <row r="21" spans="2:18" x14ac:dyDescent="0.2">
      <c r="C21" t="str">
        <f>'EB2'!$J$2</f>
        <v>GSL</v>
      </c>
      <c r="E21" s="140">
        <f>'EB2'!$J$6/SUM('EB2'!$G$6:$J$6,'EB2'!$L$6:$M$6)*1.01</f>
        <v>1.3516921889074763E-2</v>
      </c>
      <c r="F21" s="15"/>
      <c r="G21" s="85"/>
      <c r="H21" s="14"/>
      <c r="J21" s="159"/>
      <c r="K21" s="159"/>
      <c r="L21" s="159" t="str">
        <f t="shared" si="1"/>
        <v>FTE-COMELC</v>
      </c>
      <c r="M21" s="160" t="str">
        <f t="shared" si="2"/>
        <v>Sector Fuel Technology Existing Commercial Electricity</v>
      </c>
      <c r="N21" s="159" t="str">
        <f t="shared" si="3"/>
        <v>PJ</v>
      </c>
      <c r="O21" s="159" t="str">
        <f t="shared" si="4"/>
        <v>PJa</v>
      </c>
      <c r="P21" s="159" t="s">
        <v>128</v>
      </c>
      <c r="Q21" s="159"/>
      <c r="R21" s="159"/>
    </row>
    <row r="22" spans="2:18" x14ac:dyDescent="0.2">
      <c r="C22" t="str">
        <f>'EB2'!$L$2</f>
        <v>HFO</v>
      </c>
      <c r="E22" s="140">
        <f>'EB2'!$L$6/SUM('EB2'!$G$6:$J$6,'EB2'!$L$6:$M$6)*1.01</f>
        <v>4.5655057849112668E-2</v>
      </c>
      <c r="F22" s="15"/>
      <c r="G22" s="85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40">
        <f>'EB2'!$M$6/SUM('EB2'!$G$6:$J$6,'EB2'!$L$6:$M$6)*1.01</f>
        <v>5.7186977223008622E-4</v>
      </c>
      <c r="F23" s="15"/>
      <c r="G23" s="85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FTE-COMBIO</v>
      </c>
      <c r="C24" t="str">
        <f>RIGHT(D24,3)</f>
        <v>BIO</v>
      </c>
      <c r="D24" t="str">
        <f>L8</f>
        <v>COMBIO</v>
      </c>
      <c r="E24" s="15"/>
      <c r="F24" s="15"/>
      <c r="G24" s="80">
        <v>1</v>
      </c>
      <c r="H24" s="81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FTE-COMSOL</v>
      </c>
      <c r="C25" t="str">
        <f>RIGHT(D25,3)</f>
        <v>SOL</v>
      </c>
      <c r="D25" t="str">
        <f>L9</f>
        <v>COMSOL</v>
      </c>
      <c r="E25" s="15"/>
      <c r="F25" s="15"/>
      <c r="G25" s="80">
        <v>1</v>
      </c>
      <c r="H25" s="81">
        <v>30</v>
      </c>
      <c r="J25" s="34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FTE-COMELC</v>
      </c>
      <c r="C26" t="str">
        <f>RIGHT(D26,3)</f>
        <v>ELC</v>
      </c>
      <c r="D26" t="str">
        <f>L10</f>
        <v>COMELC</v>
      </c>
      <c r="E26" s="15"/>
      <c r="F26" s="15"/>
      <c r="G26" s="80">
        <v>1</v>
      </c>
      <c r="H26" s="81">
        <v>30</v>
      </c>
      <c r="J26" s="33"/>
      <c r="K26" s="33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5"/>
      <c r="H27" s="14"/>
      <c r="J27" s="39"/>
      <c r="K27" s="37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5"/>
      <c r="H28" s="14"/>
      <c r="J28" s="40"/>
      <c r="K28" s="40"/>
      <c r="L28" s="5"/>
      <c r="M28" s="26"/>
      <c r="N28" s="5"/>
      <c r="O28" s="5"/>
      <c r="P28" s="40"/>
      <c r="Q28" s="40"/>
      <c r="R28" s="5"/>
    </row>
    <row r="29" spans="2:18" x14ac:dyDescent="0.2">
      <c r="B29" s="40"/>
      <c r="C29" s="40"/>
      <c r="D29" s="40"/>
      <c r="E29" s="15"/>
      <c r="F29" s="15"/>
      <c r="G29" s="85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5"/>
      <c r="C30" s="5"/>
      <c r="D30" s="35"/>
      <c r="E30" s="15"/>
      <c r="F30" s="15"/>
      <c r="G30" s="85"/>
      <c r="H30" s="14"/>
    </row>
    <row r="31" spans="2:18" x14ac:dyDescent="0.2">
      <c r="B31" s="35"/>
      <c r="C31" s="5"/>
      <c r="D31" s="35"/>
      <c r="E31" s="15"/>
      <c r="F31" s="15"/>
      <c r="G31" s="85"/>
      <c r="H31" s="14"/>
    </row>
    <row r="32" spans="2:18" x14ac:dyDescent="0.2">
      <c r="B32" s="35"/>
      <c r="C32" s="5"/>
      <c r="D32" s="35"/>
      <c r="E32" s="116"/>
      <c r="F32" s="15"/>
      <c r="G32" s="85"/>
      <c r="H32" s="14"/>
    </row>
    <row r="33" spans="2:8" x14ac:dyDescent="0.2">
      <c r="B33" s="35"/>
      <c r="C33" s="5"/>
      <c r="D33" s="35"/>
      <c r="E33" s="116"/>
      <c r="F33" s="15"/>
      <c r="G33" s="85"/>
      <c r="H33" s="14"/>
    </row>
    <row r="34" spans="2:8" x14ac:dyDescent="0.2">
      <c r="B34" s="35"/>
      <c r="C34" s="5"/>
      <c r="D34" s="35"/>
      <c r="E34" s="116"/>
      <c r="F34" s="15"/>
      <c r="G34" s="85"/>
      <c r="H34" s="14"/>
    </row>
    <row r="35" spans="2:8" x14ac:dyDescent="0.2">
      <c r="B35" s="35"/>
      <c r="C35" s="5"/>
      <c r="D35" s="35"/>
      <c r="E35" s="116"/>
      <c r="F35" s="15"/>
      <c r="G35" s="85"/>
      <c r="H35" s="14"/>
    </row>
    <row r="36" spans="2:8" x14ac:dyDescent="0.2">
      <c r="B36" s="36"/>
      <c r="C36" s="5"/>
      <c r="D36" s="35"/>
      <c r="E36" s="15"/>
      <c r="F36" s="15"/>
      <c r="G36" s="85"/>
      <c r="H36" s="14"/>
    </row>
    <row r="37" spans="2:8" x14ac:dyDescent="0.2">
      <c r="B37" s="36"/>
      <c r="C37" s="5"/>
      <c r="D37" s="35"/>
      <c r="E37" s="15"/>
      <c r="F37" s="15"/>
      <c r="G37" s="85"/>
      <c r="H37" s="14"/>
    </row>
    <row r="41" spans="2:8" x14ac:dyDescent="0.2">
      <c r="B41" s="56"/>
      <c r="C41" s="1" t="s">
        <v>154</v>
      </c>
    </row>
    <row r="42" spans="2:8" x14ac:dyDescent="0.2">
      <c r="B42" s="79"/>
      <c r="C42" s="1" t="s">
        <v>155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H12" sqref="H1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40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11" t="s">
        <v>78</v>
      </c>
      <c r="I1" s="11" t="s">
        <v>99</v>
      </c>
    </row>
    <row r="2" spans="2:21" ht="31.5" x14ac:dyDescent="0.25">
      <c r="B2" s="13" t="str">
        <f>'EB2'!B6</f>
        <v>COM</v>
      </c>
      <c r="C2" s="13" t="str">
        <f>'EB2'!C6</f>
        <v>Commercial</v>
      </c>
      <c r="D2" s="25" t="str">
        <f>"Demand Technologies"</f>
        <v>Demand Technologies</v>
      </c>
      <c r="E2" s="13" t="str">
        <f>'EB2'!Z2</f>
        <v>PJ</v>
      </c>
      <c r="F2" s="13" t="s">
        <v>122</v>
      </c>
      <c r="G2" s="13" t="str">
        <f>'EB2'!Y2</f>
        <v>M€2005</v>
      </c>
      <c r="I2" s="13" t="s">
        <v>100</v>
      </c>
      <c r="M2" s="154" t="s">
        <v>14</v>
      </c>
      <c r="N2" s="154"/>
      <c r="O2" s="155"/>
      <c r="P2" s="155"/>
      <c r="Q2" s="155"/>
      <c r="R2" s="155"/>
      <c r="S2" s="155"/>
      <c r="T2" s="155"/>
      <c r="U2" s="155"/>
    </row>
    <row r="3" spans="2:21" x14ac:dyDescent="0.2">
      <c r="M3" s="156" t="s">
        <v>7</v>
      </c>
      <c r="N3" s="157" t="s">
        <v>30</v>
      </c>
      <c r="O3" s="156" t="s">
        <v>0</v>
      </c>
      <c r="P3" s="156" t="s">
        <v>3</v>
      </c>
      <c r="Q3" s="156" t="s">
        <v>4</v>
      </c>
      <c r="R3" s="156" t="s">
        <v>8</v>
      </c>
      <c r="S3" s="156" t="s">
        <v>9</v>
      </c>
      <c r="T3" s="156" t="s">
        <v>10</v>
      </c>
      <c r="U3" s="156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40"/>
      <c r="M4" s="158" t="s">
        <v>37</v>
      </c>
      <c r="N4" s="158" t="s">
        <v>31</v>
      </c>
      <c r="O4" s="158" t="s">
        <v>26</v>
      </c>
      <c r="P4" s="158" t="s">
        <v>27</v>
      </c>
      <c r="Q4" s="158" t="s">
        <v>4</v>
      </c>
      <c r="R4" s="158" t="s">
        <v>40</v>
      </c>
      <c r="S4" s="158" t="s">
        <v>41</v>
      </c>
      <c r="T4" s="158" t="s">
        <v>28</v>
      </c>
      <c r="U4" s="158" t="s">
        <v>29</v>
      </c>
    </row>
    <row r="5" spans="2:21" s="5" customFormat="1" ht="15.75" x14ac:dyDescent="0.25">
      <c r="B5" s="12"/>
      <c r="C5" s="12"/>
      <c r="D5" s="12"/>
      <c r="E5" s="12"/>
      <c r="F5" s="12"/>
      <c r="L5" s="40"/>
      <c r="M5" s="163" t="s">
        <v>83</v>
      </c>
      <c r="N5" s="159"/>
      <c r="O5" s="163" t="str">
        <f>LEFT($M$5,1)&amp;LEFT($B$2,1)&amp;'EB2'!$C$24</f>
        <v>DCSH</v>
      </c>
      <c r="P5" s="163" t="str">
        <f>LEFT($D$2,6)&amp;" "&amp;$C$2&amp; " Sector - "&amp;'EB2'!$X$24</f>
        <v>Demand Commercial Sector - Space Heating</v>
      </c>
      <c r="Q5" s="163" t="str">
        <f>$E$2</f>
        <v>PJ</v>
      </c>
      <c r="R5" s="163"/>
      <c r="S5" s="163"/>
      <c r="T5" s="163"/>
      <c r="U5" s="163"/>
    </row>
    <row r="6" spans="2:21" s="5" customFormat="1" ht="15.75" x14ac:dyDescent="0.25">
      <c r="B6" s="12"/>
      <c r="C6" s="12"/>
      <c r="D6" s="12"/>
      <c r="E6" s="12"/>
      <c r="F6" s="12"/>
      <c r="L6" s="40"/>
      <c r="M6" s="163"/>
      <c r="N6" s="159"/>
      <c r="O6" s="163" t="str">
        <f>LEFT($M$5,1)&amp;LEFT($B$2,1)&amp;'EB2'!$C$25</f>
        <v>DCAP</v>
      </c>
      <c r="P6" s="163" t="str">
        <f>LEFT($D$2,6)&amp;" "&amp;$C$2&amp; " Sector - "&amp;'EB2'!$X$25</f>
        <v>Demand Commercial Sector - Appliancens</v>
      </c>
      <c r="Q6" s="163" t="str">
        <f>$E$2</f>
        <v>PJ</v>
      </c>
      <c r="R6" s="163"/>
      <c r="S6" s="163"/>
      <c r="T6" s="163"/>
      <c r="U6" s="163"/>
    </row>
    <row r="7" spans="2:21" s="5" customFormat="1" ht="15.75" x14ac:dyDescent="0.25">
      <c r="B7" s="12"/>
      <c r="C7" s="12"/>
      <c r="D7" s="12"/>
      <c r="E7" s="12"/>
      <c r="F7" s="12"/>
      <c r="L7" s="40"/>
      <c r="M7" s="163"/>
      <c r="N7" s="159"/>
      <c r="O7" s="163" t="str">
        <f>LEFT($M$5,1)&amp;LEFT($B$2,1)&amp;'EB2'!$C$26</f>
        <v>DCOT</v>
      </c>
      <c r="P7" s="163" t="str">
        <f>LEFT($D$2,6)&amp;" "&amp;$C$2&amp; " Sector - "&amp;'EB2'!$X$26</f>
        <v>Demand Commercial Sector - Other</v>
      </c>
      <c r="Q7" s="163" t="str">
        <f>$E$2</f>
        <v>PJ</v>
      </c>
      <c r="R7" s="163"/>
      <c r="S7" s="163"/>
      <c r="T7" s="163"/>
      <c r="U7" s="163"/>
    </row>
    <row r="8" spans="2:21" x14ac:dyDescent="0.2">
      <c r="M8" s="161" t="s">
        <v>109</v>
      </c>
      <c r="N8" s="161"/>
      <c r="O8" s="161" t="str">
        <f>$B$2&amp;'EB2'!$C$29</f>
        <v>COMCO2</v>
      </c>
      <c r="P8" s="161" t="str">
        <f>$C$2&amp;" "&amp;'EB2'!$C$30</f>
        <v>Commercial Carbon dioxide</v>
      </c>
      <c r="Q8" s="161" t="str">
        <f>'EB2'!$AA$2</f>
        <v>kt</v>
      </c>
      <c r="R8" s="161"/>
      <c r="S8" s="161"/>
      <c r="T8" s="161"/>
      <c r="U8" s="161"/>
    </row>
    <row r="10" spans="2:21" x14ac:dyDescent="0.2">
      <c r="D10" s="4" t="s">
        <v>13</v>
      </c>
      <c r="E10" s="4"/>
      <c r="G10" s="4"/>
      <c r="H10" s="4"/>
      <c r="I10" s="18"/>
      <c r="M10" s="154" t="s">
        <v>15</v>
      </c>
      <c r="N10" s="154"/>
      <c r="O10" s="161"/>
      <c r="P10" s="161"/>
      <c r="Q10" s="161"/>
      <c r="R10" s="161"/>
      <c r="S10" s="161"/>
      <c r="T10" s="161"/>
      <c r="U10" s="161"/>
    </row>
    <row r="11" spans="2:21" x14ac:dyDescent="0.2">
      <c r="B11" s="22" t="s">
        <v>1</v>
      </c>
      <c r="C11" s="22" t="s">
        <v>5</v>
      </c>
      <c r="D11" s="22" t="s">
        <v>6</v>
      </c>
      <c r="E11" s="88" t="s">
        <v>130</v>
      </c>
      <c r="F11" s="88" t="s">
        <v>84</v>
      </c>
      <c r="G11" s="88" t="s">
        <v>97</v>
      </c>
      <c r="H11" s="88" t="s">
        <v>173</v>
      </c>
      <c r="I11" s="88" t="s">
        <v>79</v>
      </c>
      <c r="K11" s="115" t="s">
        <v>35</v>
      </c>
      <c r="L11" s="125"/>
      <c r="M11" s="156" t="s">
        <v>11</v>
      </c>
      <c r="N11" s="157" t="s">
        <v>30</v>
      </c>
      <c r="O11" s="156" t="s">
        <v>1</v>
      </c>
      <c r="P11" s="156" t="s">
        <v>2</v>
      </c>
      <c r="Q11" s="156" t="s">
        <v>16</v>
      </c>
      <c r="R11" s="156" t="s">
        <v>17</v>
      </c>
      <c r="S11" s="156" t="s">
        <v>18</v>
      </c>
      <c r="T11" s="156" t="s">
        <v>19</v>
      </c>
      <c r="U11" s="156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2" t="s">
        <v>98</v>
      </c>
      <c r="H12" s="20" t="s">
        <v>123</v>
      </c>
      <c r="I12" s="20" t="s">
        <v>172</v>
      </c>
      <c r="K12" s="115" t="s">
        <v>159</v>
      </c>
      <c r="L12" s="49"/>
      <c r="M12" s="158" t="s">
        <v>38</v>
      </c>
      <c r="N12" s="158" t="s">
        <v>31</v>
      </c>
      <c r="O12" s="158" t="s">
        <v>21</v>
      </c>
      <c r="P12" s="158" t="s">
        <v>22</v>
      </c>
      <c r="Q12" s="158" t="s">
        <v>23</v>
      </c>
      <c r="R12" s="158" t="s">
        <v>24</v>
      </c>
      <c r="S12" s="158" t="s">
        <v>43</v>
      </c>
      <c r="T12" s="158" t="s">
        <v>42</v>
      </c>
      <c r="U12" s="158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122</v>
      </c>
      <c r="F13" s="17"/>
      <c r="G13" s="90"/>
      <c r="H13" s="17" t="str">
        <f>$F$2&amp;"/"&amp;$E$2</f>
        <v>GW/PJ</v>
      </c>
      <c r="I13" s="17" t="s">
        <v>91</v>
      </c>
      <c r="K13" s="17"/>
      <c r="M13" s="158" t="s">
        <v>81</v>
      </c>
      <c r="N13" s="158"/>
      <c r="O13" s="158"/>
      <c r="P13" s="158"/>
      <c r="Q13" s="158"/>
      <c r="R13" s="158"/>
      <c r="S13" s="158"/>
      <c r="T13" s="158"/>
      <c r="U13" s="158"/>
    </row>
    <row r="14" spans="2:21" x14ac:dyDescent="0.2">
      <c r="B14" t="str">
        <f>O14</f>
        <v>CSHECOA</v>
      </c>
      <c r="C14" t="str">
        <f>$B$2&amp;RIGHT(B14,3)</f>
        <v>COMCOA</v>
      </c>
      <c r="D14" t="str">
        <f t="shared" ref="D14:D19" si="0">$O$5</f>
        <v>DCSH</v>
      </c>
      <c r="E14" s="78">
        <f>'EB2'!$D$6*'EB2'!$D$24/(G14*H14)*1.01</f>
        <v>0</v>
      </c>
      <c r="F14" s="82">
        <v>0.85</v>
      </c>
      <c r="G14" s="82">
        <v>0.3</v>
      </c>
      <c r="H14" s="84">
        <v>31.536000000000001</v>
      </c>
      <c r="I14" s="56">
        <v>15</v>
      </c>
      <c r="K14" s="43">
        <f>E14*G14*H14</f>
        <v>0</v>
      </c>
      <c r="M14" s="163" t="s">
        <v>96</v>
      </c>
      <c r="N14" s="159"/>
      <c r="O14" s="159" t="str">
        <f>LEFT($B$2)&amp;'EB2'!$C$21&amp;$I$2&amp;'EB2'!$D$2</f>
        <v>CSHECOA</v>
      </c>
      <c r="P14" s="164" t="str">
        <f>$D$2&amp;" "&amp;$C$2&amp; " Sector - "&amp;""&amp;$I$1&amp;" "&amp;'EB2'!$X$21&amp;" - "&amp;'EB2'!$D$3</f>
        <v>Demand Technologies Commercial Sector - Existing Space Heating - Solid Fuels</v>
      </c>
      <c r="Q14" s="159" t="str">
        <f t="shared" ref="Q14:Q25" si="1">$E$2</f>
        <v>PJ</v>
      </c>
      <c r="R14" s="159" t="str">
        <f t="shared" ref="R14:R25" si="2">$E$2&amp;"a"</f>
        <v>PJa</v>
      </c>
      <c r="S14" s="159"/>
      <c r="T14" s="159"/>
      <c r="U14" s="159"/>
    </row>
    <row r="15" spans="2:21" x14ac:dyDescent="0.2">
      <c r="B15" t="str">
        <f t="shared" ref="B15:B25" si="3">O15</f>
        <v>CSHEGAS</v>
      </c>
      <c r="C15" t="str">
        <f t="shared" ref="C15:C25" si="4">$B$2&amp;RIGHT(B15,3)</f>
        <v>COMGAS</v>
      </c>
      <c r="D15" t="str">
        <f t="shared" si="0"/>
        <v>DCSH</v>
      </c>
      <c r="E15" s="78">
        <f>'EB2'!$E$6*'EB2'!$E$24/(G15*H15)*1.01</f>
        <v>100.98443493150685</v>
      </c>
      <c r="F15" s="82">
        <v>0.9</v>
      </c>
      <c r="G15" s="82">
        <v>0.3</v>
      </c>
      <c r="H15" s="84">
        <v>31.536000000000001</v>
      </c>
      <c r="I15" s="56">
        <v>15</v>
      </c>
      <c r="K15" s="43">
        <f t="shared" ref="K15:K25" si="5">E15*G15*H15</f>
        <v>955.39354200000002</v>
      </c>
      <c r="M15" s="159"/>
      <c r="N15" s="159"/>
      <c r="O15" s="159" t="str">
        <f>LEFT($B$2)&amp;'EB2'!$C$21&amp;$I$2&amp;'EB2'!$E$2</f>
        <v>CSHEGAS</v>
      </c>
      <c r="P15" s="164" t="str">
        <f>$D$2&amp;" "&amp;$C$2&amp; " Sector - "&amp;""&amp;$I$1&amp;" "&amp;'EB2'!$X$21&amp;" - "&amp;'EB2'!$E$3</f>
        <v>Demand Technologies Commercial Sector - Existing Space Heating - Natural Gas</v>
      </c>
      <c r="Q15" s="159" t="str">
        <f t="shared" si="1"/>
        <v>PJ</v>
      </c>
      <c r="R15" s="159" t="str">
        <f t="shared" si="2"/>
        <v>PJa</v>
      </c>
      <c r="S15" s="159"/>
      <c r="T15" s="159"/>
      <c r="U15" s="159"/>
    </row>
    <row r="16" spans="2:21" x14ac:dyDescent="0.2">
      <c r="B16" t="str">
        <f t="shared" si="3"/>
        <v>CSHEOIL</v>
      </c>
      <c r="C16" t="str">
        <f t="shared" si="4"/>
        <v>COMOIL</v>
      </c>
      <c r="D16" t="str">
        <f t="shared" si="0"/>
        <v>DCSH</v>
      </c>
      <c r="E16" s="78">
        <f>SUM('EB2'!$G$6:$J$6,'EB2'!$L$6:$M$6)*'EB2'!$G$24/(G16*H16)*1.01</f>
        <v>41.065358637747337</v>
      </c>
      <c r="F16" s="82">
        <v>0.8</v>
      </c>
      <c r="G16" s="82">
        <v>0.3</v>
      </c>
      <c r="H16" s="84">
        <v>31.536000000000001</v>
      </c>
      <c r="I16" s="56">
        <v>15</v>
      </c>
      <c r="K16" s="43">
        <f t="shared" si="5"/>
        <v>388.51114500000006</v>
      </c>
      <c r="M16" s="159"/>
      <c r="N16" s="159"/>
      <c r="O16" s="159" t="str">
        <f>LEFT($B$2)&amp;'EB2'!$C$21&amp;$I$2&amp;'EB2'!$F$2</f>
        <v>CSHEOIL</v>
      </c>
      <c r="P16" s="164" t="str">
        <f>$D$2&amp;" "&amp;$C$2&amp; " Sector - "&amp;""&amp;$I$1&amp;" "&amp;'EB2'!$X$21&amp;" - "&amp;RIGHT('EB2'!$F$3,3)</f>
        <v>Demand Technologies Commercial Sector - Existing Space Heating - oil</v>
      </c>
      <c r="Q16" s="159" t="str">
        <f t="shared" si="1"/>
        <v>PJ</v>
      </c>
      <c r="R16" s="159" t="str">
        <f t="shared" si="2"/>
        <v>PJa</v>
      </c>
      <c r="S16" s="159"/>
      <c r="T16" s="159"/>
      <c r="U16" s="159"/>
    </row>
    <row r="17" spans="2:21" x14ac:dyDescent="0.2">
      <c r="B17" t="str">
        <f t="shared" si="3"/>
        <v>CSHEBIO</v>
      </c>
      <c r="C17" t="str">
        <f t="shared" si="4"/>
        <v>COMBIO</v>
      </c>
      <c r="D17" t="str">
        <f t="shared" si="0"/>
        <v>DCSH</v>
      </c>
      <c r="E17" s="78">
        <f>'EB2'!$O$6*'EB2'!$O$24/(G17*H17)*1.01</f>
        <v>1.2490487062404871</v>
      </c>
      <c r="F17" s="82">
        <v>0.8</v>
      </c>
      <c r="G17" s="82">
        <v>0.3</v>
      </c>
      <c r="H17" s="84">
        <v>31.536000000000001</v>
      </c>
      <c r="I17" s="56">
        <v>15</v>
      </c>
      <c r="J17" s="7"/>
      <c r="K17" s="43">
        <f t="shared" si="5"/>
        <v>11.817</v>
      </c>
      <c r="M17" s="159"/>
      <c r="N17" s="159"/>
      <c r="O17" s="159" t="str">
        <f>LEFT($B$2)&amp;'EB2'!$C$21&amp;$I$2&amp;'EB2'!$O$2</f>
        <v>CSHEBIO</v>
      </c>
      <c r="P17" s="164" t="str">
        <f>$D$2&amp;" "&amp;$C$2&amp; " Sector - "&amp;""&amp;$I$1&amp;" "&amp;'EB2'!$X$21&amp;" - "&amp;'EB2'!$O$3</f>
        <v>Demand Technologies Commercial Sector - Existing Space Heating - Biomass</v>
      </c>
      <c r="Q17" s="159" t="str">
        <f t="shared" si="1"/>
        <v>PJ</v>
      </c>
      <c r="R17" s="159" t="str">
        <f t="shared" si="2"/>
        <v>PJa</v>
      </c>
      <c r="S17" s="159"/>
      <c r="T17" s="159"/>
      <c r="U17" s="159"/>
    </row>
    <row r="18" spans="2:21" x14ac:dyDescent="0.2">
      <c r="B18" t="str">
        <f>O18</f>
        <v>CSHESOL</v>
      </c>
      <c r="C18" t="str">
        <f>$B$2&amp;RIGHT(B18,3)</f>
        <v>COMSOL</v>
      </c>
      <c r="D18" t="str">
        <f t="shared" si="0"/>
        <v>DCSH</v>
      </c>
      <c r="E18" s="78">
        <f>'EB2'!$R$6*'EB2'!$R$24/(G18*H18)*1.01</f>
        <v>0.80067224759005573</v>
      </c>
      <c r="F18" s="82">
        <v>0.8</v>
      </c>
      <c r="G18" s="82">
        <v>0.3</v>
      </c>
      <c r="H18" s="84">
        <v>31.536000000000001</v>
      </c>
      <c r="I18" s="56">
        <v>15</v>
      </c>
      <c r="J18" s="7"/>
      <c r="K18" s="43">
        <f>E18*G18*H18</f>
        <v>7.5749999999999993</v>
      </c>
      <c r="M18" s="159"/>
      <c r="N18" s="159"/>
      <c r="O18" s="159" t="str">
        <f>LEFT($B$2)&amp;'EB2'!$C$21&amp;$I$2&amp;'EB2'!$R$2</f>
        <v>CSHESOL</v>
      </c>
      <c r="P18" s="164" t="str">
        <f>$D$2&amp;" "&amp;$C$2&amp; " Sector - "&amp;""&amp;$I$1&amp;" "&amp;'EB2'!$X$21&amp;" - "&amp;'EB2'!$R$3</f>
        <v>Demand Technologies Commercial Sector - Existing Space Heating - Solar energy</v>
      </c>
      <c r="Q18" s="159" t="str">
        <f t="shared" si="1"/>
        <v>PJ</v>
      </c>
      <c r="R18" s="159" t="str">
        <f t="shared" si="2"/>
        <v>PJa</v>
      </c>
      <c r="S18" s="159"/>
      <c r="T18" s="159"/>
      <c r="U18" s="159"/>
    </row>
    <row r="19" spans="2:21" x14ac:dyDescent="0.2">
      <c r="B19" s="31" t="str">
        <f t="shared" si="3"/>
        <v>CSHEELC</v>
      </c>
      <c r="C19" s="31" t="str">
        <f t="shared" si="4"/>
        <v>COMELC</v>
      </c>
      <c r="D19" s="31" t="str">
        <f t="shared" si="0"/>
        <v>DCSH</v>
      </c>
      <c r="E19" s="93">
        <f>'EB2'!$U$6*'EB2'!$U$24/(G19*H19)*1.01</f>
        <v>1.3490745550059191</v>
      </c>
      <c r="F19" s="126">
        <v>0.97</v>
      </c>
      <c r="G19" s="126">
        <v>0.3</v>
      </c>
      <c r="H19" s="127">
        <v>31.536000000000001</v>
      </c>
      <c r="I19" s="128">
        <v>15</v>
      </c>
      <c r="J19" s="7"/>
      <c r="K19" s="129">
        <f t="shared" si="5"/>
        <v>12.76332455</v>
      </c>
      <c r="M19" s="159"/>
      <c r="N19" s="159"/>
      <c r="O19" s="159" t="str">
        <f>LEFT($B$2)&amp;'EB2'!$C$21&amp;$I$2&amp;'EB2'!$U$2</f>
        <v>CSHEELC</v>
      </c>
      <c r="P19" s="164" t="str">
        <f>$D$2&amp;" "&amp;$C$2&amp; " Sector - "&amp;""&amp;$I$1&amp;" "&amp;'EB2'!$X$21&amp;" - "&amp;'EB2'!$U$3</f>
        <v>Demand Technologies Commercial Sector - Existing Space Heating - Electricity</v>
      </c>
      <c r="Q19" s="159" t="str">
        <f t="shared" si="1"/>
        <v>PJ</v>
      </c>
      <c r="R19" s="159" t="str">
        <f t="shared" si="2"/>
        <v>PJa</v>
      </c>
      <c r="S19" s="159"/>
      <c r="T19" s="159"/>
      <c r="U19" s="159"/>
    </row>
    <row r="20" spans="2:21" x14ac:dyDescent="0.2">
      <c r="B20" s="130" t="str">
        <f t="shared" si="3"/>
        <v>CAPEELC</v>
      </c>
      <c r="C20" s="130" t="str">
        <f t="shared" si="4"/>
        <v>COMELC</v>
      </c>
      <c r="D20" s="130" t="str">
        <f>$O$6</f>
        <v>DCAP</v>
      </c>
      <c r="E20" s="131">
        <f>'EB2'!$U$6*'EB2'!$U$25/(G20*H20)*1.01</f>
        <v>3828.9973650000006</v>
      </c>
      <c r="F20" s="132">
        <v>1</v>
      </c>
      <c r="G20" s="132">
        <v>0.3</v>
      </c>
      <c r="H20" s="141">
        <v>1</v>
      </c>
      <c r="I20" s="133">
        <v>5</v>
      </c>
      <c r="J20" s="7"/>
      <c r="K20" s="134">
        <f t="shared" si="5"/>
        <v>1148.6992095000001</v>
      </c>
      <c r="M20" s="165"/>
      <c r="N20" s="165"/>
      <c r="O20" s="165" t="str">
        <f>LEFT($B$2)&amp;'EB2'!$C$22&amp;$I$2&amp;'EB2'!$U$2</f>
        <v>CAPEELC</v>
      </c>
      <c r="P20" s="166" t="str">
        <f>$D$2&amp;" "&amp;$C$2&amp; " Sector - "&amp;""&amp;$I$1&amp;" "&amp;'EB2'!$X$22&amp;" - "&amp;'EB2'!$U$3</f>
        <v>Demand Technologies Commercial Sector - Existing Appliancens - Electricity</v>
      </c>
      <c r="Q20" s="165" t="str">
        <f t="shared" si="1"/>
        <v>PJ</v>
      </c>
      <c r="R20" s="165" t="str">
        <f t="shared" si="2"/>
        <v>PJa</v>
      </c>
      <c r="S20" s="165"/>
      <c r="T20" s="165"/>
      <c r="U20" s="165"/>
    </row>
    <row r="21" spans="2:21" x14ac:dyDescent="0.2">
      <c r="B21" t="str">
        <f t="shared" si="3"/>
        <v>COTECOA</v>
      </c>
      <c r="C21" t="str">
        <f t="shared" si="4"/>
        <v>COMCOA</v>
      </c>
      <c r="D21" t="str">
        <f>$O$7</f>
        <v>DCOT</v>
      </c>
      <c r="E21" s="78">
        <f>'EB2'!$D$6*'EB2'!$D$26/(G21*H21)*1.01</f>
        <v>67.076624999999993</v>
      </c>
      <c r="F21" s="82">
        <v>1</v>
      </c>
      <c r="G21" s="82">
        <v>0.3</v>
      </c>
      <c r="H21" s="142">
        <v>1</v>
      </c>
      <c r="I21" s="56">
        <v>10</v>
      </c>
      <c r="J21" s="7"/>
      <c r="K21" s="43">
        <f t="shared" si="5"/>
        <v>20.122987499999997</v>
      </c>
      <c r="M21" s="159"/>
      <c r="N21" s="159"/>
      <c r="O21" s="159" t="str">
        <f>LEFT($B$2)&amp;'EB2'!$C$23&amp;$I$2&amp;'EB2'!$D$2</f>
        <v>COTECOA</v>
      </c>
      <c r="P21" s="164" t="str">
        <f>$D$2&amp;" "&amp;$C$2&amp; " Sector - "&amp;""&amp;$I$1&amp;" "&amp;'EB2'!$X$23&amp;" - "&amp;'EB2'!$D$3</f>
        <v>Demand Technologies Commercial Sector - Existing Other - Solid Fuels</v>
      </c>
      <c r="Q21" s="159" t="str">
        <f t="shared" si="1"/>
        <v>PJ</v>
      </c>
      <c r="R21" s="159" t="str">
        <f t="shared" si="2"/>
        <v>PJa</v>
      </c>
      <c r="S21" s="159"/>
      <c r="T21" s="159"/>
      <c r="U21" s="159"/>
    </row>
    <row r="22" spans="2:21" x14ac:dyDescent="0.2">
      <c r="B22" t="str">
        <f t="shared" si="3"/>
        <v>COTEGAS</v>
      </c>
      <c r="C22" t="str">
        <f t="shared" si="4"/>
        <v>COMGAS</v>
      </c>
      <c r="D22" t="str">
        <f>$O$7</f>
        <v>DCOT</v>
      </c>
      <c r="E22" s="78">
        <f>'EB2'!$E$6*'EB2'!$E$26/(G22*H22)*1.01</f>
        <v>353.84945999999997</v>
      </c>
      <c r="F22" s="82">
        <v>1</v>
      </c>
      <c r="G22" s="82">
        <v>0.3</v>
      </c>
      <c r="H22" s="142">
        <v>1</v>
      </c>
      <c r="I22" s="56">
        <v>10</v>
      </c>
      <c r="K22" s="43">
        <f t="shared" si="5"/>
        <v>106.15483799999998</v>
      </c>
      <c r="M22" s="159"/>
      <c r="N22" s="159"/>
      <c r="O22" s="159" t="str">
        <f>LEFT($B$2)&amp;'EB2'!$C$23&amp;$I$2&amp;'EB2'!$E$2</f>
        <v>COTEGAS</v>
      </c>
      <c r="P22" s="164" t="str">
        <f>$D$2&amp;" "&amp;$C$2&amp; " Sector - "&amp;""&amp;$I$1&amp;" "&amp;'EB2'!$X$23&amp;" - "&amp;'EB2'!$E$3</f>
        <v>Demand Technologies Commercial Sector - Existing Other - Natural Gas</v>
      </c>
      <c r="Q22" s="159" t="str">
        <f t="shared" si="1"/>
        <v>PJ</v>
      </c>
      <c r="R22" s="159" t="str">
        <f t="shared" si="2"/>
        <v>PJa</v>
      </c>
      <c r="S22" s="159"/>
      <c r="T22" s="159"/>
      <c r="U22" s="159"/>
    </row>
    <row r="23" spans="2:21" x14ac:dyDescent="0.2">
      <c r="B23" t="str">
        <f t="shared" si="3"/>
        <v>COTEOIL</v>
      </c>
      <c r="C23" t="str">
        <f t="shared" si="4"/>
        <v>COMOIL</v>
      </c>
      <c r="D23" t="str">
        <f>$O$7</f>
        <v>DCOT</v>
      </c>
      <c r="E23" s="78">
        <f>SUM('EB2'!$G$6:$J$6,'EB2'!$L$6:$M$6)*'EB2'!$G$26/(G23*H23)*1.01</f>
        <v>143.89301666666665</v>
      </c>
      <c r="F23" s="82">
        <v>1</v>
      </c>
      <c r="G23" s="82">
        <v>0.3</v>
      </c>
      <c r="H23" s="142">
        <v>1</v>
      </c>
      <c r="I23" s="56">
        <v>10</v>
      </c>
      <c r="K23" s="43">
        <f t="shared" si="5"/>
        <v>43.167904999999998</v>
      </c>
      <c r="M23" s="159"/>
      <c r="N23" s="159"/>
      <c r="O23" s="159" t="str">
        <f>LEFT($B$2)&amp;'EB2'!$C$23&amp;$I$2&amp;'EB2'!$F$2</f>
        <v>COTEOIL</v>
      </c>
      <c r="P23" s="164" t="str">
        <f>$D$2&amp;" "&amp;$C$2&amp; " Sector - "&amp;""&amp;$I$1&amp;" "&amp;'EB2'!$X$23&amp;" - "&amp;RIGHT('EB2'!$F$3,3)</f>
        <v>Demand Technologies Commercial Sector - Existing Other - oil</v>
      </c>
      <c r="Q23" s="159" t="str">
        <f t="shared" si="1"/>
        <v>PJ</v>
      </c>
      <c r="R23" s="159" t="str">
        <f t="shared" si="2"/>
        <v>PJa</v>
      </c>
      <c r="S23" s="159"/>
      <c r="T23" s="159"/>
      <c r="U23" s="159"/>
    </row>
    <row r="24" spans="2:21" x14ac:dyDescent="0.2">
      <c r="B24" t="str">
        <f t="shared" si="3"/>
        <v>COTEBIO</v>
      </c>
      <c r="C24" t="str">
        <f t="shared" si="4"/>
        <v>COMBIO</v>
      </c>
      <c r="D24" t="str">
        <f>$O$7</f>
        <v>DCOT</v>
      </c>
      <c r="E24" s="78">
        <f>'EB2'!$O$6*'EB2'!$O$26/(G24*H24)*1.01</f>
        <v>4.376666666666666</v>
      </c>
      <c r="F24" s="82">
        <v>1</v>
      </c>
      <c r="G24" s="82">
        <v>0.3</v>
      </c>
      <c r="H24" s="142">
        <v>1</v>
      </c>
      <c r="I24" s="56">
        <v>10</v>
      </c>
      <c r="K24" s="43">
        <f t="shared" si="5"/>
        <v>1.3129999999999997</v>
      </c>
      <c r="M24" s="159"/>
      <c r="N24" s="159"/>
      <c r="O24" s="159" t="str">
        <f>LEFT($B$2)&amp;'EB2'!$C$23&amp;$I$2&amp;'EB2'!$O$2</f>
        <v>COTEBIO</v>
      </c>
      <c r="P24" s="164" t="str">
        <f>$D$2&amp;" "&amp;$C$2&amp; " Sector - "&amp;""&amp;$I$1&amp;" "&amp;'EB2'!$X$23&amp;" - "&amp;'EB2'!$O$3</f>
        <v>Demand Technologies Commercial Sector - Existing Other - Biomass</v>
      </c>
      <c r="Q24" s="159" t="str">
        <f t="shared" si="1"/>
        <v>PJ</v>
      </c>
      <c r="R24" s="159" t="str">
        <f t="shared" si="2"/>
        <v>PJa</v>
      </c>
      <c r="S24" s="159"/>
      <c r="T24" s="159"/>
      <c r="U24" s="159"/>
    </row>
    <row r="25" spans="2:21" x14ac:dyDescent="0.2">
      <c r="B25" t="str">
        <f t="shared" si="3"/>
        <v>COTEELC</v>
      </c>
      <c r="C25" t="str">
        <f t="shared" si="4"/>
        <v>COMELC</v>
      </c>
      <c r="D25" t="str">
        <f>$O$7</f>
        <v>DCOT</v>
      </c>
      <c r="E25" s="94">
        <f>'EB2'!$U$6*'EB2'!$U$26/(G25*H25)*1.01</f>
        <v>382.8997364999999</v>
      </c>
      <c r="F25" s="82">
        <v>1</v>
      </c>
      <c r="G25" s="82">
        <v>0.3</v>
      </c>
      <c r="H25" s="142">
        <v>1</v>
      </c>
      <c r="I25" s="56">
        <v>10</v>
      </c>
      <c r="K25" s="43">
        <f t="shared" si="5"/>
        <v>114.86992094999997</v>
      </c>
      <c r="M25" s="159"/>
      <c r="N25" s="159"/>
      <c r="O25" s="159" t="str">
        <f>LEFT($B$2)&amp;'EB2'!$C$23&amp;$I$2&amp;'EB2'!$U$2</f>
        <v>COTEELC</v>
      </c>
      <c r="P25" s="164" t="str">
        <f>$D$2&amp;" "&amp;$C$2&amp; " Sector - "&amp;""&amp;$I$1&amp;" "&amp;'EB2'!$X$23&amp;" - "&amp;'EB2'!$U$3</f>
        <v>Demand Technologies Commercial Sector - Existing Other - Electricity</v>
      </c>
      <c r="Q25" s="159" t="str">
        <f t="shared" si="1"/>
        <v>PJ</v>
      </c>
      <c r="R25" s="159" t="str">
        <f t="shared" si="2"/>
        <v>PJa</v>
      </c>
      <c r="S25" s="159"/>
      <c r="T25" s="159"/>
      <c r="U25" s="159"/>
    </row>
    <row r="26" spans="2:21" x14ac:dyDescent="0.2">
      <c r="E26" s="23"/>
      <c r="F26" s="21"/>
      <c r="G26" s="21"/>
      <c r="H26" s="21"/>
      <c r="M26" s="5"/>
      <c r="N26" s="5"/>
      <c r="O26" s="5"/>
      <c r="P26" s="95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6"/>
      <c r="C37" s="1" t="s">
        <v>154</v>
      </c>
    </row>
    <row r="38" spans="2:21" x14ac:dyDescent="0.2">
      <c r="B38" s="79"/>
      <c r="C38" s="1" t="s">
        <v>155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2"/>
  <sheetViews>
    <sheetView zoomScaleNormal="100" workbookViewId="0">
      <selection activeCell="H27" sqref="H2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4"/>
    </row>
    <row r="2" spans="2:18" ht="15.75" x14ac:dyDescent="0.25">
      <c r="B2" s="13" t="str">
        <f>'EB2'!B5</f>
        <v>RSD</v>
      </c>
      <c r="C2" s="13" t="str">
        <f>'EB2'!C5</f>
        <v>Residential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54" t="s">
        <v>14</v>
      </c>
      <c r="K2" s="154"/>
      <c r="L2" s="155"/>
      <c r="M2" s="155"/>
      <c r="N2" s="155"/>
      <c r="O2" s="155"/>
      <c r="P2" s="155"/>
      <c r="Q2" s="155"/>
      <c r="R2" s="155"/>
    </row>
    <row r="3" spans="2:18" x14ac:dyDescent="0.2">
      <c r="J3" s="156" t="s">
        <v>7</v>
      </c>
      <c r="K3" s="157" t="s">
        <v>30</v>
      </c>
      <c r="L3" s="156" t="s">
        <v>0</v>
      </c>
      <c r="M3" s="156" t="s">
        <v>3</v>
      </c>
      <c r="N3" s="156" t="s">
        <v>4</v>
      </c>
      <c r="O3" s="156" t="s">
        <v>8</v>
      </c>
      <c r="P3" s="156" t="s">
        <v>9</v>
      </c>
      <c r="Q3" s="156" t="s">
        <v>10</v>
      </c>
      <c r="R3" s="156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58" t="s">
        <v>37</v>
      </c>
      <c r="K4" s="158" t="s">
        <v>31</v>
      </c>
      <c r="L4" s="158" t="s">
        <v>26</v>
      </c>
      <c r="M4" s="158" t="s">
        <v>27</v>
      </c>
      <c r="N4" s="158" t="s">
        <v>4</v>
      </c>
      <c r="O4" s="158" t="s">
        <v>40</v>
      </c>
      <c r="P4" s="158" t="s">
        <v>41</v>
      </c>
      <c r="Q4" s="158" t="s">
        <v>28</v>
      </c>
      <c r="R4" s="158" t="s">
        <v>29</v>
      </c>
    </row>
    <row r="5" spans="2:18" x14ac:dyDescent="0.2">
      <c r="B5" s="7"/>
      <c r="C5" s="7"/>
      <c r="D5" s="7"/>
      <c r="E5" s="15"/>
      <c r="F5" s="15"/>
      <c r="G5" s="85"/>
      <c r="H5" s="14"/>
      <c r="J5" s="159" t="s">
        <v>72</v>
      </c>
      <c r="K5" s="159"/>
      <c r="L5" s="159" t="str">
        <f>$B$2&amp;'EB2'!$D$2</f>
        <v>RSDCOA</v>
      </c>
      <c r="M5" s="160" t="str">
        <f>$C$2&amp;" "&amp;'EB2'!$D$3</f>
        <v>Residential Solid Fuels</v>
      </c>
      <c r="N5" s="159" t="str">
        <f t="shared" ref="N5:N10" si="0">$E$2</f>
        <v>PJ</v>
      </c>
      <c r="O5" s="159"/>
      <c r="P5" s="159"/>
      <c r="Q5" s="159"/>
      <c r="R5" s="159"/>
    </row>
    <row r="6" spans="2:18" x14ac:dyDescent="0.2">
      <c r="B6" s="7"/>
      <c r="C6" s="7"/>
      <c r="D6" s="7"/>
      <c r="E6" s="15"/>
      <c r="F6" s="15"/>
      <c r="G6" s="85"/>
      <c r="H6" s="14"/>
      <c r="J6" s="159"/>
      <c r="K6" s="159"/>
      <c r="L6" s="159" t="str">
        <f>$B$2&amp;'EB2'!$E$2</f>
        <v>RSDGAS</v>
      </c>
      <c r="M6" s="160" t="str">
        <f>$C$2&amp;" "&amp;'EB2'!$E$3</f>
        <v>Residential Natural Gas</v>
      </c>
      <c r="N6" s="159" t="str">
        <f t="shared" si="0"/>
        <v>PJ</v>
      </c>
      <c r="O6" s="159"/>
      <c r="P6" s="159"/>
      <c r="Q6" s="159"/>
      <c r="R6" s="159"/>
    </row>
    <row r="7" spans="2:18" x14ac:dyDescent="0.2">
      <c r="B7" s="7"/>
      <c r="C7" s="7"/>
      <c r="D7" s="7"/>
      <c r="E7" s="15"/>
      <c r="F7" s="15"/>
      <c r="G7" s="85"/>
      <c r="H7" s="14"/>
      <c r="J7" s="159"/>
      <c r="K7" s="159"/>
      <c r="L7" s="159" t="str">
        <f>$B$2&amp;'EB2'!$F$2</f>
        <v>RSDOIL</v>
      </c>
      <c r="M7" s="160" t="str">
        <f>$C$2&amp;" "&amp;RIGHT('EB2'!$F$3,3)</f>
        <v>Residential oil</v>
      </c>
      <c r="N7" s="159" t="str">
        <f t="shared" si="0"/>
        <v>PJ</v>
      </c>
      <c r="O7" s="159"/>
      <c r="P7" s="159"/>
      <c r="Q7" s="159"/>
      <c r="R7" s="159"/>
    </row>
    <row r="8" spans="2:18" x14ac:dyDescent="0.2">
      <c r="B8" s="7"/>
      <c r="C8" s="7"/>
      <c r="D8" s="7"/>
      <c r="E8" s="15"/>
      <c r="F8" s="15"/>
      <c r="G8" s="85"/>
      <c r="H8" s="14"/>
      <c r="J8" s="159"/>
      <c r="K8" s="159"/>
      <c r="L8" s="159" t="str">
        <f>$B$2&amp;'EB2'!$O$2</f>
        <v>RSDBIO</v>
      </c>
      <c r="M8" s="160" t="str">
        <f>$C$2&amp;" "&amp;'EB2'!$O$3</f>
        <v>Residential Biomass</v>
      </c>
      <c r="N8" s="159" t="str">
        <f t="shared" si="0"/>
        <v>PJ</v>
      </c>
      <c r="O8" s="159"/>
      <c r="P8" s="159"/>
      <c r="Q8" s="159"/>
      <c r="R8" s="159"/>
    </row>
    <row r="9" spans="2:18" x14ac:dyDescent="0.2">
      <c r="B9" s="7"/>
      <c r="C9" s="7"/>
      <c r="D9" s="7"/>
      <c r="E9" s="15"/>
      <c r="F9" s="15"/>
      <c r="G9" s="85"/>
      <c r="H9" s="14"/>
      <c r="J9" s="159"/>
      <c r="K9" s="159"/>
      <c r="L9" s="159" t="str">
        <f>$B$2&amp;'EB2'!$R$2</f>
        <v>RSDSOL</v>
      </c>
      <c r="M9" s="160" t="str">
        <f>$C$2&amp;" "&amp;'EB2'!$R$3</f>
        <v>Residential Solar energy</v>
      </c>
      <c r="N9" s="159" t="str">
        <f t="shared" si="0"/>
        <v>PJ</v>
      </c>
      <c r="O9" s="161"/>
      <c r="P9" s="161"/>
      <c r="Q9" s="161"/>
      <c r="R9" s="161"/>
    </row>
    <row r="10" spans="2:18" x14ac:dyDescent="0.2">
      <c r="B10" s="7"/>
      <c r="C10" s="7"/>
      <c r="D10" s="7"/>
      <c r="E10" s="15"/>
      <c r="F10" s="15"/>
      <c r="G10" s="85"/>
      <c r="H10" s="14"/>
      <c r="J10" s="159"/>
      <c r="K10" s="159"/>
      <c r="L10" s="159" t="str">
        <f>$B$2&amp;'EB2'!$U$2</f>
        <v>RSDELC</v>
      </c>
      <c r="M10" s="160" t="str">
        <f>$C$2&amp;" "&amp;'EB2'!$U$3</f>
        <v>Residential Electricity</v>
      </c>
      <c r="N10" s="159" t="str">
        <f t="shared" si="0"/>
        <v>PJ</v>
      </c>
      <c r="O10" s="159"/>
      <c r="P10" s="159" t="s">
        <v>128</v>
      </c>
      <c r="Q10" s="159"/>
      <c r="R10" s="159" t="s">
        <v>50</v>
      </c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54" t="s">
        <v>15</v>
      </c>
      <c r="K12" s="154"/>
      <c r="L12" s="161"/>
      <c r="M12" s="161"/>
      <c r="N12" s="161"/>
      <c r="O12" s="161"/>
      <c r="P12" s="161"/>
      <c r="Q12" s="161"/>
      <c r="R12" s="161"/>
    </row>
    <row r="13" spans="2:18" x14ac:dyDescent="0.2">
      <c r="B13" s="22" t="s">
        <v>1</v>
      </c>
      <c r="C13" s="22" t="s">
        <v>5</v>
      </c>
      <c r="D13" s="22" t="s">
        <v>6</v>
      </c>
      <c r="E13" s="91" t="s">
        <v>150</v>
      </c>
      <c r="F13" s="88" t="s">
        <v>130</v>
      </c>
      <c r="G13" s="88" t="s">
        <v>84</v>
      </c>
      <c r="H13" s="88" t="s">
        <v>79</v>
      </c>
      <c r="J13" s="156" t="s">
        <v>11</v>
      </c>
      <c r="K13" s="157" t="s">
        <v>30</v>
      </c>
      <c r="L13" s="156" t="s">
        <v>1</v>
      </c>
      <c r="M13" s="156" t="s">
        <v>2</v>
      </c>
      <c r="N13" s="156" t="s">
        <v>16</v>
      </c>
      <c r="O13" s="156" t="s">
        <v>17</v>
      </c>
      <c r="P13" s="156" t="s">
        <v>18</v>
      </c>
      <c r="Q13" s="156" t="s">
        <v>19</v>
      </c>
      <c r="R13" s="156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149</v>
      </c>
      <c r="F14" s="20" t="s">
        <v>34</v>
      </c>
      <c r="G14" s="20" t="s">
        <v>89</v>
      </c>
      <c r="H14" s="20" t="s">
        <v>172</v>
      </c>
      <c r="J14" s="158" t="s">
        <v>38</v>
      </c>
      <c r="K14" s="158" t="s">
        <v>31</v>
      </c>
      <c r="L14" s="158" t="s">
        <v>21</v>
      </c>
      <c r="M14" s="158" t="s">
        <v>22</v>
      </c>
      <c r="N14" s="158" t="s">
        <v>23</v>
      </c>
      <c r="O14" s="158" t="s">
        <v>24</v>
      </c>
      <c r="P14" s="158" t="s">
        <v>43</v>
      </c>
      <c r="Q14" s="158" t="s">
        <v>42</v>
      </c>
      <c r="R14" s="158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58" t="s">
        <v>81</v>
      </c>
      <c r="K15" s="162"/>
      <c r="L15" s="162"/>
      <c r="M15" s="162"/>
      <c r="N15" s="162"/>
      <c r="O15" s="162"/>
      <c r="P15" s="162"/>
      <c r="Q15" s="162"/>
      <c r="R15" s="162"/>
    </row>
    <row r="16" spans="2:18" x14ac:dyDescent="0.2">
      <c r="B16" t="str">
        <f>L16</f>
        <v>FTE-RSDCOA</v>
      </c>
      <c r="C16" t="str">
        <f>RIGHT(D16,3)</f>
        <v>COA</v>
      </c>
      <c r="D16" t="str">
        <f>L5</f>
        <v>RSDCOA</v>
      </c>
      <c r="E16" s="15"/>
      <c r="F16" s="15"/>
      <c r="G16" s="80">
        <v>1</v>
      </c>
      <c r="H16" s="81">
        <v>30</v>
      </c>
      <c r="J16" s="163" t="s">
        <v>116</v>
      </c>
      <c r="K16" s="159"/>
      <c r="L16" s="159" t="str">
        <f t="shared" ref="L16:L21" si="1">"FT"&amp;$G$2&amp;"-"&amp;L5</f>
        <v>FTE-RSDCOA</v>
      </c>
      <c r="M16" s="160" t="str">
        <f t="shared" ref="M16:M21" si="2">$D$2&amp;" Technology"&amp;" "&amp;$G$1&amp;" "&amp;M5</f>
        <v>Sector Fuel Technology Existing Residential Solid Fuels</v>
      </c>
      <c r="N16" s="159" t="str">
        <f t="shared" ref="N16:N21" si="3">$E$2</f>
        <v>PJ</v>
      </c>
      <c r="O16" s="159" t="str">
        <f t="shared" ref="O16:O21" si="4">$E$2&amp;"a"</f>
        <v>PJa</v>
      </c>
      <c r="P16" s="159"/>
      <c r="Q16" s="159"/>
      <c r="R16" s="159"/>
    </row>
    <row r="17" spans="2:18" x14ac:dyDescent="0.2">
      <c r="B17" t="str">
        <f>L17</f>
        <v>FTE-RSDGAS</v>
      </c>
      <c r="C17" t="str">
        <f>RIGHT(D17,3)</f>
        <v>GAS</v>
      </c>
      <c r="D17" t="str">
        <f>L6</f>
        <v>RSDGAS</v>
      </c>
      <c r="E17" s="15"/>
      <c r="F17" s="15"/>
      <c r="G17" s="80">
        <v>1</v>
      </c>
      <c r="H17" s="81">
        <v>30</v>
      </c>
      <c r="J17" s="159"/>
      <c r="K17" s="159"/>
      <c r="L17" s="159" t="str">
        <f t="shared" si="1"/>
        <v>FTE-RSDGAS</v>
      </c>
      <c r="M17" s="160" t="str">
        <f t="shared" si="2"/>
        <v>Sector Fuel Technology Existing Residential Natural Gas</v>
      </c>
      <c r="N17" s="159" t="str">
        <f t="shared" si="3"/>
        <v>PJ</v>
      </c>
      <c r="O17" s="159" t="str">
        <f t="shared" si="4"/>
        <v>PJa</v>
      </c>
      <c r="P17" s="159"/>
      <c r="Q17" s="159"/>
      <c r="R17" s="159"/>
    </row>
    <row r="18" spans="2:18" x14ac:dyDescent="0.2">
      <c r="B18" t="str">
        <f>L18</f>
        <v>FTE-RSDOIL</v>
      </c>
      <c r="C18" t="str">
        <f>'EB2'!$G$2</f>
        <v>DSL</v>
      </c>
      <c r="D18" t="str">
        <f>L7</f>
        <v>RSDOIL</v>
      </c>
      <c r="E18" s="140">
        <f>'EB2'!$G$5/SUM('EB2'!$G$5:$J$5,'EB2'!$L$5:$M$5)*1.01</f>
        <v>0.76064840105657072</v>
      </c>
      <c r="F18" s="5"/>
      <c r="G18" s="80">
        <v>1</v>
      </c>
      <c r="H18" s="81">
        <v>30</v>
      </c>
      <c r="J18" s="159"/>
      <c r="K18" s="159"/>
      <c r="L18" s="159" t="str">
        <f t="shared" si="1"/>
        <v>FTE-RSDOIL</v>
      </c>
      <c r="M18" s="160" t="str">
        <f t="shared" si="2"/>
        <v>Sector Fuel Technology Existing Residential oil</v>
      </c>
      <c r="N18" s="159" t="str">
        <f t="shared" si="3"/>
        <v>PJ</v>
      </c>
      <c r="O18" s="159" t="str">
        <f t="shared" si="4"/>
        <v>PJa</v>
      </c>
      <c r="P18" s="159"/>
      <c r="Q18" s="159"/>
      <c r="R18" s="159"/>
    </row>
    <row r="19" spans="2:18" x14ac:dyDescent="0.2">
      <c r="C19" t="str">
        <f>'EB2'!$H$2</f>
        <v>KER</v>
      </c>
      <c r="E19" s="140">
        <f>'EB2'!$H$5/SUM('EB2'!$G$5:$J$5,'EB2'!$L$5:$M$5)*1.01</f>
        <v>6.4368339919791837E-2</v>
      </c>
      <c r="F19" s="15"/>
      <c r="G19" s="85"/>
      <c r="H19" s="14"/>
      <c r="J19" s="159"/>
      <c r="K19" s="159"/>
      <c r="L19" s="159" t="str">
        <f t="shared" si="1"/>
        <v>FTE-RSDBIO</v>
      </c>
      <c r="M19" s="160" t="str">
        <f t="shared" si="2"/>
        <v>Sector Fuel Technology Existing Residential Biomass</v>
      </c>
      <c r="N19" s="159" t="str">
        <f t="shared" si="3"/>
        <v>PJ</v>
      </c>
      <c r="O19" s="159" t="str">
        <f t="shared" si="4"/>
        <v>PJa</v>
      </c>
      <c r="P19" s="159"/>
      <c r="Q19" s="159"/>
      <c r="R19" s="159"/>
    </row>
    <row r="20" spans="2:18" x14ac:dyDescent="0.2">
      <c r="C20" t="str">
        <f>'EB2'!$I$2</f>
        <v>LPG</v>
      </c>
      <c r="E20" s="140">
        <f>'EB2'!$I$5/SUM('EB2'!$G$5:$J$5,'EB2'!$L$5:$M$5)*1.01</f>
        <v>0.16780530932475657</v>
      </c>
      <c r="F20" s="15"/>
      <c r="G20" s="85"/>
      <c r="H20" s="14"/>
      <c r="J20" s="159"/>
      <c r="K20" s="159"/>
      <c r="L20" s="159" t="str">
        <f t="shared" si="1"/>
        <v>FTE-RSDSOL</v>
      </c>
      <c r="M20" s="160" t="str">
        <f t="shared" si="2"/>
        <v>Sector Fuel Technology Existing Residential Solar energy</v>
      </c>
      <c r="N20" s="159" t="str">
        <f t="shared" si="3"/>
        <v>PJ</v>
      </c>
      <c r="O20" s="159" t="str">
        <f t="shared" si="4"/>
        <v>PJa</v>
      </c>
      <c r="P20" s="161"/>
      <c r="Q20" s="159"/>
      <c r="R20" s="159"/>
    </row>
    <row r="21" spans="2:18" x14ac:dyDescent="0.2">
      <c r="C21" t="str">
        <f>'EB2'!$J$2</f>
        <v>GSL</v>
      </c>
      <c r="E21" s="140">
        <f>'EB2'!$J$5/SUM('EB2'!$G$5:$J$5,'EB2'!$L$5:$M$5)*1.01</f>
        <v>2.7953433658339058E-3</v>
      </c>
      <c r="F21" s="15"/>
      <c r="G21" s="85"/>
      <c r="H21" s="14"/>
      <c r="J21" s="159"/>
      <c r="K21" s="159"/>
      <c r="L21" s="159" t="str">
        <f t="shared" si="1"/>
        <v>FTE-RSDELC</v>
      </c>
      <c r="M21" s="160" t="str">
        <f t="shared" si="2"/>
        <v>Sector Fuel Technology Existing Residential Electricity</v>
      </c>
      <c r="N21" s="159" t="str">
        <f t="shared" si="3"/>
        <v>PJ</v>
      </c>
      <c r="O21" s="159" t="str">
        <f t="shared" si="4"/>
        <v>PJa</v>
      </c>
      <c r="P21" s="159" t="s">
        <v>128</v>
      </c>
      <c r="Q21" s="159"/>
      <c r="R21" s="159"/>
    </row>
    <row r="22" spans="2:18" x14ac:dyDescent="0.2">
      <c r="C22" t="str">
        <f>'EB2'!$L$2</f>
        <v>HFO</v>
      </c>
      <c r="E22" s="140">
        <f>'EB2'!$L$5/SUM('EB2'!$G$5:$J$5,'EB2'!$L$5:$M$5)*1.01</f>
        <v>1.3570827325292131E-2</v>
      </c>
      <c r="F22" s="15"/>
      <c r="G22" s="85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40">
        <f>'EB2'!$M$5/SUM('EB2'!$G$5:$J$5,'EB2'!$L$5:$M$5)*1.01</f>
        <v>8.1177900775479593E-4</v>
      </c>
      <c r="F23" s="15"/>
      <c r="G23" s="85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FTE-RSDBIO</v>
      </c>
      <c r="C24" t="str">
        <f>RIGHT(D24,3)</f>
        <v>BIO</v>
      </c>
      <c r="D24" t="str">
        <f>L8</f>
        <v>RSDBIO</v>
      </c>
      <c r="E24" s="15"/>
      <c r="F24" s="15"/>
      <c r="G24" s="80">
        <v>1</v>
      </c>
      <c r="H24" s="81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FTE-RSDSOL</v>
      </c>
      <c r="C25" t="str">
        <f>RIGHT(D25,3)</f>
        <v>SOL</v>
      </c>
      <c r="D25" t="str">
        <f>L9</f>
        <v>RSDSOL</v>
      </c>
      <c r="E25" s="15"/>
      <c r="F25" s="15"/>
      <c r="G25" s="80">
        <v>1</v>
      </c>
      <c r="H25" s="81">
        <v>30</v>
      </c>
      <c r="J25" s="34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FTE-RSDELC</v>
      </c>
      <c r="C26" t="str">
        <f>RIGHT(D26,3)</f>
        <v>ELC</v>
      </c>
      <c r="D26" t="str">
        <f>L10</f>
        <v>RSDELC</v>
      </c>
      <c r="E26" s="15"/>
      <c r="F26" s="15"/>
      <c r="G26" s="80">
        <v>1</v>
      </c>
      <c r="H26" s="81">
        <v>30</v>
      </c>
      <c r="J26" s="33"/>
      <c r="K26" s="33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5"/>
      <c r="H27" s="14"/>
      <c r="J27" s="39"/>
      <c r="K27" s="37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5"/>
      <c r="H28" s="14"/>
      <c r="J28" s="40"/>
      <c r="K28" s="40"/>
      <c r="L28" s="5"/>
      <c r="M28" s="26"/>
      <c r="N28" s="5"/>
      <c r="O28" s="5"/>
      <c r="P28" s="40"/>
      <c r="Q28" s="40"/>
      <c r="R28" s="5"/>
    </row>
    <row r="29" spans="2:18" x14ac:dyDescent="0.2">
      <c r="B29" s="40"/>
      <c r="C29" s="40"/>
      <c r="D29" s="40"/>
      <c r="E29" s="15"/>
      <c r="F29" s="15"/>
      <c r="G29" s="85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5"/>
      <c r="C30" s="5"/>
      <c r="D30" s="35"/>
      <c r="E30" s="15"/>
      <c r="F30" s="15"/>
      <c r="G30" s="85"/>
      <c r="H30" s="14"/>
    </row>
    <row r="31" spans="2:18" x14ac:dyDescent="0.2">
      <c r="B31" s="35"/>
      <c r="C31" s="5"/>
      <c r="D31" s="35"/>
      <c r="E31" s="15"/>
      <c r="F31" s="15"/>
      <c r="G31" s="85"/>
      <c r="H31" s="14"/>
    </row>
    <row r="32" spans="2:18" x14ac:dyDescent="0.2">
      <c r="B32" s="35"/>
      <c r="C32" s="5"/>
      <c r="D32" s="35"/>
      <c r="E32" s="116"/>
      <c r="F32" s="15"/>
      <c r="G32" s="85"/>
      <c r="H32" s="14"/>
    </row>
    <row r="33" spans="2:8" x14ac:dyDescent="0.2">
      <c r="B33" s="35"/>
      <c r="C33" s="5"/>
      <c r="D33" s="35"/>
      <c r="E33" s="116"/>
      <c r="F33" s="15"/>
      <c r="G33" s="85"/>
      <c r="H33" s="14"/>
    </row>
    <row r="34" spans="2:8" x14ac:dyDescent="0.2">
      <c r="B34" s="35"/>
      <c r="C34" s="5"/>
      <c r="D34" s="35"/>
      <c r="E34" s="116"/>
      <c r="F34" s="15"/>
      <c r="G34" s="85"/>
      <c r="H34" s="14"/>
    </row>
    <row r="35" spans="2:8" x14ac:dyDescent="0.2">
      <c r="B35" s="35"/>
      <c r="C35" s="5"/>
      <c r="D35" s="35"/>
      <c r="E35" s="116"/>
      <c r="F35" s="15"/>
      <c r="G35" s="85"/>
      <c r="H35" s="14"/>
    </row>
    <row r="36" spans="2:8" x14ac:dyDescent="0.2">
      <c r="B36" s="36"/>
      <c r="C36" s="5"/>
      <c r="D36" s="35"/>
      <c r="E36" s="15"/>
      <c r="F36" s="15"/>
      <c r="G36" s="85"/>
      <c r="H36" s="14"/>
    </row>
    <row r="37" spans="2:8" x14ac:dyDescent="0.2">
      <c r="B37" s="36"/>
      <c r="C37" s="5"/>
      <c r="D37" s="35"/>
      <c r="E37" s="15"/>
      <c r="F37" s="15"/>
      <c r="G37" s="85"/>
      <c r="H37" s="14"/>
    </row>
    <row r="41" spans="2:8" x14ac:dyDescent="0.2">
      <c r="B41" s="56"/>
      <c r="C41" s="1" t="s">
        <v>154</v>
      </c>
    </row>
    <row r="42" spans="2:8" x14ac:dyDescent="0.2">
      <c r="B42" s="79"/>
      <c r="C42" s="1" t="s">
        <v>155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H12" sqref="H1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40" bestFit="1" customWidth="1"/>
    <col min="13" max="13" width="12.7109375" bestFit="1" customWidth="1"/>
    <col min="14" max="14" width="7.140625" customWidth="1"/>
    <col min="15" max="15" width="17.425781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11" t="s">
        <v>78</v>
      </c>
      <c r="I1" s="11" t="s">
        <v>99</v>
      </c>
    </row>
    <row r="2" spans="2:21" ht="31.5" x14ac:dyDescent="0.25">
      <c r="B2" s="13" t="str">
        <f>'EB2'!B5</f>
        <v>RSD</v>
      </c>
      <c r="C2" s="13" t="str">
        <f>'EB2'!C5</f>
        <v>Residential</v>
      </c>
      <c r="D2" s="25" t="str">
        <f>"Demand Technologies"</f>
        <v>Demand Technologies</v>
      </c>
      <c r="E2" s="13" t="str">
        <f>'EB2'!Z2</f>
        <v>PJ</v>
      </c>
      <c r="F2" s="13" t="s">
        <v>122</v>
      </c>
      <c r="G2" s="13" t="str">
        <f>'EB2'!Y2</f>
        <v>M€2005</v>
      </c>
      <c r="I2" s="13" t="s">
        <v>100</v>
      </c>
      <c r="M2" s="154" t="s">
        <v>14</v>
      </c>
      <c r="N2" s="154"/>
      <c r="O2" s="155"/>
      <c r="P2" s="155"/>
      <c r="Q2" s="155"/>
      <c r="R2" s="155"/>
      <c r="S2" s="155"/>
      <c r="T2" s="155"/>
      <c r="U2" s="155"/>
    </row>
    <row r="3" spans="2:21" x14ac:dyDescent="0.2">
      <c r="M3" s="156" t="s">
        <v>7</v>
      </c>
      <c r="N3" s="157" t="s">
        <v>30</v>
      </c>
      <c r="O3" s="156" t="s">
        <v>0</v>
      </c>
      <c r="P3" s="156" t="s">
        <v>3</v>
      </c>
      <c r="Q3" s="156" t="s">
        <v>4</v>
      </c>
      <c r="R3" s="156" t="s">
        <v>8</v>
      </c>
      <c r="S3" s="156" t="s">
        <v>9</v>
      </c>
      <c r="T3" s="156" t="s">
        <v>10</v>
      </c>
      <c r="U3" s="156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40"/>
      <c r="M4" s="158" t="s">
        <v>37</v>
      </c>
      <c r="N4" s="158" t="s">
        <v>31</v>
      </c>
      <c r="O4" s="158" t="s">
        <v>26</v>
      </c>
      <c r="P4" s="158" t="s">
        <v>27</v>
      </c>
      <c r="Q4" s="158" t="s">
        <v>4</v>
      </c>
      <c r="R4" s="158" t="s">
        <v>40</v>
      </c>
      <c r="S4" s="158" t="s">
        <v>41</v>
      </c>
      <c r="T4" s="158" t="s">
        <v>28</v>
      </c>
      <c r="U4" s="158" t="s">
        <v>29</v>
      </c>
    </row>
    <row r="5" spans="2:21" s="5" customFormat="1" ht="15.75" x14ac:dyDescent="0.25">
      <c r="B5" s="12"/>
      <c r="C5" s="12"/>
      <c r="D5" s="12"/>
      <c r="E5" s="12"/>
      <c r="F5" s="12"/>
      <c r="L5" s="40"/>
      <c r="M5" s="163" t="s">
        <v>83</v>
      </c>
      <c r="N5" s="159"/>
      <c r="O5" s="163" t="str">
        <f>LEFT($M$5,1)&amp;LEFT($B$2,1)&amp;'EB2'!$C$21</f>
        <v>DRSH</v>
      </c>
      <c r="P5" s="163" t="str">
        <f>LEFT($D$2,6)&amp;" "&amp;$C$2&amp; " Sector - "&amp;'EB2'!$X$21</f>
        <v>Demand Residential Sector - Space Heating</v>
      </c>
      <c r="Q5" s="163" t="str">
        <f>$E$2</f>
        <v>PJ</v>
      </c>
      <c r="R5" s="163"/>
      <c r="S5" s="163"/>
      <c r="T5" s="163"/>
      <c r="U5" s="163"/>
    </row>
    <row r="6" spans="2:21" s="5" customFormat="1" ht="15.75" x14ac:dyDescent="0.25">
      <c r="B6" s="12"/>
      <c r="C6" s="12"/>
      <c r="D6" s="12"/>
      <c r="E6" s="12"/>
      <c r="F6" s="12"/>
      <c r="L6" s="40"/>
      <c r="M6" s="163"/>
      <c r="N6" s="159"/>
      <c r="O6" s="163" t="str">
        <f>LEFT($M$5,1)&amp;LEFT($B$2,1)&amp;'EB2'!$C$22</f>
        <v>DRAP</v>
      </c>
      <c r="P6" s="163" t="str">
        <f>LEFT($D$2,6)&amp;" "&amp;$C$2&amp; " Sector - "&amp;'EB2'!$X$22</f>
        <v>Demand Residential Sector - Appliancens</v>
      </c>
      <c r="Q6" s="163" t="str">
        <f>$E$2</f>
        <v>PJ</v>
      </c>
      <c r="R6" s="163"/>
      <c r="S6" s="163"/>
      <c r="T6" s="163"/>
      <c r="U6" s="163"/>
    </row>
    <row r="7" spans="2:21" s="5" customFormat="1" ht="15.75" x14ac:dyDescent="0.25">
      <c r="B7" s="12"/>
      <c r="C7" s="12"/>
      <c r="D7" s="12"/>
      <c r="E7" s="12"/>
      <c r="F7" s="12"/>
      <c r="L7" s="40"/>
      <c r="M7" s="163"/>
      <c r="N7" s="159"/>
      <c r="O7" s="163" t="str">
        <f>LEFT($M$5,1)&amp;LEFT($B$2,1)&amp;'EB2'!$C$23</f>
        <v>DROT</v>
      </c>
      <c r="P7" s="163" t="str">
        <f>LEFT($D$2,6)&amp;" "&amp;$C$2&amp; " Sector - "&amp;'EB2'!$X$23</f>
        <v>Demand Residential Sector - Other</v>
      </c>
      <c r="Q7" s="163" t="str">
        <f>$E$2</f>
        <v>PJ</v>
      </c>
      <c r="R7" s="163"/>
      <c r="S7" s="163"/>
      <c r="T7" s="163"/>
      <c r="U7" s="163"/>
    </row>
    <row r="8" spans="2:21" x14ac:dyDescent="0.2">
      <c r="M8" s="161" t="s">
        <v>109</v>
      </c>
      <c r="N8" s="161"/>
      <c r="O8" s="161" t="str">
        <f>$B$2&amp;'EB2'!$C$29</f>
        <v>RSDCO2</v>
      </c>
      <c r="P8" s="161" t="str">
        <f>$C$2&amp;" "&amp;'EB2'!$C$30</f>
        <v>Residential Carbon dioxide</v>
      </c>
      <c r="Q8" s="161" t="str">
        <f>'EB2'!$AA$2</f>
        <v>kt</v>
      </c>
      <c r="R8" s="161"/>
      <c r="S8" s="161"/>
      <c r="T8" s="161"/>
      <c r="U8" s="161"/>
    </row>
    <row r="10" spans="2:21" x14ac:dyDescent="0.2">
      <c r="D10" s="4" t="s">
        <v>13</v>
      </c>
      <c r="E10" s="4"/>
      <c r="G10" s="4"/>
      <c r="H10" s="4"/>
      <c r="I10" s="18"/>
      <c r="M10" s="154" t="s">
        <v>15</v>
      </c>
      <c r="N10" s="154"/>
      <c r="O10" s="161"/>
      <c r="P10" s="161"/>
      <c r="Q10" s="161"/>
      <c r="R10" s="161"/>
      <c r="S10" s="161"/>
      <c r="T10" s="161"/>
      <c r="U10" s="161"/>
    </row>
    <row r="11" spans="2:21" x14ac:dyDescent="0.2">
      <c r="B11" s="22" t="s">
        <v>1</v>
      </c>
      <c r="C11" s="22" t="s">
        <v>5</v>
      </c>
      <c r="D11" s="22" t="s">
        <v>6</v>
      </c>
      <c r="E11" s="88" t="s">
        <v>130</v>
      </c>
      <c r="F11" s="88" t="s">
        <v>84</v>
      </c>
      <c r="G11" s="88" t="s">
        <v>97</v>
      </c>
      <c r="H11" s="88" t="s">
        <v>173</v>
      </c>
      <c r="I11" s="88" t="s">
        <v>79</v>
      </c>
      <c r="K11" s="115" t="s">
        <v>35</v>
      </c>
      <c r="L11" s="125"/>
      <c r="M11" s="156" t="s">
        <v>11</v>
      </c>
      <c r="N11" s="157" t="s">
        <v>30</v>
      </c>
      <c r="O11" s="156" t="s">
        <v>1</v>
      </c>
      <c r="P11" s="156" t="s">
        <v>2</v>
      </c>
      <c r="Q11" s="156" t="s">
        <v>16</v>
      </c>
      <c r="R11" s="156" t="s">
        <v>17</v>
      </c>
      <c r="S11" s="156" t="s">
        <v>18</v>
      </c>
      <c r="T11" s="156" t="s">
        <v>19</v>
      </c>
      <c r="U11" s="156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2" t="s">
        <v>98</v>
      </c>
      <c r="H12" s="20" t="s">
        <v>123</v>
      </c>
      <c r="I12" s="20" t="s">
        <v>172</v>
      </c>
      <c r="K12" s="115" t="s">
        <v>159</v>
      </c>
      <c r="L12" s="49"/>
      <c r="M12" s="158" t="s">
        <v>38</v>
      </c>
      <c r="N12" s="158" t="s">
        <v>31</v>
      </c>
      <c r="O12" s="158" t="s">
        <v>21</v>
      </c>
      <c r="P12" s="158" t="s">
        <v>22</v>
      </c>
      <c r="Q12" s="158" t="s">
        <v>23</v>
      </c>
      <c r="R12" s="158" t="s">
        <v>24</v>
      </c>
      <c r="S12" s="158" t="s">
        <v>43</v>
      </c>
      <c r="T12" s="158" t="s">
        <v>42</v>
      </c>
      <c r="U12" s="158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122</v>
      </c>
      <c r="F13" s="17"/>
      <c r="G13" s="90"/>
      <c r="H13" s="17" t="str">
        <f>$F$2&amp;"/"&amp;$E$2</f>
        <v>GW/PJ</v>
      </c>
      <c r="I13" s="17" t="s">
        <v>91</v>
      </c>
      <c r="K13" s="17"/>
      <c r="M13" s="158" t="s">
        <v>81</v>
      </c>
      <c r="N13" s="158"/>
      <c r="O13" s="158"/>
      <c r="P13" s="158"/>
      <c r="Q13" s="158"/>
      <c r="R13" s="158"/>
      <c r="S13" s="158"/>
      <c r="T13" s="158"/>
      <c r="U13" s="158"/>
    </row>
    <row r="14" spans="2:21" x14ac:dyDescent="0.2">
      <c r="B14" t="str">
        <f>O14</f>
        <v>RSHECOA</v>
      </c>
      <c r="C14" t="str">
        <f>$B$2&amp;RIGHT(B14,3)</f>
        <v>RSDCOA</v>
      </c>
      <c r="D14" t="str">
        <f t="shared" ref="D14:D19" si="0">$O$5</f>
        <v>DRSH</v>
      </c>
      <c r="E14" s="78">
        <f>'EB2'!$D$5*'EB2'!$D$21/(G14*H14)*1.01</f>
        <v>0</v>
      </c>
      <c r="F14" s="82">
        <v>0.85</v>
      </c>
      <c r="G14" s="82">
        <v>0.3</v>
      </c>
      <c r="H14" s="84">
        <v>31.536000000000001</v>
      </c>
      <c r="I14" s="56">
        <v>15</v>
      </c>
      <c r="K14" s="43">
        <f>E14*G14*H14</f>
        <v>0</v>
      </c>
      <c r="M14" s="163" t="s">
        <v>96</v>
      </c>
      <c r="N14" s="159"/>
      <c r="O14" s="159" t="str">
        <f>LEFT($B$2)&amp;'EB2'!$C$21&amp;$I$2&amp;'EB2'!$D$2</f>
        <v>RSHECOA</v>
      </c>
      <c r="P14" s="164" t="str">
        <f>$D$2&amp;" "&amp;$C$2&amp; " Sector - "&amp;""&amp;$I$1&amp;" "&amp;'EB2'!$X$21&amp;" - "&amp;'EB2'!$D$3</f>
        <v>Demand Technologies Residential Sector - Existing Space Heating - Solid Fuels</v>
      </c>
      <c r="Q14" s="159" t="str">
        <f t="shared" ref="Q14:Q25" si="1">$E$2</f>
        <v>PJ</v>
      </c>
      <c r="R14" s="159" t="str">
        <f t="shared" ref="R14:R25" si="2">$E$2&amp;"a"</f>
        <v>PJa</v>
      </c>
      <c r="S14" s="159"/>
      <c r="T14" s="159"/>
      <c r="U14" s="159"/>
    </row>
    <row r="15" spans="2:21" x14ac:dyDescent="0.2">
      <c r="B15" t="str">
        <f t="shared" ref="B15:B23" si="3">O15</f>
        <v>RSHEGAS</v>
      </c>
      <c r="C15" t="str">
        <f t="shared" ref="C15:C25" si="4">$B$2&amp;RIGHT(B15,3)</f>
        <v>RSDGAS</v>
      </c>
      <c r="D15" t="str">
        <f t="shared" si="0"/>
        <v>DRSH</v>
      </c>
      <c r="E15" s="78">
        <f>'EB2'!$E$5*'EB2'!$E$21/(G15*H15)*1.01</f>
        <v>264.40339573820393</v>
      </c>
      <c r="F15" s="82">
        <v>0.9</v>
      </c>
      <c r="G15" s="82">
        <v>0.3</v>
      </c>
      <c r="H15" s="84">
        <v>31.536000000000001</v>
      </c>
      <c r="I15" s="56">
        <v>15</v>
      </c>
      <c r="K15" s="43">
        <f t="shared" ref="K15:K23" si="5">E15*G15*H15</f>
        <v>2501.4676463999995</v>
      </c>
      <c r="M15" s="159"/>
      <c r="N15" s="159"/>
      <c r="O15" s="159" t="str">
        <f>LEFT($B$2)&amp;'EB2'!$C$21&amp;$I$2&amp;'EB2'!$E$2</f>
        <v>RSHEGAS</v>
      </c>
      <c r="P15" s="164" t="str">
        <f>$D$2&amp;" "&amp;$C$2&amp; " Sector - "&amp;""&amp;$I$1&amp;" "&amp;'EB2'!$X$21&amp;" - "&amp;'EB2'!$E$3</f>
        <v>Demand Technologies Residential Sector - Existing Space Heating - Natural Gas</v>
      </c>
      <c r="Q15" s="159" t="str">
        <f t="shared" si="1"/>
        <v>PJ</v>
      </c>
      <c r="R15" s="159" t="str">
        <f t="shared" si="2"/>
        <v>PJa</v>
      </c>
      <c r="S15" s="159"/>
      <c r="T15" s="159"/>
      <c r="U15" s="159"/>
    </row>
    <row r="16" spans="2:21" x14ac:dyDescent="0.2">
      <c r="B16" t="str">
        <f t="shared" si="3"/>
        <v>RSHEOIL</v>
      </c>
      <c r="C16" t="str">
        <f t="shared" si="4"/>
        <v>RSDOIL</v>
      </c>
      <c r="D16" t="str">
        <f t="shared" si="0"/>
        <v>DRSH</v>
      </c>
      <c r="E16" s="78">
        <f>SUM('EB2'!$G$5:$J$5,'EB2'!$L$5:$M$5)*'EB2'!$G$21/(G16*H16)*1.01</f>
        <v>97.758579824116353</v>
      </c>
      <c r="F16" s="82">
        <v>0.8</v>
      </c>
      <c r="G16" s="82">
        <v>0.3</v>
      </c>
      <c r="H16" s="84">
        <v>31.536000000000001</v>
      </c>
      <c r="I16" s="56">
        <v>15</v>
      </c>
      <c r="K16" s="43">
        <f t="shared" si="5"/>
        <v>924.87437199999999</v>
      </c>
      <c r="M16" s="159"/>
      <c r="N16" s="159"/>
      <c r="O16" s="159" t="str">
        <f>LEFT($B$2)&amp;'EB2'!$C$21&amp;$I$2&amp;'EB2'!$F$2</f>
        <v>RSHEOIL</v>
      </c>
      <c r="P16" s="164" t="str">
        <f>$D$2&amp;" "&amp;$C$2&amp; " Sector - "&amp;""&amp;$I$1&amp;" "&amp;'EB2'!$X$21&amp;" - "&amp;RIGHT('EB2'!$F$3,3)</f>
        <v>Demand Technologies Residential Sector - Existing Space Heating - oil</v>
      </c>
      <c r="Q16" s="159" t="str">
        <f t="shared" si="1"/>
        <v>PJ</v>
      </c>
      <c r="R16" s="159" t="str">
        <f t="shared" si="2"/>
        <v>PJa</v>
      </c>
      <c r="S16" s="159"/>
      <c r="T16" s="159"/>
      <c r="U16" s="159"/>
    </row>
    <row r="17" spans="2:21" x14ac:dyDescent="0.2">
      <c r="B17" t="str">
        <f t="shared" si="3"/>
        <v>RSHEBIO</v>
      </c>
      <c r="C17" t="str">
        <f t="shared" si="4"/>
        <v>RSDBIO</v>
      </c>
      <c r="D17" t="str">
        <f t="shared" si="0"/>
        <v>DRSH</v>
      </c>
      <c r="E17" s="78">
        <f>'EB2'!$O$5*'EB2'!$O$21/(G17*H17)*1.01</f>
        <v>25.491845721292059</v>
      </c>
      <c r="F17" s="82">
        <v>0.8</v>
      </c>
      <c r="G17" s="82">
        <v>0.3</v>
      </c>
      <c r="H17" s="84">
        <v>31.536000000000001</v>
      </c>
      <c r="I17" s="56">
        <v>15</v>
      </c>
      <c r="K17" s="43">
        <f t="shared" si="5"/>
        <v>241.1732539999999</v>
      </c>
      <c r="M17" s="159"/>
      <c r="N17" s="159"/>
      <c r="O17" s="159" t="str">
        <f>LEFT($B$2)&amp;'EB2'!$C$21&amp;$I$2&amp;'EB2'!$O$2</f>
        <v>RSHEBIO</v>
      </c>
      <c r="P17" s="164" t="str">
        <f>$D$2&amp;" "&amp;$C$2&amp; " Sector - "&amp;""&amp;$I$1&amp;" "&amp;'EB2'!$X$21&amp;" - "&amp;'EB2'!$O$3</f>
        <v>Demand Technologies Residential Sector - Existing Space Heating - Biomass</v>
      </c>
      <c r="Q17" s="159" t="str">
        <f t="shared" si="1"/>
        <v>PJ</v>
      </c>
      <c r="R17" s="159" t="str">
        <f t="shared" si="2"/>
        <v>PJa</v>
      </c>
      <c r="S17" s="159"/>
      <c r="T17" s="159"/>
      <c r="U17" s="159"/>
    </row>
    <row r="18" spans="2:21" x14ac:dyDescent="0.2">
      <c r="B18" t="str">
        <f>O18</f>
        <v>RSHESOL</v>
      </c>
      <c r="C18" t="str">
        <f>$B$2&amp;RIGHT(B18,3)</f>
        <v>RSDSOL</v>
      </c>
      <c r="D18" t="str">
        <f t="shared" si="0"/>
        <v>DRSH</v>
      </c>
      <c r="E18" s="78">
        <f>'EB2'!$R$5*'EB2'!$R$21/(G18*H18)*1.01</f>
        <v>5.337814983933705</v>
      </c>
      <c r="F18" s="82">
        <v>0.8</v>
      </c>
      <c r="G18" s="82">
        <v>0.3</v>
      </c>
      <c r="H18" s="84">
        <v>31.536000000000001</v>
      </c>
      <c r="I18" s="56">
        <v>15</v>
      </c>
      <c r="K18" s="43">
        <f>E18*G18*H18</f>
        <v>50.5</v>
      </c>
      <c r="M18" s="159"/>
      <c r="N18" s="159"/>
      <c r="O18" s="159" t="str">
        <f>LEFT($B$2)&amp;'EB2'!$C$21&amp;$I$2&amp;'EB2'!$R$2</f>
        <v>RSHESOL</v>
      </c>
      <c r="P18" s="164" t="str">
        <f>$D$2&amp;" "&amp;$C$2&amp; " Sector - "&amp;""&amp;$I$1&amp;" "&amp;'EB2'!$X$21&amp;" - "&amp;'EB2'!$R$3</f>
        <v>Demand Technologies Residential Sector - Existing Space Heating - Solar energy</v>
      </c>
      <c r="Q18" s="159" t="str">
        <f t="shared" si="1"/>
        <v>PJ</v>
      </c>
      <c r="R18" s="159" t="str">
        <f t="shared" si="2"/>
        <v>PJa</v>
      </c>
      <c r="S18" s="159"/>
      <c r="T18" s="159"/>
      <c r="U18" s="159"/>
    </row>
    <row r="19" spans="2:21" x14ac:dyDescent="0.2">
      <c r="B19" s="31" t="str">
        <f t="shared" si="3"/>
        <v>RSHEELC</v>
      </c>
      <c r="C19" s="31" t="str">
        <f t="shared" si="4"/>
        <v>RSDELC</v>
      </c>
      <c r="D19" s="31" t="str">
        <f t="shared" si="0"/>
        <v>DRSH</v>
      </c>
      <c r="E19" s="93">
        <f>'EB2'!$U$5*'EB2'!$U$21/(G19*H19)*1.01</f>
        <v>7.664413738795874</v>
      </c>
      <c r="F19" s="126">
        <v>0.97</v>
      </c>
      <c r="G19" s="126">
        <v>0.3</v>
      </c>
      <c r="H19" s="127">
        <v>31.536000000000001</v>
      </c>
      <c r="I19" s="128">
        <v>15</v>
      </c>
      <c r="J19" s="7"/>
      <c r="K19" s="129">
        <f t="shared" si="5"/>
        <v>72.511485500000006</v>
      </c>
      <c r="M19" s="159"/>
      <c r="N19" s="159"/>
      <c r="O19" s="159" t="str">
        <f>LEFT($B$2)&amp;'EB2'!$C$21&amp;$I$2&amp;'EB2'!$U$2</f>
        <v>RSHEELC</v>
      </c>
      <c r="P19" s="164" t="str">
        <f>$D$2&amp;" "&amp;$C$2&amp; " Sector - "&amp;""&amp;$I$1&amp;" "&amp;'EB2'!$X$21&amp;" - "&amp;'EB2'!$U$3</f>
        <v>Demand Technologies Residential Sector - Existing Space Heating - Electricity</v>
      </c>
      <c r="Q19" s="159" t="str">
        <f t="shared" si="1"/>
        <v>PJ</v>
      </c>
      <c r="R19" s="159" t="str">
        <f t="shared" si="2"/>
        <v>PJa</v>
      </c>
      <c r="S19" s="159"/>
      <c r="T19" s="159"/>
      <c r="U19" s="159"/>
    </row>
    <row r="20" spans="2:21" x14ac:dyDescent="0.2">
      <c r="B20" s="130" t="str">
        <f t="shared" si="3"/>
        <v>RAPEELC</v>
      </c>
      <c r="C20" s="130" t="str">
        <f t="shared" si="4"/>
        <v>RSDELC</v>
      </c>
      <c r="D20" s="130" t="str">
        <f>$O$6</f>
        <v>DRAP</v>
      </c>
      <c r="E20" s="131">
        <f>'EB2'!$U$5*'EB2'!$U$22/(G20*H20)*1.01</f>
        <v>4350.6891300000007</v>
      </c>
      <c r="F20" s="132">
        <v>1</v>
      </c>
      <c r="G20" s="132">
        <v>0.3</v>
      </c>
      <c r="H20" s="141">
        <v>1</v>
      </c>
      <c r="I20" s="133">
        <v>5</v>
      </c>
      <c r="J20" s="7"/>
      <c r="K20" s="134">
        <f t="shared" si="5"/>
        <v>1305.2067390000002</v>
      </c>
      <c r="M20" s="165"/>
      <c r="N20" s="165"/>
      <c r="O20" s="165" t="str">
        <f>LEFT($B$2)&amp;'EB2'!$C$22&amp;$I$2&amp;'EB2'!$U$2</f>
        <v>RAPEELC</v>
      </c>
      <c r="P20" s="166" t="str">
        <f>$D$2&amp;" "&amp;$C$2&amp; " Sector - "&amp;""&amp;$I$1&amp;" "&amp;'EB2'!$X$22&amp;" - "&amp;'EB2'!$U$3</f>
        <v>Demand Technologies Residential Sector - Existing Appliancens - Electricity</v>
      </c>
      <c r="Q20" s="165" t="str">
        <f t="shared" si="1"/>
        <v>PJ</v>
      </c>
      <c r="R20" s="165" t="str">
        <f t="shared" si="2"/>
        <v>PJa</v>
      </c>
      <c r="S20" s="165"/>
      <c r="T20" s="165"/>
      <c r="U20" s="165"/>
    </row>
    <row r="21" spans="2:21" x14ac:dyDescent="0.2">
      <c r="B21" t="str">
        <f t="shared" si="3"/>
        <v>ROTECOA</v>
      </c>
      <c r="C21" t="str">
        <f t="shared" si="4"/>
        <v>RSDCOA</v>
      </c>
      <c r="D21" t="str">
        <f>$O$7</f>
        <v>DROT</v>
      </c>
      <c r="E21" s="78">
        <f>'EB2'!$D$5*'EB2'!$D$23/(G21*H21)*1.01</f>
        <v>420.14064166666668</v>
      </c>
      <c r="F21" s="82">
        <v>1</v>
      </c>
      <c r="G21" s="82">
        <v>0.3</v>
      </c>
      <c r="H21" s="142">
        <v>1</v>
      </c>
      <c r="I21" s="56">
        <v>10</v>
      </c>
      <c r="J21" s="7"/>
      <c r="K21" s="43">
        <f t="shared" si="5"/>
        <v>126.0421925</v>
      </c>
      <c r="M21" s="159"/>
      <c r="N21" s="159"/>
      <c r="O21" s="159" t="str">
        <f>LEFT($B$2)&amp;'EB2'!$C$23&amp;$I$2&amp;'EB2'!$D$2</f>
        <v>ROTECOA</v>
      </c>
      <c r="P21" s="164" t="str">
        <f>$D$2&amp;" "&amp;$C$2&amp; " Sector - "&amp;""&amp;$I$1&amp;" "&amp;'EB2'!$X$23&amp;" - "&amp;'EB2'!$D$3</f>
        <v>Demand Technologies Residential Sector - Existing Other - Solid Fuels</v>
      </c>
      <c r="Q21" s="159" t="str">
        <f t="shared" si="1"/>
        <v>PJ</v>
      </c>
      <c r="R21" s="159" t="str">
        <f t="shared" si="2"/>
        <v>PJa</v>
      </c>
      <c r="S21" s="159"/>
      <c r="T21" s="159"/>
      <c r="U21" s="159"/>
    </row>
    <row r="22" spans="2:21" x14ac:dyDescent="0.2">
      <c r="B22" t="str">
        <f t="shared" si="3"/>
        <v>ROTEGAS</v>
      </c>
      <c r="C22" t="str">
        <f t="shared" si="4"/>
        <v>RSDGAS</v>
      </c>
      <c r="D22" t="str">
        <f>$O$7</f>
        <v>DROT</v>
      </c>
      <c r="E22" s="78">
        <f>'EB2'!$E$5*'EB2'!$E$23/(G22*H22)*1.01</f>
        <v>2084.5563719999996</v>
      </c>
      <c r="F22" s="82">
        <v>1</v>
      </c>
      <c r="G22" s="82">
        <v>0.3</v>
      </c>
      <c r="H22" s="142">
        <v>1</v>
      </c>
      <c r="I22" s="56">
        <v>10</v>
      </c>
      <c r="K22" s="43">
        <f t="shared" si="5"/>
        <v>625.36691159999987</v>
      </c>
      <c r="M22" s="159"/>
      <c r="N22" s="159"/>
      <c r="O22" s="159" t="str">
        <f>LEFT($B$2)&amp;'EB2'!$C$23&amp;$I$2&amp;'EB2'!$E$2</f>
        <v>ROTEGAS</v>
      </c>
      <c r="P22" s="164" t="str">
        <f>$D$2&amp;" "&amp;$C$2&amp; " Sector - "&amp;""&amp;$I$1&amp;" "&amp;'EB2'!$X$23&amp;" - "&amp;'EB2'!$E$3</f>
        <v>Demand Technologies Residential Sector - Existing Other - Natural Gas</v>
      </c>
      <c r="Q22" s="159" t="str">
        <f t="shared" si="1"/>
        <v>PJ</v>
      </c>
      <c r="R22" s="159" t="str">
        <f t="shared" si="2"/>
        <v>PJa</v>
      </c>
      <c r="S22" s="159"/>
      <c r="T22" s="159"/>
      <c r="U22" s="159"/>
    </row>
    <row r="23" spans="2:21" x14ac:dyDescent="0.2">
      <c r="B23" t="str">
        <f t="shared" si="3"/>
        <v>ROTEOIL</v>
      </c>
      <c r="C23" t="str">
        <f t="shared" si="4"/>
        <v>RSDOIL</v>
      </c>
      <c r="D23" t="str">
        <f>$O$7</f>
        <v>DROT</v>
      </c>
      <c r="E23" s="78">
        <f>SUM('EB2'!$G$5:$J$5,'EB2'!$L$5:$M$5)*'EB2'!$G$23/(G23*H23)*1.01</f>
        <v>770.72864333333325</v>
      </c>
      <c r="F23" s="82">
        <v>1</v>
      </c>
      <c r="G23" s="82">
        <v>0.3</v>
      </c>
      <c r="H23" s="142">
        <v>1</v>
      </c>
      <c r="I23" s="56">
        <v>10</v>
      </c>
      <c r="K23" s="43">
        <f t="shared" si="5"/>
        <v>231.21859299999997</v>
      </c>
      <c r="M23" s="159"/>
      <c r="N23" s="159"/>
      <c r="O23" s="159" t="str">
        <f>LEFT($B$2)&amp;'EB2'!$C$23&amp;$I$2&amp;'EB2'!$F$2</f>
        <v>ROTEOIL</v>
      </c>
      <c r="P23" s="164" t="str">
        <f>$D$2&amp;" "&amp;$C$2&amp; " Sector - "&amp;""&amp;$I$1&amp;" "&amp;'EB2'!$X$23&amp;" - "&amp;RIGHT('EB2'!$F$3,3)</f>
        <v>Demand Technologies Residential Sector - Existing Other - oil</v>
      </c>
      <c r="Q23" s="159" t="str">
        <f t="shared" si="1"/>
        <v>PJ</v>
      </c>
      <c r="R23" s="159" t="str">
        <f t="shared" si="2"/>
        <v>PJa</v>
      </c>
      <c r="S23" s="159"/>
      <c r="T23" s="159"/>
      <c r="U23" s="159"/>
    </row>
    <row r="24" spans="2:21" x14ac:dyDescent="0.2">
      <c r="B24" t="str">
        <f>O24</f>
        <v>ROTEBIO</v>
      </c>
      <c r="C24" t="str">
        <f t="shared" si="4"/>
        <v>RSDBIO</v>
      </c>
      <c r="D24" t="str">
        <f>$O$7</f>
        <v>DROT</v>
      </c>
      <c r="E24" s="78">
        <f>'EB2'!$O$5*'EB2'!$O$23/(G24*H24)*1.01</f>
        <v>200.97771166666658</v>
      </c>
      <c r="F24" s="82">
        <v>1</v>
      </c>
      <c r="G24" s="82">
        <v>0.3</v>
      </c>
      <c r="H24" s="142">
        <v>1</v>
      </c>
      <c r="I24" s="56">
        <v>10</v>
      </c>
      <c r="K24" s="43">
        <f>E24*G24*H24</f>
        <v>60.293313499999968</v>
      </c>
      <c r="M24" s="159"/>
      <c r="N24" s="159"/>
      <c r="O24" s="159" t="str">
        <f>LEFT($B$2)&amp;'EB2'!$C$23&amp;$I$2&amp;'EB2'!$O$2</f>
        <v>ROTEBIO</v>
      </c>
      <c r="P24" s="164" t="str">
        <f>$D$2&amp;" "&amp;$C$2&amp; " Sector - "&amp;""&amp;$I$1&amp;" "&amp;'EB2'!$X$23&amp;" - "&amp;'EB2'!$O$3</f>
        <v>Demand Technologies Residential Sector - Existing Other - Biomass</v>
      </c>
      <c r="Q24" s="159" t="str">
        <f t="shared" si="1"/>
        <v>PJ</v>
      </c>
      <c r="R24" s="159" t="str">
        <f t="shared" si="2"/>
        <v>PJa</v>
      </c>
      <c r="S24" s="159"/>
      <c r="T24" s="159"/>
      <c r="U24" s="159"/>
    </row>
    <row r="25" spans="2:21" x14ac:dyDescent="0.2">
      <c r="B25" t="str">
        <f>O25</f>
        <v>ROTEELC</v>
      </c>
      <c r="C25" t="str">
        <f t="shared" si="4"/>
        <v>RSDELC</v>
      </c>
      <c r="D25" t="str">
        <f>$O$7</f>
        <v>DROT</v>
      </c>
      <c r="E25" s="94">
        <f>'EB2'!$U$5*'EB2'!$U$23/(G25*H25)*1.01</f>
        <v>241.70495166666637</v>
      </c>
      <c r="F25" s="82">
        <v>1</v>
      </c>
      <c r="G25" s="82">
        <v>0.3</v>
      </c>
      <c r="H25" s="142">
        <v>1</v>
      </c>
      <c r="I25" s="56">
        <v>10</v>
      </c>
      <c r="K25" s="43">
        <f>E25*G25*H25</f>
        <v>72.511485499999907</v>
      </c>
      <c r="M25" s="159"/>
      <c r="N25" s="159"/>
      <c r="O25" s="159" t="str">
        <f>LEFT($B$2)&amp;'EB2'!$C$23&amp;$I$2&amp;'EB2'!$U$2</f>
        <v>ROTEELC</v>
      </c>
      <c r="P25" s="164" t="str">
        <f>$D$2&amp;" "&amp;$C$2&amp; " Sector - "&amp;""&amp;$I$1&amp;" "&amp;'EB2'!$X$23&amp;" - "&amp;'EB2'!$U$3</f>
        <v>Demand Technologies Residential Sector - Existing Other - Electricity</v>
      </c>
      <c r="Q25" s="159" t="str">
        <f t="shared" si="1"/>
        <v>PJ</v>
      </c>
      <c r="R25" s="159" t="str">
        <f t="shared" si="2"/>
        <v>PJa</v>
      </c>
      <c r="S25" s="159"/>
      <c r="T25" s="159"/>
      <c r="U25" s="159"/>
    </row>
    <row r="26" spans="2:21" x14ac:dyDescent="0.2">
      <c r="E26" s="23"/>
      <c r="F26" s="21"/>
      <c r="G26" s="21"/>
      <c r="H26" s="21"/>
      <c r="M26" s="5"/>
      <c r="N26" s="5"/>
      <c r="O26" s="5"/>
      <c r="P26" s="95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6"/>
      <c r="C37" s="1" t="s">
        <v>154</v>
      </c>
    </row>
    <row r="38" spans="2:21" x14ac:dyDescent="0.2">
      <c r="B38" s="79"/>
      <c r="C38" s="1" t="s">
        <v>155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1"/>
  <sheetViews>
    <sheetView workbookViewId="0">
      <selection activeCell="G6" sqref="G6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4.42578125" bestFit="1" customWidth="1"/>
    <col min="8" max="18" width="6.42578125" customWidth="1"/>
  </cols>
  <sheetData>
    <row r="1" spans="2:21" ht="15" x14ac:dyDescent="0.25">
      <c r="B1" s="11" t="s">
        <v>73</v>
      </c>
      <c r="C1" s="11" t="s">
        <v>74</v>
      </c>
      <c r="D1" s="11" t="s">
        <v>75</v>
      </c>
      <c r="E1" s="11" t="s">
        <v>77</v>
      </c>
    </row>
    <row r="2" spans="2:21" ht="15.75" x14ac:dyDescent="0.25">
      <c r="B2" s="13" t="s">
        <v>83</v>
      </c>
      <c r="C2" s="13"/>
      <c r="D2" s="13"/>
      <c r="E2" s="13" t="str">
        <f>'EB2'!Z2</f>
        <v>PJ</v>
      </c>
    </row>
    <row r="5" spans="2:21" x14ac:dyDescent="0.2">
      <c r="C5" s="3" t="s">
        <v>13</v>
      </c>
      <c r="D5" s="3"/>
      <c r="E5" s="1"/>
      <c r="G5" s="3" t="s">
        <v>189</v>
      </c>
      <c r="H5" s="1"/>
    </row>
    <row r="6" spans="2:21" x14ac:dyDescent="0.2">
      <c r="B6" s="2" t="s">
        <v>80</v>
      </c>
      <c r="C6" s="2" t="s">
        <v>0</v>
      </c>
      <c r="D6" s="2" t="s">
        <v>147</v>
      </c>
      <c r="E6" s="92">
        <v>2005</v>
      </c>
      <c r="G6" s="2" t="s">
        <v>0</v>
      </c>
      <c r="H6" s="170" t="s">
        <v>174</v>
      </c>
      <c r="I6" s="170" t="s">
        <v>175</v>
      </c>
      <c r="J6" s="170" t="s">
        <v>176</v>
      </c>
      <c r="K6" s="170" t="s">
        <v>124</v>
      </c>
      <c r="L6" s="170" t="s">
        <v>125</v>
      </c>
      <c r="M6" s="170" t="s">
        <v>177</v>
      </c>
      <c r="N6" s="170" t="s">
        <v>178</v>
      </c>
      <c r="O6" s="170" t="s">
        <v>179</v>
      </c>
      <c r="P6" s="170" t="s">
        <v>180</v>
      </c>
      <c r="Q6" s="170" t="s">
        <v>126</v>
      </c>
      <c r="R6" s="170" t="s">
        <v>127</v>
      </c>
      <c r="S6" s="170" t="s">
        <v>181</v>
      </c>
    </row>
    <row r="7" spans="2:21" ht="22.5" x14ac:dyDescent="0.2">
      <c r="B7" s="20" t="s">
        <v>81</v>
      </c>
      <c r="C7" s="20" t="s">
        <v>82</v>
      </c>
      <c r="D7" s="20" t="s">
        <v>148</v>
      </c>
      <c r="E7" s="89" t="s">
        <v>36</v>
      </c>
      <c r="G7" s="168" t="s">
        <v>188</v>
      </c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</row>
    <row r="8" spans="2:21" ht="13.5" thickBot="1" x14ac:dyDescent="0.25">
      <c r="B8" s="19" t="s">
        <v>90</v>
      </c>
      <c r="C8" s="19"/>
      <c r="D8" s="19"/>
      <c r="E8" s="17" t="str">
        <f>E2</f>
        <v>PJ</v>
      </c>
      <c r="G8" s="167" t="s">
        <v>81</v>
      </c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</row>
    <row r="9" spans="2:21" x14ac:dyDescent="0.2">
      <c r="B9" s="41" t="s">
        <v>35</v>
      </c>
      <c r="C9" s="1" t="str">
        <f>DemTechs_RSD!$O$5</f>
        <v>DRSH</v>
      </c>
      <c r="D9" s="41" t="s">
        <v>76</v>
      </c>
      <c r="E9" s="137">
        <f>SUM(DemTechs_RSD!K14:K19)</f>
        <v>3790.5267578999997</v>
      </c>
      <c r="G9" s="1" t="s">
        <v>182</v>
      </c>
      <c r="H9" s="21">
        <v>0.11</v>
      </c>
      <c r="I9" s="21">
        <v>0.08</v>
      </c>
      <c r="J9" s="21">
        <v>5.5E-2</v>
      </c>
      <c r="K9" s="21">
        <v>0</v>
      </c>
      <c r="L9" s="21">
        <v>0</v>
      </c>
      <c r="M9" s="21">
        <v>0</v>
      </c>
      <c r="N9" s="21">
        <v>0.13500000000000001</v>
      </c>
      <c r="O9" s="21">
        <v>9.5000000000000001E-2</v>
      </c>
      <c r="P9" s="21">
        <v>6.5000000000000002E-2</v>
      </c>
      <c r="Q9" s="21">
        <v>0.23</v>
      </c>
      <c r="R9" s="21">
        <v>0.18</v>
      </c>
      <c r="S9" s="21">
        <v>0.05</v>
      </c>
      <c r="U9" s="169">
        <v>1</v>
      </c>
    </row>
    <row r="10" spans="2:21" x14ac:dyDescent="0.2">
      <c r="B10" s="7" t="s">
        <v>35</v>
      </c>
      <c r="C10" s="1" t="str">
        <f>DemTechs_RSD!$O$6</f>
        <v>DRAP</v>
      </c>
      <c r="D10" s="28" t="s">
        <v>76</v>
      </c>
      <c r="E10" s="137">
        <f>SUM(DemTechs_RSD!K20)</f>
        <v>1305.2067390000002</v>
      </c>
      <c r="G10" s="1" t="s">
        <v>183</v>
      </c>
      <c r="H10" s="21">
        <v>0.1</v>
      </c>
      <c r="I10" s="21">
        <v>0.14000000000000001</v>
      </c>
      <c r="J10" s="21">
        <v>0.01</v>
      </c>
      <c r="K10" s="21">
        <v>7.0000000000000007E-2</v>
      </c>
      <c r="L10" s="21">
        <v>7.0000000000000007E-2</v>
      </c>
      <c r="M10" s="21">
        <v>0.01</v>
      </c>
      <c r="N10" s="21">
        <v>0.1</v>
      </c>
      <c r="O10" s="21">
        <v>0.14000000000000001</v>
      </c>
      <c r="P10" s="21">
        <v>0.01</v>
      </c>
      <c r="Q10" s="21">
        <v>0.11</v>
      </c>
      <c r="R10" s="21">
        <v>0.22</v>
      </c>
      <c r="S10" s="21">
        <v>0.02</v>
      </c>
      <c r="U10" s="169">
        <v>1</v>
      </c>
    </row>
    <row r="11" spans="2:21" x14ac:dyDescent="0.2">
      <c r="B11" s="31" t="s">
        <v>35</v>
      </c>
      <c r="C11" s="42" t="str">
        <f>DemTechs_RSD!$O$7</f>
        <v>DROT</v>
      </c>
      <c r="D11" s="42" t="s">
        <v>76</v>
      </c>
      <c r="E11" s="138">
        <f>SUM(DemTechs_RSD!K21:K25)</f>
        <v>1115.4324960999998</v>
      </c>
      <c r="G11" s="42" t="s">
        <v>184</v>
      </c>
      <c r="H11" s="171">
        <v>0.13</v>
      </c>
      <c r="I11" s="171">
        <v>0.11</v>
      </c>
      <c r="J11" s="171">
        <v>0.01</v>
      </c>
      <c r="K11" s="171">
        <v>0.13</v>
      </c>
      <c r="L11" s="171">
        <v>0.11</v>
      </c>
      <c r="M11" s="171">
        <v>0.01</v>
      </c>
      <c r="N11" s="171">
        <v>0.13</v>
      </c>
      <c r="O11" s="171">
        <v>0.11</v>
      </c>
      <c r="P11" s="171">
        <v>0.01</v>
      </c>
      <c r="Q11" s="171">
        <v>0.12</v>
      </c>
      <c r="R11" s="171">
        <v>0.12</v>
      </c>
      <c r="S11" s="171">
        <v>0.01</v>
      </c>
      <c r="U11" s="169">
        <v>1</v>
      </c>
    </row>
    <row r="12" spans="2:21" x14ac:dyDescent="0.2">
      <c r="B12" s="10" t="s">
        <v>35</v>
      </c>
      <c r="C12" s="1" t="str">
        <f>DemTechs_COM!$O$5</f>
        <v>DCSH</v>
      </c>
      <c r="D12" s="10" t="s">
        <v>76</v>
      </c>
      <c r="E12" s="137">
        <f>SUM(DemTechs_COM!K14:K19)</f>
        <v>1376.0600115500004</v>
      </c>
      <c r="G12" s="1" t="s">
        <v>185</v>
      </c>
      <c r="H12" s="21">
        <v>0.11</v>
      </c>
      <c r="I12" s="21">
        <v>0.08</v>
      </c>
      <c r="J12" s="21">
        <v>5.5E-2</v>
      </c>
      <c r="K12" s="21">
        <v>0</v>
      </c>
      <c r="L12" s="21">
        <v>0</v>
      </c>
      <c r="M12" s="21">
        <v>0</v>
      </c>
      <c r="N12" s="21">
        <v>0.13500000000000001</v>
      </c>
      <c r="O12" s="21">
        <v>9.5000000000000001E-2</v>
      </c>
      <c r="P12" s="21">
        <v>6.5000000000000002E-2</v>
      </c>
      <c r="Q12" s="21">
        <v>0.23</v>
      </c>
      <c r="R12" s="21">
        <v>0.18</v>
      </c>
      <c r="S12" s="21">
        <v>0.05</v>
      </c>
      <c r="U12" s="169">
        <v>1</v>
      </c>
    </row>
    <row r="13" spans="2:21" x14ac:dyDescent="0.2">
      <c r="B13" s="7" t="s">
        <v>35</v>
      </c>
      <c r="C13" s="1" t="str">
        <f>DemTechs_COM!$O$6</f>
        <v>DCAP</v>
      </c>
      <c r="D13" s="28" t="s">
        <v>76</v>
      </c>
      <c r="E13" s="137">
        <f>SUM(DemTechs_COM!K20)</f>
        <v>1148.6992095000001</v>
      </c>
      <c r="G13" s="28" t="s">
        <v>186</v>
      </c>
      <c r="H13" s="24">
        <v>0.1</v>
      </c>
      <c r="I13" s="24">
        <v>0.14000000000000001</v>
      </c>
      <c r="J13" s="24">
        <v>0.01</v>
      </c>
      <c r="K13" s="24">
        <v>7.0000000000000007E-2</v>
      </c>
      <c r="L13" s="24">
        <v>7.0000000000000007E-2</v>
      </c>
      <c r="M13" s="24">
        <v>0.01</v>
      </c>
      <c r="N13" s="24">
        <v>0.1</v>
      </c>
      <c r="O13" s="24">
        <v>0.14000000000000001</v>
      </c>
      <c r="P13" s="24">
        <v>0.01</v>
      </c>
      <c r="Q13" s="24">
        <v>0.11</v>
      </c>
      <c r="R13" s="24">
        <v>0.22</v>
      </c>
      <c r="S13" s="24">
        <v>0.02</v>
      </c>
      <c r="U13" s="169">
        <v>1</v>
      </c>
    </row>
    <row r="14" spans="2:21" x14ac:dyDescent="0.2">
      <c r="B14" s="31" t="s">
        <v>35</v>
      </c>
      <c r="C14" s="42" t="str">
        <f>DemTechs_COM!$O$7</f>
        <v>DCOT</v>
      </c>
      <c r="D14" s="42" t="s">
        <v>76</v>
      </c>
      <c r="E14" s="138">
        <f>SUM(DemTechs_COM!K21:K25)</f>
        <v>285.62865144999989</v>
      </c>
      <c r="G14" s="28" t="s">
        <v>187</v>
      </c>
      <c r="H14" s="24">
        <v>0.13</v>
      </c>
      <c r="I14" s="24">
        <v>0.11</v>
      </c>
      <c r="J14" s="24">
        <v>0.01</v>
      </c>
      <c r="K14" s="24">
        <v>0.13</v>
      </c>
      <c r="L14" s="24">
        <v>0.11</v>
      </c>
      <c r="M14" s="24">
        <v>0.01</v>
      </c>
      <c r="N14" s="24">
        <v>0.13</v>
      </c>
      <c r="O14" s="24">
        <v>0.11</v>
      </c>
      <c r="P14" s="24">
        <v>0.01</v>
      </c>
      <c r="Q14" s="24">
        <v>0.12</v>
      </c>
      <c r="R14" s="24">
        <v>0.12</v>
      </c>
      <c r="S14" s="24">
        <v>0.01</v>
      </c>
      <c r="U14" s="169">
        <v>1</v>
      </c>
    </row>
    <row r="15" spans="2:21" x14ac:dyDescent="0.2">
      <c r="B15" s="31" t="s">
        <v>35</v>
      </c>
      <c r="C15" s="42" t="str">
        <f>DemTechs_AGR!N5</f>
        <v>DAOT</v>
      </c>
      <c r="D15" s="42" t="s">
        <v>76</v>
      </c>
      <c r="E15" s="139">
        <f>SUM('EB2'!D8:E8,'EB2'!G8:J8,'EB2'!L8:M8,'EB2'!O8,'EB2'!U8)</f>
        <v>560.30909999999994</v>
      </c>
    </row>
    <row r="17" spans="2:5" x14ac:dyDescent="0.2">
      <c r="E17" s="9"/>
    </row>
    <row r="30" spans="2:5" x14ac:dyDescent="0.2">
      <c r="B30" s="56"/>
      <c r="C30" s="1" t="s">
        <v>154</v>
      </c>
    </row>
    <row r="31" spans="2:5" x14ac:dyDescent="0.2">
      <c r="B31" s="79"/>
      <c r="C31" s="1" t="s">
        <v>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EB2</vt:lpstr>
      <vt:lpstr>RES_RCA</vt:lpstr>
      <vt:lpstr>Sector_Fuels_AGR</vt:lpstr>
      <vt:lpstr>DemTechs_AGR</vt:lpstr>
      <vt:lpstr>Sector_Fuels_COM</vt:lpstr>
      <vt:lpstr>DemTechs_COM</vt:lpstr>
      <vt:lpstr>Sector_Fuels_RSD</vt:lpstr>
      <vt:lpstr>DemTechs_RSD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2020-06-23T12:10:59Z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961101710796356</vt:r8>
  </property>
</Properties>
</file>