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6D2BBD7-D252-471F-8D22-7B3714A102A5}" xr6:coauthVersionLast="45" xr6:coauthVersionMax="47" xr10:uidLastSave="{00000000-0000-0000-0000-000000000000}"/>
  <bookViews>
    <workbookView xWindow="-120" yWindow="-1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56" l="1"/>
  <c r="L16" i="56"/>
  <c r="L10" i="56"/>
  <c r="I22" i="56"/>
  <c r="L22" i="56" s="1"/>
  <c r="I21" i="56"/>
  <c r="L21" i="56" s="1"/>
  <c r="I20" i="56"/>
  <c r="I18" i="56"/>
  <c r="L18" i="56" s="1"/>
  <c r="I16" i="56"/>
  <c r="I15" i="56"/>
  <c r="L15" i="56" s="1"/>
  <c r="I14" i="56"/>
  <c r="L14" i="56" s="1"/>
  <c r="I12" i="56"/>
  <c r="L12" i="56" s="1"/>
  <c r="I10" i="56"/>
  <c r="I9" i="56"/>
  <c r="L9" i="56" s="1"/>
  <c r="I8" i="56"/>
  <c r="L8" i="56" s="1"/>
  <c r="I6" i="56"/>
  <c r="L6" i="56" s="1"/>
  <c r="Z102" i="55" l="1"/>
  <c r="Z101" i="55"/>
  <c r="Y102" i="55"/>
  <c r="Y101" i="55"/>
  <c r="X102" i="55"/>
  <c r="X101" i="55"/>
  <c r="W102" i="55"/>
  <c r="W101" i="55"/>
  <c r="Z54" i="55"/>
  <c r="Y54" i="55"/>
  <c r="X54" i="55"/>
  <c r="W54" i="55"/>
  <c r="Z53" i="55"/>
  <c r="Y53" i="55"/>
  <c r="X53" i="55"/>
  <c r="W53" i="55"/>
  <c r="X11" i="55"/>
  <c r="Y11" i="55"/>
  <c r="Z11" i="55"/>
  <c r="X12" i="55"/>
  <c r="Y12" i="55"/>
  <c r="Z12" i="55"/>
  <c r="W11" i="55"/>
  <c r="W12" i="55"/>
  <c r="AF123" i="55" l="1"/>
  <c r="AF75" i="55"/>
  <c r="AF28" i="55"/>
  <c r="I19" i="56" l="1"/>
  <c r="L19" i="56" s="1"/>
  <c r="I13" i="56"/>
  <c r="L13" i="56" s="1"/>
  <c r="I7" i="56"/>
  <c r="L7" i="56" s="1"/>
  <c r="Z52" i="61" l="1"/>
  <c r="AM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AA108" i="55"/>
  <c r="T108" i="55"/>
  <c r="S108" i="55"/>
  <c r="R108" i="55"/>
  <c r="Q108" i="55"/>
  <c r="AA107" i="55"/>
  <c r="T106" i="55"/>
  <c r="S106" i="55"/>
  <c r="R106" i="55"/>
  <c r="Q106" i="55"/>
  <c r="AH59" i="55" l="1"/>
  <c r="T58" i="55"/>
  <c r="S58" i="55"/>
  <c r="R58" i="55"/>
  <c r="Q58" i="55"/>
  <c r="AA60" i="55"/>
  <c r="AA59" i="55"/>
  <c r="AA102" i="55" l="1"/>
  <c r="AA101" i="55"/>
  <c r="AA54" i="55"/>
  <c r="AA53" i="55"/>
  <c r="AA12" i="55"/>
  <c r="AA11" i="55"/>
  <c r="AK123" i="55" l="1"/>
  <c r="AH106" i="55"/>
  <c r="AH105" i="55"/>
  <c r="AH48" i="55"/>
  <c r="AK75" i="55"/>
  <c r="AK28" i="55"/>
  <c r="AH73" i="55"/>
  <c r="AH58" i="55"/>
  <c r="AH57" i="55"/>
  <c r="AO106" i="55"/>
  <c r="AO105" i="55"/>
  <c r="AO57" i="55"/>
  <c r="AO58" i="55"/>
  <c r="J123" i="55"/>
  <c r="K123" i="55"/>
  <c r="L123" i="55"/>
  <c r="I123" i="55"/>
  <c r="J75" i="55"/>
  <c r="K75" i="55"/>
  <c r="L75" i="55"/>
  <c r="I75" i="55"/>
  <c r="I28" i="55"/>
  <c r="J28" i="55"/>
  <c r="K28" i="55"/>
  <c r="L28" i="55"/>
  <c r="J121" i="55" l="1"/>
  <c r="K121" i="55"/>
  <c r="L121" i="55"/>
  <c r="I121" i="55"/>
  <c r="I73" i="55"/>
  <c r="J120" i="55"/>
  <c r="K120" i="55"/>
  <c r="L120" i="55"/>
  <c r="I120" i="55"/>
  <c r="I72" i="55"/>
  <c r="Q28" i="55"/>
  <c r="J73" i="55"/>
  <c r="K73" i="55"/>
  <c r="L73" i="55"/>
  <c r="I26" i="55"/>
  <c r="J26" i="55"/>
  <c r="K26" i="55"/>
  <c r="L26" i="55"/>
  <c r="J72" i="55"/>
  <c r="K72" i="55"/>
  <c r="L72" i="55"/>
  <c r="I25" i="55"/>
  <c r="J25" i="55"/>
  <c r="K25" i="55"/>
  <c r="L25" i="55"/>
  <c r="R28" i="55"/>
  <c r="J18" i="55" l="1"/>
  <c r="J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31" i="55"/>
  <c r="AH129" i="55"/>
  <c r="AH128" i="55"/>
  <c r="AH126" i="55"/>
  <c r="AH125" i="55"/>
  <c r="AH123" i="55"/>
  <c r="AH121" i="55"/>
  <c r="AH120" i="55"/>
  <c r="AH118" i="55"/>
  <c r="AH117" i="55"/>
  <c r="AH116" i="55"/>
  <c r="AH115" i="55"/>
  <c r="AH114" i="55"/>
  <c r="AH113" i="55"/>
  <c r="AH112" i="55"/>
  <c r="AH110" i="55"/>
  <c r="AH108" i="55"/>
  <c r="AH107" i="55"/>
  <c r="AH104" i="55"/>
  <c r="AH103" i="55"/>
  <c r="AH102" i="55"/>
  <c r="AH101" i="55"/>
  <c r="AH100" i="55"/>
  <c r="AH99" i="55"/>
  <c r="AH98" i="55"/>
  <c r="AH97" i="55"/>
  <c r="AH96" i="55"/>
  <c r="AH95" i="55"/>
  <c r="AH94" i="55"/>
  <c r="AH93" i="55"/>
  <c r="AH83" i="55"/>
  <c r="AH81" i="55"/>
  <c r="AH80" i="55"/>
  <c r="AH78" i="55"/>
  <c r="AH77" i="55"/>
  <c r="AH75" i="55"/>
  <c r="AH72" i="55"/>
  <c r="AH70" i="55"/>
  <c r="AH69" i="55"/>
  <c r="AH68" i="55"/>
  <c r="AH67" i="55"/>
  <c r="AH66" i="55"/>
  <c r="AH65" i="55"/>
  <c r="AH64" i="55"/>
  <c r="AH62" i="55"/>
  <c r="AH60" i="55"/>
  <c r="AH56" i="55"/>
  <c r="AH55" i="55"/>
  <c r="AH54" i="55"/>
  <c r="AH53" i="55"/>
  <c r="AH52" i="55"/>
  <c r="AH51" i="55"/>
  <c r="AH50" i="55"/>
  <c r="AH49" i="55"/>
  <c r="AH47" i="55"/>
  <c r="AH46" i="55"/>
  <c r="AH45" i="55"/>
  <c r="AH37" i="55"/>
  <c r="AH36" i="55"/>
  <c r="AH34" i="55"/>
  <c r="AH33" i="55"/>
  <c r="AH31" i="55"/>
  <c r="AH30" i="55"/>
  <c r="AH28" i="55"/>
  <c r="AH26" i="55"/>
  <c r="AH25" i="55"/>
  <c r="AH23" i="55"/>
  <c r="AH22" i="55"/>
  <c r="AH21" i="55"/>
  <c r="AH20" i="55"/>
  <c r="AH19" i="55"/>
  <c r="AH18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W9" i="55" l="1"/>
  <c r="W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Z103" i="55" l="1"/>
  <c r="Y103" i="55"/>
  <c r="X103" i="55"/>
  <c r="Z55" i="55"/>
  <c r="Y55" i="55"/>
  <c r="X55" i="55"/>
  <c r="Z99" i="55"/>
  <c r="Y99" i="55"/>
  <c r="X99" i="55"/>
  <c r="X97" i="55"/>
  <c r="Y97" i="55"/>
  <c r="Z97" i="55"/>
  <c r="W97" i="55"/>
  <c r="Z114" i="55"/>
  <c r="X114" i="55"/>
  <c r="Y114" i="55" s="1"/>
  <c r="Z66" i="55"/>
  <c r="X66" i="55"/>
  <c r="Z51" i="55"/>
  <c r="Y51" i="55"/>
  <c r="X51" i="55"/>
  <c r="X49" i="55"/>
  <c r="Y49" i="55"/>
  <c r="Z49" i="55"/>
  <c r="W49" i="55"/>
  <c r="AA47" i="55"/>
  <c r="AA48" i="55"/>
  <c r="Z20" i="55"/>
  <c r="X20" i="55"/>
  <c r="Y20" i="55" s="1"/>
  <c r="X45" i="55" l="1"/>
  <c r="X59" i="55" s="1"/>
  <c r="X93" i="55"/>
  <c r="X107" i="55" s="1"/>
  <c r="W93" i="55"/>
  <c r="W107" i="55" s="1"/>
  <c r="Y93" i="55"/>
  <c r="Y107" i="55" s="1"/>
  <c r="Z93" i="55"/>
  <c r="Z107" i="55" s="1"/>
  <c r="W45" i="55"/>
  <c r="W59" i="55" s="1"/>
  <c r="Z45" i="55"/>
  <c r="Z59" i="55" s="1"/>
  <c r="Y45" i="55"/>
  <c r="Y59" i="55" s="1"/>
  <c r="Y66" i="55"/>
  <c r="Z13" i="55"/>
  <c r="Y13" i="55"/>
  <c r="X9" i="55" l="1"/>
  <c r="X7" i="55" s="1"/>
  <c r="Y9" i="55"/>
  <c r="Y7" i="55" s="1"/>
  <c r="Z9" i="55"/>
  <c r="Z7" i="55" s="1"/>
  <c r="AA131" i="55" l="1"/>
  <c r="AA83" i="55"/>
  <c r="AA129" i="55"/>
  <c r="AA128" i="55"/>
  <c r="AA80" i="55"/>
  <c r="AA126" i="55"/>
  <c r="AA125" i="55"/>
  <c r="AA77" i="55"/>
  <c r="AA123" i="55"/>
  <c r="AA75" i="55"/>
  <c r="AA121" i="55"/>
  <c r="AA120" i="55"/>
  <c r="AA72" i="55"/>
  <c r="AA118" i="55"/>
  <c r="AA117" i="55"/>
  <c r="AA69" i="55"/>
  <c r="AA116" i="55"/>
  <c r="AA68" i="55"/>
  <c r="AA113" i="55"/>
  <c r="AA112" i="55"/>
  <c r="AA64" i="55"/>
  <c r="AA110" i="55"/>
  <c r="AA62" i="55"/>
  <c r="AA100" i="55"/>
  <c r="AA96" i="55"/>
  <c r="AA95" i="55"/>
  <c r="T121" i="55"/>
  <c r="S120" i="55"/>
  <c r="S115" i="55"/>
  <c r="AO93" i="55"/>
  <c r="Q94" i="55"/>
  <c r="R94" i="55"/>
  <c r="S94" i="55"/>
  <c r="T94" i="55"/>
  <c r="AO94" i="55"/>
  <c r="Q95" i="55"/>
  <c r="R95" i="55"/>
  <c r="S95" i="55"/>
  <c r="T95" i="55"/>
  <c r="AO95" i="55"/>
  <c r="Q96" i="55"/>
  <c r="R96" i="55"/>
  <c r="S96" i="55"/>
  <c r="T96" i="55"/>
  <c r="AO96" i="55"/>
  <c r="R120" i="55"/>
  <c r="T115" i="55"/>
  <c r="T120" i="55"/>
  <c r="Q121" i="55"/>
  <c r="C131" i="55"/>
  <c r="AN124" i="55" s="1"/>
  <c r="C129" i="55"/>
  <c r="AN123" i="55" s="1"/>
  <c r="C128" i="55"/>
  <c r="AN122" i="55" s="1"/>
  <c r="C126" i="55"/>
  <c r="AN121" i="55" s="1"/>
  <c r="C125" i="55"/>
  <c r="AN120" i="55" s="1"/>
  <c r="C123" i="55"/>
  <c r="AN119" i="55" s="1"/>
  <c r="C121" i="55"/>
  <c r="AN118" i="55" s="1"/>
  <c r="C120" i="55"/>
  <c r="AN117" i="55" s="1"/>
  <c r="C118" i="55"/>
  <c r="AN116" i="55" s="1"/>
  <c r="C117" i="55"/>
  <c r="C116" i="55"/>
  <c r="AN114" i="55" s="1"/>
  <c r="C115" i="55"/>
  <c r="AN113" i="55" s="1"/>
  <c r="C114" i="55"/>
  <c r="AN112" i="55" s="1"/>
  <c r="C113" i="55"/>
  <c r="AN111" i="55" s="1"/>
  <c r="C112" i="55"/>
  <c r="AN110" i="55" s="1"/>
  <c r="C110" i="55"/>
  <c r="AN109" i="55" s="1"/>
  <c r="C104" i="55"/>
  <c r="AN104" i="55" s="1"/>
  <c r="C103" i="55"/>
  <c r="C102" i="55"/>
  <c r="AN102" i="55" s="1"/>
  <c r="C101" i="55"/>
  <c r="AN101" i="55" s="1"/>
  <c r="C100" i="55"/>
  <c r="AN100" i="55" s="1"/>
  <c r="C99" i="55"/>
  <c r="AN99" i="55" s="1"/>
  <c r="C98" i="55"/>
  <c r="AN98" i="55" s="1"/>
  <c r="C97" i="55"/>
  <c r="AN97" i="55" s="1"/>
  <c r="C96" i="55"/>
  <c r="AN96" i="55" s="1"/>
  <c r="C95" i="55"/>
  <c r="AN95" i="55" s="1"/>
  <c r="C94" i="55"/>
  <c r="AN94" i="55" s="1"/>
  <c r="C93" i="55"/>
  <c r="AN93" i="55" s="1"/>
  <c r="AO124" i="55"/>
  <c r="AO123" i="55"/>
  <c r="T123" i="55"/>
  <c r="S123" i="55"/>
  <c r="R123" i="55"/>
  <c r="Q123" i="55"/>
  <c r="AO122" i="55"/>
  <c r="AO121" i="55"/>
  <c r="S121" i="55"/>
  <c r="R121" i="55"/>
  <c r="AO120" i="55"/>
  <c r="Q120" i="55"/>
  <c r="AO119" i="55"/>
  <c r="AO118" i="55"/>
  <c r="AO117" i="55"/>
  <c r="AO116" i="55"/>
  <c r="T116" i="55"/>
  <c r="S116" i="55"/>
  <c r="R116" i="55"/>
  <c r="Q116" i="55"/>
  <c r="AO115" i="55"/>
  <c r="AN115" i="55"/>
  <c r="Q115" i="55"/>
  <c r="R115" i="55"/>
  <c r="AO114" i="55"/>
  <c r="AO113" i="55"/>
  <c r="AO112" i="55"/>
  <c r="AO111" i="55"/>
  <c r="AO110" i="55"/>
  <c r="AO109" i="55"/>
  <c r="AO108" i="55"/>
  <c r="AN108" i="55"/>
  <c r="AO107" i="55"/>
  <c r="AN107" i="55"/>
  <c r="AO104" i="55"/>
  <c r="T104" i="55"/>
  <c r="S104" i="55"/>
  <c r="R104" i="55"/>
  <c r="Q104" i="55"/>
  <c r="AO103" i="55"/>
  <c r="AN103" i="55"/>
  <c r="AO102" i="55"/>
  <c r="T102" i="55"/>
  <c r="S102" i="55"/>
  <c r="R102" i="55"/>
  <c r="Q102" i="55"/>
  <c r="AO101" i="55"/>
  <c r="AO100" i="55"/>
  <c r="T100" i="55"/>
  <c r="S100" i="55"/>
  <c r="R100" i="55"/>
  <c r="Q100" i="55"/>
  <c r="AO99" i="55"/>
  <c r="T99" i="55"/>
  <c r="S99" i="55"/>
  <c r="R99" i="55"/>
  <c r="Q99" i="55"/>
  <c r="AO98" i="55"/>
  <c r="T98" i="55"/>
  <c r="S98" i="55"/>
  <c r="R98" i="55"/>
  <c r="Q98" i="55"/>
  <c r="AO97" i="55"/>
  <c r="AA36" i="55"/>
  <c r="O83" i="55"/>
  <c r="P83" i="55"/>
  <c r="N83" i="55"/>
  <c r="N36" i="55"/>
  <c r="AA33" i="55"/>
  <c r="AA81" i="55"/>
  <c r="AA34" i="55"/>
  <c r="AA78" i="55"/>
  <c r="AA30" i="55"/>
  <c r="AA28" i="55"/>
  <c r="AA73" i="55"/>
  <c r="AA25" i="55"/>
  <c r="AA70" i="55"/>
  <c r="N70" i="55"/>
  <c r="O70" i="55"/>
  <c r="P70" i="55"/>
  <c r="M70" i="55"/>
  <c r="J70" i="55"/>
  <c r="K70" i="55"/>
  <c r="L70" i="55"/>
  <c r="I70" i="55"/>
  <c r="J69" i="55"/>
  <c r="K69" i="55"/>
  <c r="L69" i="55"/>
  <c r="I69" i="55"/>
  <c r="I23" i="55"/>
  <c r="K67" i="55"/>
  <c r="L67" i="55"/>
  <c r="J67" i="55"/>
  <c r="K66" i="55"/>
  <c r="L66" i="55"/>
  <c r="J66" i="55"/>
  <c r="J20" i="55"/>
  <c r="O65" i="55"/>
  <c r="P65" i="55"/>
  <c r="N65" i="55"/>
  <c r="K65" i="55"/>
  <c r="L65" i="55"/>
  <c r="J65" i="55"/>
  <c r="K64" i="55"/>
  <c r="L64" i="55"/>
  <c r="J64" i="55"/>
  <c r="AA65" i="55"/>
  <c r="AA18" i="55"/>
  <c r="AA16" i="55"/>
  <c r="AA52" i="55" l="1"/>
  <c r="AN59" i="55"/>
  <c r="AO59" i="55"/>
  <c r="AN60" i="55"/>
  <c r="AO60" i="55"/>
  <c r="Q60" i="55"/>
  <c r="R60" i="55"/>
  <c r="S60" i="55"/>
  <c r="T60" i="55"/>
  <c r="AO30" i="55"/>
  <c r="C37" i="55"/>
  <c r="AN30" i="55" s="1"/>
  <c r="AA37" i="55"/>
  <c r="X37" i="55"/>
  <c r="Y37" i="55"/>
  <c r="Z37" i="55"/>
  <c r="W37" i="55"/>
  <c r="O37" i="55"/>
  <c r="P37" i="55"/>
  <c r="N37" i="55"/>
  <c r="O36" i="55"/>
  <c r="P36" i="55"/>
  <c r="AA31" i="55"/>
  <c r="C31" i="55"/>
  <c r="AA26" i="55"/>
  <c r="AA23" i="55"/>
  <c r="AA22" i="55"/>
  <c r="AA19" i="55"/>
  <c r="O23" i="55"/>
  <c r="P23" i="55"/>
  <c r="N23" i="55"/>
  <c r="J23" i="55"/>
  <c r="O19" i="55"/>
  <c r="P19" i="55"/>
  <c r="N19" i="55"/>
  <c r="J19" i="55"/>
  <c r="K23" i="55"/>
  <c r="L23" i="55"/>
  <c r="J22" i="55"/>
  <c r="K22" i="55"/>
  <c r="L22" i="55"/>
  <c r="I22" i="55"/>
  <c r="I20" i="55"/>
  <c r="J21" i="55"/>
  <c r="K21" i="55"/>
  <c r="L21" i="55"/>
  <c r="I21" i="55"/>
  <c r="K20" i="55"/>
  <c r="L20" i="55"/>
  <c r="K19" i="55"/>
  <c r="L19" i="55"/>
  <c r="L18" i="55"/>
  <c r="K18" i="55"/>
  <c r="K17" i="55" s="1"/>
  <c r="W151" i="55"/>
  <c r="V151" i="55" s="1"/>
  <c r="V150" i="55"/>
  <c r="V152" i="55"/>
  <c r="V153" i="55"/>
  <c r="V154" i="55"/>
  <c r="V149" i="55"/>
  <c r="W25" i="55" l="1"/>
  <c r="W57" i="55"/>
  <c r="X57" i="55"/>
  <c r="Y57" i="55"/>
  <c r="Z57" i="55"/>
  <c r="Y58" i="55"/>
  <c r="Z58" i="55"/>
  <c r="W58" i="55"/>
  <c r="W47" i="55"/>
  <c r="X58" i="55"/>
  <c r="W50" i="55"/>
  <c r="X106" i="55"/>
  <c r="Y106" i="55"/>
  <c r="Z106" i="55"/>
  <c r="W106" i="55"/>
  <c r="W105" i="55"/>
  <c r="X105" i="55"/>
  <c r="Y105" i="55"/>
  <c r="Z105" i="55"/>
  <c r="W110" i="55"/>
  <c r="L17" i="55"/>
  <c r="W104" i="55"/>
  <c r="Y47" i="55"/>
  <c r="Z47" i="55"/>
  <c r="Y48" i="55"/>
  <c r="Y50" i="55"/>
  <c r="W48" i="55"/>
  <c r="X48" i="55"/>
  <c r="Y56" i="55"/>
  <c r="Z56" i="55"/>
  <c r="W52" i="55"/>
  <c r="Z48" i="55"/>
  <c r="W56" i="55"/>
  <c r="X47" i="55"/>
  <c r="X50" i="55"/>
  <c r="Z50" i="55"/>
  <c r="Y104" i="55"/>
  <c r="X56" i="55"/>
  <c r="X104" i="55"/>
  <c r="Z104" i="55"/>
  <c r="W115" i="55"/>
  <c r="W67" i="55"/>
  <c r="W21" i="55"/>
  <c r="W28" i="55" s="1"/>
  <c r="W10" i="55"/>
  <c r="W8" i="55" s="1"/>
  <c r="Y115" i="55"/>
  <c r="X21" i="55"/>
  <c r="Y21" i="55"/>
  <c r="Z67" i="55"/>
  <c r="Z75" i="55" s="1"/>
  <c r="X67" i="55"/>
  <c r="X115" i="55"/>
  <c r="Z21" i="55"/>
  <c r="Z28" i="55" s="1"/>
  <c r="Z115" i="55"/>
  <c r="Z123" i="55" s="1"/>
  <c r="Y67" i="55"/>
  <c r="Z10" i="55"/>
  <c r="Z8" i="55" s="1"/>
  <c r="Y10" i="55"/>
  <c r="Y8" i="55" s="1"/>
  <c r="X10" i="55"/>
  <c r="X8" i="55" s="1"/>
  <c r="X98" i="55"/>
  <c r="Y98" i="55"/>
  <c r="Z98" i="55"/>
  <c r="W98" i="55"/>
  <c r="X117" i="55"/>
  <c r="Y117" i="55"/>
  <c r="W112" i="55"/>
  <c r="Z117" i="55"/>
  <c r="X112" i="55"/>
  <c r="Y112" i="55"/>
  <c r="Z112" i="55"/>
  <c r="X110" i="55"/>
  <c r="Y110" i="55"/>
  <c r="W117" i="55"/>
  <c r="Z110" i="55"/>
  <c r="Z120" i="55"/>
  <c r="W113" i="55"/>
  <c r="Y96" i="55"/>
  <c r="X95" i="55"/>
  <c r="X121" i="55"/>
  <c r="Z96" i="55"/>
  <c r="Y95" i="55"/>
  <c r="Y121" i="55"/>
  <c r="W96" i="55"/>
  <c r="Z95" i="55"/>
  <c r="Z100" i="55"/>
  <c r="Z121" i="55"/>
  <c r="X118" i="55"/>
  <c r="W95" i="55"/>
  <c r="W121" i="55"/>
  <c r="Y118" i="55"/>
  <c r="X116" i="55"/>
  <c r="W100" i="55"/>
  <c r="X100" i="55"/>
  <c r="Z118" i="55"/>
  <c r="Y116" i="55"/>
  <c r="X113" i="55"/>
  <c r="Y100" i="55"/>
  <c r="X120" i="55"/>
  <c r="W120" i="55"/>
  <c r="W118" i="55"/>
  <c r="Z116" i="55"/>
  <c r="Y113" i="55"/>
  <c r="Y120" i="55"/>
  <c r="W116" i="55"/>
  <c r="Z113" i="55"/>
  <c r="X96" i="55"/>
  <c r="W68" i="55"/>
  <c r="W62" i="55"/>
  <c r="W73" i="55"/>
  <c r="W72" i="55"/>
  <c r="W64" i="55"/>
  <c r="W69" i="55"/>
  <c r="X52" i="55"/>
  <c r="Y52" i="55"/>
  <c r="W26" i="55"/>
  <c r="W19" i="55"/>
  <c r="W22" i="55"/>
  <c r="W16" i="55"/>
  <c r="W18" i="55"/>
  <c r="Y70" i="55"/>
  <c r="Y68" i="55"/>
  <c r="W65" i="55"/>
  <c r="X72" i="55"/>
  <c r="Y72" i="55"/>
  <c r="X70" i="55"/>
  <c r="X68" i="55"/>
  <c r="Z72" i="55"/>
  <c r="X73" i="55"/>
  <c r="Z70" i="55"/>
  <c r="Z68" i="55"/>
  <c r="Z62" i="55"/>
  <c r="Y73" i="55"/>
  <c r="W70" i="55"/>
  <c r="X65" i="55"/>
  <c r="Z73" i="55"/>
  <c r="Y65" i="55"/>
  <c r="Z65" i="55"/>
  <c r="X62" i="55"/>
  <c r="Y62" i="55"/>
  <c r="Y69" i="55"/>
  <c r="X64" i="55"/>
  <c r="Y64" i="55"/>
  <c r="Z69" i="55"/>
  <c r="Z64" i="55"/>
  <c r="X69" i="55"/>
  <c r="Z52" i="55"/>
  <c r="W148" i="55"/>
  <c r="X25" i="55"/>
  <c r="Y19" i="55"/>
  <c r="W23" i="55"/>
  <c r="X19" i="55"/>
  <c r="Z23" i="55"/>
  <c r="Y23" i="55"/>
  <c r="Z26" i="55"/>
  <c r="Z19" i="55"/>
  <c r="Z18" i="55"/>
  <c r="X23" i="55"/>
  <c r="Y26" i="55"/>
  <c r="Y18" i="55"/>
  <c r="Z22" i="55"/>
  <c r="Z25" i="55"/>
  <c r="X26" i="55"/>
  <c r="X18" i="55"/>
  <c r="Y22" i="55"/>
  <c r="Y25" i="55"/>
  <c r="X22" i="55"/>
  <c r="W14" i="55"/>
  <c r="Z16" i="55"/>
  <c r="Y16" i="55"/>
  <c r="X16" i="55"/>
  <c r="X14" i="55"/>
  <c r="Z14" i="55"/>
  <c r="Y14" i="55"/>
  <c r="X123" i="55" l="1"/>
  <c r="W75" i="55"/>
  <c r="X75" i="55"/>
  <c r="W123" i="55"/>
  <c r="Y28" i="55"/>
  <c r="X28" i="55"/>
  <c r="Y75" i="55"/>
  <c r="Y123" i="55"/>
  <c r="Y46" i="55"/>
  <c r="Y60" i="55" s="1"/>
  <c r="W94" i="55"/>
  <c r="W108" i="55" s="1"/>
  <c r="Z94" i="55"/>
  <c r="Z108" i="55" s="1"/>
  <c r="Y94" i="55"/>
  <c r="Y108" i="55" s="1"/>
  <c r="Z46" i="55"/>
  <c r="Z60" i="55" s="1"/>
  <c r="X46" i="55"/>
  <c r="X60" i="55" s="1"/>
  <c r="X94" i="55"/>
  <c r="X108" i="55" s="1"/>
  <c r="W46" i="55"/>
  <c r="W60" i="55" s="1"/>
  <c r="W147" i="55"/>
  <c r="V148" i="55"/>
  <c r="W125" i="55" l="1"/>
  <c r="Z125" i="55"/>
  <c r="W126" i="55"/>
  <c r="Y125" i="55"/>
  <c r="X125" i="55"/>
  <c r="X126" i="55"/>
  <c r="Y126" i="55"/>
  <c r="Z126" i="55"/>
  <c r="X131" i="55"/>
  <c r="Y131" i="55"/>
  <c r="Z131" i="55"/>
  <c r="W131" i="55"/>
  <c r="W77" i="55"/>
  <c r="X77" i="55"/>
  <c r="Y78" i="55"/>
  <c r="W78" i="55"/>
  <c r="W30" i="55"/>
  <c r="Y77" i="55"/>
  <c r="X78" i="55"/>
  <c r="Z77" i="55"/>
  <c r="Z78" i="55"/>
  <c r="Z30" i="55"/>
  <c r="X31" i="55"/>
  <c r="X30" i="55"/>
  <c r="W31" i="55"/>
  <c r="Y30" i="55"/>
  <c r="Z31" i="55"/>
  <c r="Y31" i="55"/>
  <c r="V147" i="55"/>
  <c r="W146" i="55"/>
  <c r="W83" i="55" l="1"/>
  <c r="X83" i="55"/>
  <c r="Z83" i="55"/>
  <c r="Y83" i="55"/>
  <c r="W145" i="55"/>
  <c r="V145" i="55" s="1"/>
  <c r="V146" i="55"/>
  <c r="Y129" i="55" s="1"/>
  <c r="W81" i="55" l="1"/>
  <c r="W80" i="55"/>
  <c r="X129" i="55"/>
  <c r="Z128" i="55"/>
  <c r="Y128" i="55"/>
  <c r="W128" i="55"/>
  <c r="X128" i="55"/>
  <c r="Z129" i="55"/>
  <c r="W129" i="55"/>
  <c r="Z81" i="55"/>
  <c r="Y81" i="55"/>
  <c r="X80" i="55"/>
  <c r="Y80" i="55"/>
  <c r="X81" i="55"/>
  <c r="W36" i="55"/>
  <c r="Z80" i="55"/>
  <c r="W34" i="55"/>
  <c r="W33" i="55"/>
  <c r="Y36" i="55"/>
  <c r="Z36" i="55"/>
  <c r="X36" i="55"/>
  <c r="X33" i="55"/>
  <c r="Y33" i="55"/>
  <c r="Z33" i="55"/>
  <c r="X34" i="55"/>
  <c r="Y34" i="55"/>
  <c r="Z34" i="55"/>
  <c r="R151" i="55" l="1"/>
  <c r="Q151" i="55"/>
  <c r="Q152" i="55"/>
  <c r="R152" i="55"/>
  <c r="Q153" i="55"/>
  <c r="R153" i="55"/>
  <c r="Q154" i="55"/>
  <c r="R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T75" i="55"/>
  <c r="S75" i="55"/>
  <c r="R75" i="55"/>
  <c r="Q75" i="55"/>
  <c r="T73" i="55"/>
  <c r="S73" i="55"/>
  <c r="R73" i="55"/>
  <c r="Q73" i="55"/>
  <c r="T72" i="55"/>
  <c r="S72" i="55"/>
  <c r="R72" i="55"/>
  <c r="Q72" i="55"/>
  <c r="T68" i="55"/>
  <c r="S68" i="55"/>
  <c r="R68" i="55"/>
  <c r="Q68" i="55"/>
  <c r="T67" i="55"/>
  <c r="S67" i="55"/>
  <c r="R67" i="55"/>
  <c r="Q67" i="55"/>
  <c r="T56" i="55"/>
  <c r="S56" i="55"/>
  <c r="R56" i="55"/>
  <c r="Q56" i="55"/>
  <c r="T54" i="55"/>
  <c r="S54" i="55"/>
  <c r="R54" i="55"/>
  <c r="Q54" i="55"/>
  <c r="T52" i="55"/>
  <c r="S52" i="55"/>
  <c r="R52" i="55"/>
  <c r="Q52" i="55"/>
  <c r="T51" i="55"/>
  <c r="S51" i="55"/>
  <c r="R51" i="55"/>
  <c r="Q51" i="55"/>
  <c r="T50" i="55"/>
  <c r="S50" i="55"/>
  <c r="R50" i="55"/>
  <c r="Q50" i="55"/>
  <c r="T48" i="55"/>
  <c r="S48" i="55"/>
  <c r="R48" i="55"/>
  <c r="Q48" i="55"/>
  <c r="T47" i="55"/>
  <c r="S47" i="55"/>
  <c r="R47" i="55"/>
  <c r="Q47" i="55"/>
  <c r="T46" i="55"/>
  <c r="S46" i="55"/>
  <c r="R46" i="55"/>
  <c r="Q46" i="55"/>
  <c r="R21" i="55"/>
  <c r="S21" i="55"/>
  <c r="T21" i="55"/>
  <c r="Q21" i="55"/>
  <c r="T10" i="55"/>
  <c r="S10" i="55"/>
  <c r="R10" i="55"/>
  <c r="Q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76" i="55"/>
  <c r="AO75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1" i="55"/>
  <c r="AO56" i="55"/>
  <c r="AO55" i="55"/>
  <c r="AO54" i="55"/>
  <c r="AO53" i="55"/>
  <c r="AO52" i="55"/>
  <c r="AO51" i="55"/>
  <c r="AO50" i="55"/>
  <c r="AO49" i="55"/>
  <c r="AO48" i="55"/>
  <c r="AO47" i="55"/>
  <c r="AO46" i="55"/>
  <c r="AO45" i="55"/>
  <c r="AO8" i="55"/>
  <c r="AO9" i="55"/>
  <c r="AO10" i="55"/>
  <c r="AO11" i="55"/>
  <c r="AO12" i="55"/>
  <c r="AO13" i="55"/>
  <c r="AO14" i="55"/>
  <c r="AO15" i="55"/>
  <c r="AO16" i="55"/>
  <c r="AO17" i="55"/>
  <c r="AO18" i="55"/>
  <c r="AO19" i="55"/>
  <c r="AO20" i="55"/>
  <c r="AO21" i="55"/>
  <c r="AO22" i="55"/>
  <c r="AO23" i="55"/>
  <c r="AO24" i="55"/>
  <c r="AO25" i="55"/>
  <c r="AO26" i="55"/>
  <c r="AO27" i="55"/>
  <c r="AO28" i="55"/>
  <c r="AO29" i="55"/>
  <c r="AO7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S28" i="55"/>
  <c r="T28" i="55"/>
  <c r="AN24" i="55" l="1"/>
  <c r="AN29" i="55"/>
  <c r="AN28" i="55"/>
  <c r="AN27" i="55"/>
  <c r="AN26" i="55" l="1"/>
  <c r="AN25" i="55"/>
  <c r="AN23" i="55"/>
  <c r="T26" i="55"/>
  <c r="S26" i="55"/>
  <c r="R26" i="55"/>
  <c r="Q26" i="55"/>
  <c r="AN22" i="55"/>
  <c r="T25" i="55"/>
  <c r="S25" i="55"/>
  <c r="R25" i="55"/>
  <c r="Q25" i="55"/>
  <c r="AN21" i="55"/>
  <c r="AN20" i="55"/>
  <c r="AN18" i="55"/>
  <c r="AN19" i="55"/>
  <c r="AN17" i="55" l="1"/>
  <c r="AN16" i="55"/>
  <c r="AN15" i="55"/>
  <c r="AN11" i="55"/>
  <c r="AN14" i="55"/>
  <c r="AN13" i="55"/>
  <c r="AN12" i="55"/>
  <c r="AN9" i="55"/>
  <c r="AN10" i="55"/>
  <c r="AN8" i="55"/>
  <c r="AN7" i="55"/>
  <c r="S8" i="55" l="1"/>
  <c r="Q8" i="55"/>
  <c r="T8" i="55"/>
  <c r="R8" i="55"/>
  <c r="Q14" i="55" l="1"/>
  <c r="S14" i="55"/>
  <c r="T12" i="55"/>
  <c r="R14" i="55" l="1"/>
  <c r="S12" i="55"/>
  <c r="T14" i="55"/>
  <c r="R12" i="55" l="1"/>
  <c r="Q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W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W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AA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W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I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I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W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I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<sst xmlns="http://schemas.openxmlformats.org/spreadsheetml/2006/main" count="2101" uniqueCount="727">
  <si>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</si>
  <si>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</si>
  <si>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</si>
  <si>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</si>
  <si>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</si>
  <si>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</si>
  <si>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</si>
  <si>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</si>
  <si>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</si>
  <si>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</si>
  <si>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</si>
  <si>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</si>
  <si>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</si>
  <si>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</si>
  <si>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</si>
  <si>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</si>
  <si>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</si>
  <si>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</si>
  <si>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</si>
  <si>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</si>
  <si>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</si>
  <si>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</si>
  <si>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</si>
  <si>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</si>
  <si>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</si>
  <si>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</si>
  <si>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</si>
  <si>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</si>
  <si>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</si>
  <si>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</si>
  <si>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</si>
  <si>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</si>
  <si>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</si>
  <si>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</si>
  <si>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</si>
  <si>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</si>
  <si>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</si>
  <si>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</si>
  <si>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</si>
  <si>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</si>
  <si>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</si>
  <si>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</si>
  <si>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</si>
  <si>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</si>
  <si>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</si>
  <si>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</si>
  <si>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</si>
  <si>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</si>
  <si>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</si>
  <si>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</si>
  <si>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</si>
  <si>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</si>
  <si>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</si>
  <si>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</si>
  <si>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</si>
  <si>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</si>
  <si>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</si>
  <si>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</si>
  <si>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</si>
  <si>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</si>
  <si>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</si>
  <si>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</si>
  <si>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</si>
  <si>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</si>
  <si>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</si>
  <si>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</si>
  <si>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</si>
  <si>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</si>
  <si>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</si>
  <si>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</si>
  <si>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</si>
  <si>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</si>
  <si>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</si>
  <si>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</si>
  <si>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</si>
  <si>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</si>
  <si>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</si>
  <si>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</si>
  <si>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</si>
  <si>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</si>
  <si>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</si>
  <si>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</si>
  <si>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</si>
  <si>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</si>
  <si>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</si>
  <si>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</si>
  <si>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</si>
  <si>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</si>
  <si>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</si>
  <si>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</si>
  <si>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</si>
  <si>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</si>
  <si>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</si>
  <si>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</si>
  <si>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</si>
  <si>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</si>
  <si>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</si>
  <si>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</si>
  <si>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</si>
  <si>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</si>
  <si>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</si>
  <si>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</si>
  <si>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</si>
  <si>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</si>
  <si>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</si>
  <si>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</si>
  <si>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</si>
  <si>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</si>
  <si>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</si>
  <si>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</si>
  <si>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</si>
  <si>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</si>
  <si>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</si>
  <si>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</si>
  <si>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</si>
  <si>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</si>
  <si>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</si>
  <si>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</si>
  <si>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</si>
  <si>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</si>
  <si>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</si>
  <si>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</si>
  <si>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</si>
  <si>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</si>
  <si>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</si>
  <si>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</si>
  <si>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</si>
  <si>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</si>
  <si>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</si>
  <si>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</si>
  <si>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</si>
  <si>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</si>
  <si>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</si>
  <si>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</si>
  <si>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</si>
  <si>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</si>
  <si>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</si>
  <si>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</si>
  <si>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</si>
  <si>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</si>
  <si>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</si>
  <si>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</si>
  <si>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</si>
  <si>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</si>
  <si>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</si>
  <si>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</si>
  <si>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</si>
  <si>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</si>
  <si>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</si>
  <si>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</si>
  <si>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</si>
  <si>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</si>
  <si>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</si>
  <si>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</si>
  <si>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</si>
  <si>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</si>
  <si>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</si>
  <si>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</si>
  <si>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</si>
  <si>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</si>
  <si>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</si>
  <si>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</si>
  <si>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</si>
  <si>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</si>
  <si>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</si>
  <si>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</si>
  <si>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</si>
  <si>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</si>
  <si>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</si>
  <si>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</si>
  <si>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</si>
  <si>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</si>
  <si>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</si>
  <si>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</si>
  <si>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</si>
  <si>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</si>
  <si>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</si>
  <si>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</si>
  <si>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</si>
  <si>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</si>
  <si>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</si>
  <si>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</si>
  <si>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</si>
  <si>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</si>
  <si>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</si>
  <si>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</si>
  <si>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</si>
  <si>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</si>
  <si>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</si>
  <si>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</si>
  <si>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</si>
  <si>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</si>
  <si>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</si>
  <si>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</si>
  <si>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</si>
  <si>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</si>
  <si>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</si>
  <si>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</si>
  <si>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</si>
  <si>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</si>
  <si>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</si>
  <si>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</si>
  <si>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</si>
  <si>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</si>
  <si>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</si>
  <si>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</si>
  <si>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</si>
  <si>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</si>
  <si>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</si>
  <si>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</si>
  <si>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</si>
  <si>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</si>
  <si>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</si>
  <si>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</si>
  <si>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</si>
  <si>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</si>
  <si>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</si>
  <si>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</si>
  <si>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</si>
  <si>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</si>
  <si>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</si>
  <si>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</si>
  <si>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</si>
  <si>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</si>
  <si>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</si>
  <si>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</si>
  <si>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</si>
  <si>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</si>
  <si>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</si>
  <si>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</si>
  <si>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</si>
  <si>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</si>
  <si>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</si>
  <si>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</si>
  <si>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</si>
  <si>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</si>
  <si>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</si>
  <si>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</si>
  <si>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</si>
  <si>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</si>
  <si>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</si>
  <si>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</si>
  <si>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</si>
  <si>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</si>
  <si>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</si>
  <si>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</si>
  <si>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</si>
  <si>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</si>
  <si>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</si>
  <si>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</si>
  <si>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</si>
  <si>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</si>
  <si>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</si>
  <si>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</si>
  <si>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</si>
  <si>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</si>
  <si>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</si>
  <si>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</si>
  <si>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</si>
  <si>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</si>
  <si>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</si>
  <si>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</si>
  <si>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</si>
  <si>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</si>
  <si>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</si>
  <si>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</si>
  <si>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</si>
  <si>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</si>
  <si>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</si>
  <si>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</si>
  <si>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</si>
  <si>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</si>
  <si>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</si>
  <si>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</si>
  <si>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</si>
  <si>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</si>
  <si>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</si>
  <si>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</si>
  <si>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</si>
  <si>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</si>
  <si>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</si>
  <si>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</si>
  <si>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</si>
  <si>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</si>
  <si>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</si>
  <si>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</si>
  <si>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</si>
  <si>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</si>
  <si>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</si>
  <si>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</si>
  <si>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</si>
  <si>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</si>
  <si>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</si>
  <si>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</si>
  <si>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</si>
  <si>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</si>
  <si>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</si>
  <si>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</si>
  <si>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</si>
  <si>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</si>
  <si>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</si>
  <si>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</si>
  <si>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</si>
  <si>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</si>
  <si>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</si>
  <si>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</si>
  <si>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</si>
  <si>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</si>
  <si>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</si>
  <si>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</si>
  <si>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</si>
  <si>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</si>
  <si>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</si>
  <si>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</si>
  <si>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</si>
  <si>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</si>
  <si>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</si>
  <si>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</si>
  <si>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</si>
  <si>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</si>
  <si>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</si>
  <si>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</si>
  <si>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</si>
  <si>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</si>
  <si>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</si>
  <si>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</si>
  <si>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</si>
  <si>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</si>
  <si>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</si>
  <si>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</si>
  <si>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</si>
  <si>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</si>
  <si>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</si>
  <si>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</si>
  <si>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</si>
  <si>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</si>
  <si>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</si>
  <si>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</si>
  <si>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</si>
  <si>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</si>
  <si>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</si>
  <si>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</si>
  <si>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</si>
  <si>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</si>
  <si>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</si>
  <si>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</si>
  <si>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</si>
  <si>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</si>
  <si>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</si>
  <si>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</si>
  <si>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</si>
  <si>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</si>
  <si>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</si>
  <si>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</si>
  <si>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</si>
  <si>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</si>
  <si>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</si>
  <si>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</si>
  <si>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</si>
  <si>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</si>
  <si>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</si>
  <si>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</si>
  <si>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</si>
  <si>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</si>
  <si>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</si>
  <si>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</si>
  <si>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</si>
  <si>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</si>
  <si>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</si>
  <si>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</si>
  <si>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</si>
  <si>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</si>
  <si>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</si>
  <si>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</si>
  <si>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</si>
  <si>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</si>
  <si>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</si>
  <si>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</si>
  <si>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</si>
  <si>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</si>
  <si>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</si>
  <si>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</si>
  <si>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</si>
  <si>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</si>
  <si>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</si>
  <si>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</si>
  <si>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</si>
  <si>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</si>
  <si>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</si>
  <si>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</si>
  <si>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</si>
  <si>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</si>
  <si>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</si>
  <si>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</si>
  <si>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</si>
  <si>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</si>
  <si>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</si>
  <si>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</si>
  <si>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</si>
  <si>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</si>
  <si>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</si>
  <si>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</si>
  <si>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</si>
  <si>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</si>
  <si>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</si>
  <si>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</si>
  <si>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</si>
  <si>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</si>
  <si>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</si>
  <si>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</si>
  <si>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</si>
  <si>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</si>
  <si>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</si>
  <si>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</si>
  <si>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</si>
  <si>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</si>
  <si>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</si>
  <si>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</si>
  <si>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</si>
  <si>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</si>
  <si>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</si>
  <si>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</si>
  <si>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</si>
  <si>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</si>
  <si>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</si>
  <si>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</si>
  <si>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</si>
  <si>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</si>
  <si>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</si>
  <si>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</si>
  <si>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</si>
  <si>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</si>
  <si>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</si>
  <si>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</si>
  <si>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</si>
  <si>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</si>
  <si>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</si>
  <si>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</si>
  <si>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</si>
  <si>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</si>
  <si>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</si>
  <si>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</si>
  <si>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</si>
  <si>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</si>
  <si>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</si>
  <si>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</si>
  <si>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</si>
  <si>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</si>
  <si>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</si>
  <si>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</si>
  <si>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</si>
  <si>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</si>
  <si>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</si>
  <si>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</si>
  <si>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</si>
  <si>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</si>
  <si>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</si>
  <si>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</si>
  <si>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</si>
  <si>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</si>
  <si>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</si>
  <si>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</si>
  <si>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</si>
  <si>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</si>
  <si>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</si>
  <si>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</si>
  <si>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</si>
  <si>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</si>
  <si>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</si>
  <si>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</si>
  <si>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</si>
  <si>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</si>
  <si>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</si>
  <si>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</si>
  <si>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</si>
  <si>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</si>
  <si>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</si>
  <si>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</si>
  <si>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</si>
  <si>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</si>
  <si>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</si>
  <si>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</si>
  <si>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</si>
  <si>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</si>
  <si>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</si>
  <si>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</si>
  <si>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</si>
  <si>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</si>
  <si>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</si>
  <si>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</si>
  <si>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</si>
  <si>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</si>
  <si>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</si>
  <si>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</si>
  <si>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</si>
  <si>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</si>
  <si>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</si>
  <si>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</si>
  <si>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</si>
  <si>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</si>
  <si>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</si>
  <si>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</si>
  <si>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</si>
  <si>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</si>
  <si>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</si>
  <si>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</si>
  <si>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</si>
  <si>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</si>
  <si>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</si>
  <si>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</si>
  <si>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</si>
  <si>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</si>
  <si>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</si>
  <si>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</si>
  <si>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</si>
  <si>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</si>
  <si>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</si>
  <si>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</si>
  <si>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</si>
  <si>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</si>
  <si>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</si>
  <si>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</si>
  <si>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</si>
  <si>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</si>
  <si>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</si>
  <si>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</si>
  <si>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</si>
  <si>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</si>
  <si>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</si>
  <si>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</si>
  <si>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</si>
  <si>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</si>
  <si>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</si>
  <si>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</si>
  <si>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</si>
  <si>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</si>
  <si>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</si>
  <si>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</si>
  <si>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</si>
  <si>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</si>
  <si>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</si>
  <si>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</si>
  <si>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</si>
  <si>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</si>
  <si>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</si>
  <si>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</si>
  <si>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</si>
  <si>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</si>
  <si>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</si>
  <si>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</si>
  <si>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</si>
  <si>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</si>
  <si>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</si>
  <si>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</si>
  <si>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</si>
  <si>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</si>
  <si>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</si>
  <si>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</si>
  <si>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</si>
  <si>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</si>
  <si>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</si>
  <si>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</si>
  <si>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</si>
  <si>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</si>
  <si>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</si>
  <si>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</si>
  <si>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</si>
  <si>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</si>
  <si>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</si>
  <si>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</si>
  <si>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</si>
  <si>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</si>
  <si>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</si>
  <si>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</si>
  <si>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</si>
  <si>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</si>
  <si>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</si>
  <si>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</si>
  <si>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</si>
  <si>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</si>
  <si>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</si>
  <si>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</si>
  <si>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</si>
  <si>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</si>
  <si>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</si>
  <si>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</si>
  <si>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</si>
  <si>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</si>
  <si>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</si>
  <si>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</si>
  <si>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</si>
  <si>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</si>
  <si>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</si>
  <si>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</si>
  <si>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</si>
  <si>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</si>
  <si>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</si>
  <si>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</si>
  <si>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</si>
  <si>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</si>
  <si>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</si>
  <si>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</si>
  <si>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</si>
  <si>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</si>
  <si>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</si>
  <si>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</si>
  <si>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</si>
  <si>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</si>
  <si>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</si>
  <si>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</si>
  <si>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</si>
  <si>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</si>
  <si>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</si>
  <si>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</si>
  <si>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</si>
  <si>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</si>
  <si>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</si>
  <si>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</si>
  <si>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</si>
  <si>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</si>
  <si>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</si>
  <si>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</si>
  <si>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</si>
  <si>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</si>
  <si>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</si>
  <si>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</si>
  <si>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</si>
  <si>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</si>
  <si>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</si>
  <si>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</si>
  <si>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</si>
  <si>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</si>
  <si>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</si>
  <si>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</si>
  <si>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</si>
  <si>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</si>
  <si>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</si>
  <si>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</si>
  <si>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</si>
  <si>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</si>
  <si>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</si>
  <si>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</si>
  <si>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</si>
  <si>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</si>
  <si>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</si>
  <si>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</si>
  <si>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</si>
  <si>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</si>
  <si>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</si>
  <si>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</si>
  <si>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</si>
  <si>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</si>
  <si>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</si>
  <si>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</si>
  <si>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</si>
  <si>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</si>
  <si>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</si>
  <si>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</si>
  <si>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</si>
  <si>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</si>
  <si>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</si>
  <si>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</si>
  <si>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</si>
  <si>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</si>
  <si>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</si>
  <si>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</si>
  <si>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</si>
  <si>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</si>
  <si>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</si>
  <si>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</si>
  <si>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</si>
  <si>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</si>
  <si>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</si>
  <si>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</si>
  <si>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</si>
  <si>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</si>
  <si>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</si>
  <si>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</si>
  <si>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</si>
  <si>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</si>
  <si>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</si>
  <si>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</si>
  <si>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</si>
  <si>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</si>
  <si>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</si>
  <si>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</si>
  <si>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</si>
  <si>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</si>
  <si>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</si>
  <si>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</si>
  <si>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</si>
  <si>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</si>
  <si>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</si>
  <si>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</si>
  <si>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</si>
  <si>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</si>
  <si>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</si>
  <si>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</si>
  <si>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</si>
  <si>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</si>
  <si>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</si>
  <si>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</si>
  <si>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</si>
  <si>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</si>
  <si>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</si>
  <si>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</si>
  <si>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</si>
  <si>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</si>
  <si>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</si>
  <si>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</si>
  <si>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</si>
  <si>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</si>
  <si>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</si>
  <si>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</si>
  <si>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</si>
  <si>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</si>
  <si>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</si>
  <si>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</si>
  <si>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</si>
  <si>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</si>
  <si>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</si>
  <si>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</si>
  <si>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</si>
  <si>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</si>
  <si>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</si>
  <si>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PSet_CO</t>
  </si>
  <si>
    <t>R-BLD_Apt_A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</si>
</sst>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586581</xdr:colOff>
      <xdr:row>132</xdr:row>
      <xdr:rowOff>87313</xdr:rowOff>
    </xdr:from>
    <xdr:to>
      <xdr:col>37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L6">
            <v>7.5784815901851145E-4</v>
          </cell>
        </row>
        <row r="8">
          <cell r="L8">
            <v>6.1667922907240368E-3</v>
          </cell>
        </row>
        <row r="9">
          <cell r="L9">
            <v>7.3612177725668258E-4</v>
          </cell>
        </row>
        <row r="10">
          <cell r="L10">
            <v>5.2407143773435417E-4</v>
          </cell>
        </row>
        <row r="51">
          <cell r="L51">
            <v>2.045375452121146E-4</v>
          </cell>
        </row>
        <row r="53">
          <cell r="L53">
            <v>4.1672182679251225E-3</v>
          </cell>
        </row>
        <row r="54">
          <cell r="L54">
            <v>5.0182384146831558E-4</v>
          </cell>
        </row>
        <row r="55">
          <cell r="L55">
            <v>3.8041601576060773E-4</v>
          </cell>
        </row>
        <row r="96">
          <cell r="L96">
            <v>3.7645780249386E-3</v>
          </cell>
        </row>
        <row r="98">
          <cell r="L98">
            <v>6.6666794692434245E-3</v>
          </cell>
        </row>
        <row r="100">
          <cell r="L100">
            <v>1.0463165232771768E-3</v>
          </cell>
        </row>
        <row r="104">
          <cell r="L104">
            <v>1.7683153930356794E-3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16" t="s">
        <v>703</v>
      </c>
      <c r="B16" s="516"/>
      <c r="C16" s="516"/>
      <c r="D16" s="516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5" t="s">
        <v>719</v>
      </c>
      <c r="C19" s="515"/>
      <c r="D19" s="515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704</v>
      </c>
      <c r="B20" s="515" t="s">
        <v>714</v>
      </c>
      <c r="C20" s="515"/>
      <c r="D20" s="515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705</v>
      </c>
      <c r="B21" s="510" t="s">
        <v>715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706</v>
      </c>
      <c r="B23" s="515" t="s">
        <v>716</v>
      </c>
      <c r="C23" s="515"/>
      <c r="D23" s="515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5" t="s">
        <v>717</v>
      </c>
      <c r="C24" s="515"/>
      <c r="D24" s="515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5" t="s">
        <v>718</v>
      </c>
      <c r="C25" s="515"/>
      <c r="D25" s="515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707</v>
      </c>
      <c r="B26" s="515" t="s">
        <v>716</v>
      </c>
      <c r="C26" s="515"/>
      <c r="D26" s="515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5" t="s">
        <v>718</v>
      </c>
      <c r="C27" s="515"/>
      <c r="D27" s="515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708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709</v>
      </c>
      <c r="B30" s="517" t="s">
        <v>710</v>
      </c>
      <c r="C30" s="515"/>
      <c r="D30" s="515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711</v>
      </c>
      <c r="B31" s="515" t="s">
        <v>712</v>
      </c>
      <c r="C31" s="515"/>
      <c r="D31" s="515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713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18" t="s">
        <v>1</v>
      </c>
      <c r="C2" s="519"/>
      <c r="D2" s="519"/>
      <c r="E2" s="520"/>
      <c r="G2" s="518" t="s">
        <v>2</v>
      </c>
      <c r="H2" s="520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184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185</v>
      </c>
      <c r="C4" s="161" t="s">
        <v>186</v>
      </c>
      <c r="D4" s="162">
        <v>44136</v>
      </c>
      <c r="E4" s="163" t="s">
        <v>187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188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189</v>
      </c>
      <c r="C6" s="167" t="s">
        <v>190</v>
      </c>
      <c r="D6" s="168">
        <v>44166</v>
      </c>
      <c r="E6" s="169" t="s">
        <v>188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191</v>
      </c>
      <c r="C7" s="167" t="s">
        <v>192</v>
      </c>
      <c r="D7" s="172">
        <v>43862</v>
      </c>
      <c r="E7" s="169" t="s">
        <v>188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193</v>
      </c>
      <c r="D8" s="172">
        <v>44166</v>
      </c>
      <c r="E8" s="169" t="s">
        <v>188</v>
      </c>
      <c r="G8" s="174"/>
      <c r="H8" s="165" t="s">
        <v>194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195</v>
      </c>
      <c r="C9" s="167" t="s">
        <v>196</v>
      </c>
      <c r="D9" s="172">
        <v>44044</v>
      </c>
      <c r="E9" s="169" t="s">
        <v>188</v>
      </c>
      <c r="G9" s="175"/>
      <c r="H9" s="176" t="s">
        <v>7</v>
      </c>
    </row>
    <row r="10" spans="2:20" x14ac:dyDescent="0.2">
      <c r="B10" s="166" t="s">
        <v>197</v>
      </c>
      <c r="C10" s="167" t="s">
        <v>42</v>
      </c>
      <c r="D10" s="172">
        <v>44136</v>
      </c>
      <c r="E10" s="169" t="s">
        <v>188</v>
      </c>
    </row>
    <row r="11" spans="2:20" x14ac:dyDescent="0.2">
      <c r="B11" s="166" t="s">
        <v>198</v>
      </c>
      <c r="C11" s="167" t="s">
        <v>44</v>
      </c>
      <c r="D11" s="172">
        <v>44013</v>
      </c>
      <c r="E11" s="169" t="s">
        <v>188</v>
      </c>
    </row>
    <row r="12" spans="2:20" x14ac:dyDescent="0.2">
      <c r="B12" s="166" t="s">
        <v>199</v>
      </c>
      <c r="C12" s="167" t="s">
        <v>45</v>
      </c>
      <c r="D12" s="172">
        <v>44136</v>
      </c>
      <c r="E12" s="169" t="s">
        <v>187</v>
      </c>
    </row>
    <row r="13" spans="2:20" ht="15" thickBot="1" x14ac:dyDescent="0.25">
      <c r="B13" s="166" t="s">
        <v>200</v>
      </c>
      <c r="C13" s="167" t="s">
        <v>201</v>
      </c>
      <c r="D13" s="172">
        <v>44136</v>
      </c>
      <c r="E13" s="169" t="s">
        <v>188</v>
      </c>
    </row>
    <row r="14" spans="2:20" ht="19.5" thickBot="1" x14ac:dyDescent="0.25">
      <c r="B14" s="166" t="s">
        <v>202</v>
      </c>
      <c r="C14" s="167" t="s">
        <v>203</v>
      </c>
      <c r="D14" s="172">
        <v>44105</v>
      </c>
      <c r="E14" s="169" t="s">
        <v>188</v>
      </c>
      <c r="G14" s="518" t="s">
        <v>11</v>
      </c>
      <c r="H14" s="520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188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188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188</v>
      </c>
      <c r="G17" s="189" t="s">
        <v>14</v>
      </c>
      <c r="H17" s="190" t="s">
        <v>204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188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1" t="s">
        <v>54</v>
      </c>
      <c r="C20" s="522"/>
      <c r="D20" s="522"/>
      <c r="E20" s="523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184</v>
      </c>
      <c r="F21" s="184" t="s">
        <v>688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188</v>
      </c>
      <c r="F22" s="491" t="s">
        <v>689</v>
      </c>
    </row>
    <row r="23" spans="2:8" ht="15" customHeight="1" x14ac:dyDescent="0.25">
      <c r="B23" s="492" t="s">
        <v>690</v>
      </c>
      <c r="C23" s="495" t="s">
        <v>691</v>
      </c>
      <c r="D23" s="493">
        <v>43952</v>
      </c>
      <c r="E23" s="494" t="s">
        <v>188</v>
      </c>
      <c r="F23" s="498" t="s">
        <v>692</v>
      </c>
      <c r="G23" s="152" t="s">
        <v>702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188</v>
      </c>
      <c r="F24" s="496" t="s">
        <v>689</v>
      </c>
    </row>
    <row r="25" spans="2:8" ht="15" customHeight="1" x14ac:dyDescent="0.25">
      <c r="B25" s="187" t="s">
        <v>205</v>
      </c>
      <c r="C25" s="196" t="s">
        <v>58</v>
      </c>
      <c r="D25" s="195">
        <v>43952</v>
      </c>
      <c r="E25" s="169" t="s">
        <v>188</v>
      </c>
      <c r="F25" s="496" t="s">
        <v>689</v>
      </c>
    </row>
    <row r="26" spans="2:8" ht="15" customHeight="1" x14ac:dyDescent="0.25">
      <c r="B26" s="187" t="s">
        <v>206</v>
      </c>
      <c r="C26" s="196" t="s">
        <v>207</v>
      </c>
      <c r="D26" s="195">
        <v>43983</v>
      </c>
      <c r="E26" s="169" t="s">
        <v>188</v>
      </c>
      <c r="F26" s="491" t="s">
        <v>689</v>
      </c>
    </row>
    <row r="27" spans="2:8" ht="15" customHeight="1" x14ac:dyDescent="0.25">
      <c r="B27" s="187" t="s">
        <v>208</v>
      </c>
      <c r="C27" s="196" t="s">
        <v>693</v>
      </c>
      <c r="D27" s="195">
        <v>43983</v>
      </c>
      <c r="E27" s="169" t="s">
        <v>188</v>
      </c>
      <c r="F27" s="496" t="s">
        <v>689</v>
      </c>
    </row>
    <row r="28" spans="2:8" ht="15" x14ac:dyDescent="0.25">
      <c r="B28" s="187" t="s">
        <v>695</v>
      </c>
      <c r="C28" s="207" t="s">
        <v>694</v>
      </c>
      <c r="D28" s="195">
        <v>43983</v>
      </c>
      <c r="E28" s="169" t="s">
        <v>188</v>
      </c>
      <c r="F28" s="491" t="s">
        <v>689</v>
      </c>
    </row>
    <row r="29" spans="2:8" x14ac:dyDescent="0.2">
      <c r="B29" s="152" t="s">
        <v>697</v>
      </c>
      <c r="C29" s="207" t="s">
        <v>696</v>
      </c>
      <c r="D29" s="195">
        <v>44013</v>
      </c>
      <c r="E29" s="169" t="s">
        <v>188</v>
      </c>
      <c r="F29" s="498" t="s">
        <v>692</v>
      </c>
      <c r="G29" s="152" t="s">
        <v>698</v>
      </c>
    </row>
    <row r="30" spans="2:8" x14ac:dyDescent="0.2">
      <c r="B30" s="152" t="s">
        <v>699</v>
      </c>
      <c r="C30" s="152" t="s">
        <v>700</v>
      </c>
      <c r="D30" s="497">
        <v>44287</v>
      </c>
      <c r="E30" s="169" t="s">
        <v>188</v>
      </c>
      <c r="F30" s="491" t="s">
        <v>689</v>
      </c>
      <c r="G30" s="152" t="s">
        <v>701</v>
      </c>
    </row>
    <row r="35" spans="2:8" ht="15" thickBot="1" x14ac:dyDescent="0.25"/>
    <row r="36" spans="2:8" ht="19.5" thickBot="1" x14ac:dyDescent="0.25">
      <c r="B36" s="518" t="s">
        <v>59</v>
      </c>
      <c r="C36" s="519"/>
      <c r="D36" s="519"/>
      <c r="E36" s="520"/>
      <c r="G36" s="524" t="s">
        <v>55</v>
      </c>
      <c r="H36" s="525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184</v>
      </c>
      <c r="G37" s="200" t="s">
        <v>15</v>
      </c>
      <c r="H37" s="200" t="s">
        <v>209</v>
      </c>
    </row>
    <row r="38" spans="2:8" ht="15" x14ac:dyDescent="0.25">
      <c r="B38" s="200">
        <v>1</v>
      </c>
      <c r="C38" s="188" t="s">
        <v>210</v>
      </c>
      <c r="D38" s="201">
        <v>44166</v>
      </c>
      <c r="E38" s="202" t="s">
        <v>188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J19" sqref="J1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564</v>
      </c>
      <c r="H3" s="18" t="s">
        <v>26</v>
      </c>
      <c r="I3" s="17" t="s">
        <v>251</v>
      </c>
      <c r="J3" s="17" t="s">
        <v>78</v>
      </c>
      <c r="S3" s="526" t="s">
        <v>264</v>
      </c>
      <c r="T3" s="526"/>
      <c r="U3" s="526"/>
      <c r="V3" s="526"/>
      <c r="W3" s="526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265</v>
      </c>
      <c r="T4" s="218" t="s">
        <v>266</v>
      </c>
      <c r="U4" s="218" t="s">
        <v>267</v>
      </c>
      <c r="V4" s="218" t="s">
        <v>268</v>
      </c>
      <c r="W4" s="219" t="s">
        <v>269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0" t="s">
        <v>255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1">
        <v>100</v>
      </c>
      <c r="I6" s="236">
        <f>[1]ArchetypeDemand!$L$51</f>
        <v>2.045375452121146E-4</v>
      </c>
      <c r="J6" s="129">
        <v>2019</v>
      </c>
      <c r="L6" s="3">
        <f>I6/0.0000036</f>
        <v>56.815984781142944</v>
      </c>
      <c r="S6" s="223" t="s">
        <v>256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257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38">
        <f>[1]ArchetypeDemand!$L$53</f>
        <v>4.1672182679251225E-3</v>
      </c>
      <c r="J8" s="58"/>
      <c r="L8" s="4">
        <f t="shared" si="0"/>
        <v>1157.5606299792007</v>
      </c>
      <c r="S8" s="223" t="s">
        <v>258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37">
        <f>[1]ArchetypeDemand!$L$54</f>
        <v>5.0182384146831558E-4</v>
      </c>
      <c r="J9" s="57"/>
      <c r="L9" s="4">
        <f t="shared" si="0"/>
        <v>139.39551151897655</v>
      </c>
      <c r="S9" s="226" t="s">
        <v>259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39">
        <f>[1]ArchetypeDemand!$L$55</f>
        <v>3.8041601576060773E-4</v>
      </c>
      <c r="J10" s="95"/>
      <c r="L10" s="4">
        <f t="shared" si="0"/>
        <v>105.67111548905771</v>
      </c>
      <c r="S10" s="223" t="s">
        <v>260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261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1">
        <v>100</v>
      </c>
      <c r="I12" s="236">
        <f>[1]ArchetypeDemand!$L$6</f>
        <v>7.5784815901851145E-4</v>
      </c>
      <c r="J12" s="129">
        <v>2019</v>
      </c>
      <c r="L12" s="4">
        <f>I12/0.0000036</f>
        <v>210.51337750514207</v>
      </c>
      <c r="S12" s="223" t="s">
        <v>262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263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38">
        <f>[1]ArchetypeDemand!$L$8</f>
        <v>6.1667922907240368E-3</v>
      </c>
      <c r="J14" s="58"/>
      <c r="L14" s="4">
        <f t="shared" si="1"/>
        <v>1712.9978585344547</v>
      </c>
      <c r="S14" s="231" t="s">
        <v>270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37">
        <f>[1]ArchetypeDemand!$L$9</f>
        <v>7.3612177725668258E-4</v>
      </c>
      <c r="J15" s="57"/>
      <c r="L15" s="4">
        <f t="shared" si="1"/>
        <v>204.4782714601896</v>
      </c>
      <c r="S15" s="235" t="s">
        <v>271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39">
        <f>[1]ArchetypeDemand!$L$10</f>
        <v>5.2407143773435417E-4</v>
      </c>
      <c r="J16" s="95"/>
      <c r="L16" s="4">
        <f t="shared" si="1"/>
        <v>145.57539937065394</v>
      </c>
    </row>
    <row r="17" spans="2:39" x14ac:dyDescent="0.2">
      <c r="C17" s="37" t="s">
        <v>148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1">
        <v>100</v>
      </c>
      <c r="I18" s="236">
        <f>[1]ArchetypeDemand!$L$96</f>
        <v>3.7645780249386E-3</v>
      </c>
      <c r="J18" s="129">
        <v>2019</v>
      </c>
      <c r="L18" s="4">
        <f>I18/0.0000036</f>
        <v>1045.7161180385001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152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153</v>
      </c>
      <c r="F20" s="41"/>
      <c r="G20" s="41"/>
      <c r="H20" s="62"/>
      <c r="I20" s="238">
        <f>[1]ArchetypeDemand!$L$98</f>
        <v>6.6666794692434245E-3</v>
      </c>
      <c r="J20" s="58"/>
      <c r="L20" s="4">
        <f t="shared" si="2"/>
        <v>1851.8554081231734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154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155</v>
      </c>
      <c r="F22" s="120"/>
      <c r="G22" s="120"/>
      <c r="H22" s="86"/>
      <c r="I22" s="239">
        <f>[1]ArchetypeDemand!$L$100</f>
        <v>1.0463165232771768E-3</v>
      </c>
      <c r="J22" s="95"/>
      <c r="L22" s="4">
        <f t="shared" si="2"/>
        <v>290.64347868810466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290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290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290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166"/>
  <sheetViews>
    <sheetView tabSelected="1" zoomScale="60" zoomScaleNormal="60" workbookViewId="0">
      <selection activeCell="E87" sqref="E8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5" width="33" style="4" customWidth="1"/>
    <col min="6" max="7" width="22.140625" style="3" customWidth="1"/>
    <col min="8" max="8" width="26.28515625" style="3" customWidth="1"/>
    <col min="9" max="9" width="10.7109375" style="3" customWidth="1"/>
    <col min="10" max="10" width="12.28515625" style="3" customWidth="1"/>
    <col min="11" max="11" width="11.28515625" style="3" customWidth="1"/>
    <col min="12" max="12" width="12.28515625" style="3" customWidth="1"/>
    <col min="13" max="13" width="10.7109375" style="3" customWidth="1"/>
    <col min="14" max="14" width="13.140625" style="3" customWidth="1"/>
    <col min="15" max="15" width="12" style="3" customWidth="1"/>
    <col min="16" max="16" width="12.140625" style="3" customWidth="1"/>
    <col min="17" max="17" width="11.7109375" style="3" customWidth="1"/>
    <col min="18" max="18" width="12.140625" style="3" customWidth="1"/>
    <col min="19" max="19" width="12.28515625" style="3" customWidth="1"/>
    <col min="20" max="20" width="12" style="3" customWidth="1"/>
    <col min="21" max="21" width="10.7109375" style="3" customWidth="1"/>
    <col min="22" max="22" width="12.5703125" style="3" bestFit="1" customWidth="1"/>
    <col min="23" max="23" width="11.7109375" style="3" customWidth="1"/>
    <col min="24" max="28" width="10.7109375" style="3" customWidth="1"/>
    <col min="29" max="29" width="12.42578125" style="3" customWidth="1"/>
    <col min="30" max="30" width="12.7109375" style="3" customWidth="1"/>
    <col min="31" max="31" width="12.5703125" style="3" customWidth="1"/>
    <col min="32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8" width="9.140625" style="3"/>
    <col min="39" max="39" width="24.28515625" style="3" customWidth="1"/>
    <col min="40" max="40" width="23.42578125" style="3" bestFit="1" customWidth="1"/>
    <col min="41" max="41" width="57.140625" style="3" bestFit="1" customWidth="1"/>
    <col min="42" max="43" width="9.140625" style="3"/>
    <col min="44" max="44" width="13" style="3" bestFit="1" customWidth="1"/>
    <col min="45" max="16384" width="9.140625" style="3"/>
  </cols>
  <sheetData>
    <row r="2" spans="3:45" x14ac:dyDescent="0.2">
      <c r="I2" s="5" t="s">
        <v>19</v>
      </c>
    </row>
    <row r="3" spans="3:45" ht="45.75" thickBot="1" x14ac:dyDescent="0.25">
      <c r="C3" s="14" t="s">
        <v>21</v>
      </c>
      <c r="D3" s="15" t="s">
        <v>32</v>
      </c>
      <c r="E3" s="15" t="s">
        <v>725</v>
      </c>
      <c r="F3" s="14" t="s">
        <v>23</v>
      </c>
      <c r="G3" s="14" t="s">
        <v>582</v>
      </c>
      <c r="H3" s="14" t="s">
        <v>24</v>
      </c>
      <c r="I3" s="17" t="s">
        <v>226</v>
      </c>
      <c r="J3" s="17" t="s">
        <v>227</v>
      </c>
      <c r="K3" s="17" t="s">
        <v>228</v>
      </c>
      <c r="L3" s="17" t="s">
        <v>229</v>
      </c>
      <c r="M3" s="17" t="s">
        <v>230</v>
      </c>
      <c r="N3" s="17" t="s">
        <v>231</v>
      </c>
      <c r="O3" s="17" t="s">
        <v>232</v>
      </c>
      <c r="P3" s="17" t="s">
        <v>233</v>
      </c>
      <c r="Q3" s="17" t="s">
        <v>234</v>
      </c>
      <c r="R3" s="17" t="s">
        <v>235</v>
      </c>
      <c r="S3" s="17" t="s">
        <v>236</v>
      </c>
      <c r="T3" s="17" t="s">
        <v>237</v>
      </c>
      <c r="U3" s="18" t="s">
        <v>26</v>
      </c>
      <c r="V3" s="18" t="s">
        <v>76</v>
      </c>
      <c r="W3" s="17" t="s">
        <v>252</v>
      </c>
      <c r="X3" s="17" t="s">
        <v>88</v>
      </c>
      <c r="Y3" s="17" t="s">
        <v>89</v>
      </c>
      <c r="Z3" s="17" t="s">
        <v>90</v>
      </c>
      <c r="AA3" s="17" t="s">
        <v>61</v>
      </c>
      <c r="AB3" s="17" t="s">
        <v>62</v>
      </c>
      <c r="AC3" s="17" t="s">
        <v>302</v>
      </c>
      <c r="AD3" s="17" t="s">
        <v>303</v>
      </c>
      <c r="AE3" s="17" t="s">
        <v>304</v>
      </c>
      <c r="AF3" s="17" t="s">
        <v>720</v>
      </c>
      <c r="AG3" s="17" t="s">
        <v>254</v>
      </c>
      <c r="AH3" s="17" t="s">
        <v>77</v>
      </c>
      <c r="AI3" s="17" t="s">
        <v>289</v>
      </c>
      <c r="AJ3" s="17" t="s">
        <v>78</v>
      </c>
      <c r="AK3" s="17" t="s">
        <v>580</v>
      </c>
    </row>
    <row r="4" spans="3:45" ht="38.25" x14ac:dyDescent="0.2">
      <c r="C4" s="16" t="s">
        <v>300</v>
      </c>
      <c r="D4" s="16" t="s">
        <v>33</v>
      </c>
      <c r="E4" s="16"/>
      <c r="F4" s="16" t="s">
        <v>80</v>
      </c>
      <c r="G4" s="16" t="s">
        <v>583</v>
      </c>
      <c r="H4" s="16" t="s">
        <v>81</v>
      </c>
      <c r="I4" s="533" t="s">
        <v>280</v>
      </c>
      <c r="J4" s="534"/>
      <c r="K4" s="534"/>
      <c r="L4" s="535"/>
      <c r="M4" s="533" t="s">
        <v>83</v>
      </c>
      <c r="N4" s="534"/>
      <c r="O4" s="534"/>
      <c r="P4" s="535"/>
      <c r="Q4" s="533" t="s">
        <v>84</v>
      </c>
      <c r="R4" s="534"/>
      <c r="S4" s="534"/>
      <c r="T4" s="535"/>
      <c r="U4" s="533" t="s">
        <v>85</v>
      </c>
      <c r="V4" s="535"/>
      <c r="W4" s="527" t="s">
        <v>86</v>
      </c>
      <c r="X4" s="528"/>
      <c r="Y4" s="528"/>
      <c r="Z4" s="529"/>
      <c r="AA4" s="60"/>
      <c r="AB4" s="60"/>
      <c r="AC4" s="68" t="s">
        <v>215</v>
      </c>
      <c r="AD4" s="71" t="s">
        <v>215</v>
      </c>
      <c r="AE4" s="71" t="s">
        <v>215</v>
      </c>
      <c r="AF4" s="71" t="s">
        <v>215</v>
      </c>
      <c r="AG4" s="71" t="s">
        <v>253</v>
      </c>
      <c r="AH4" s="60" t="s">
        <v>66</v>
      </c>
      <c r="AI4" s="60" t="s">
        <v>87</v>
      </c>
      <c r="AJ4" s="60"/>
      <c r="AK4" s="60"/>
      <c r="AM4" s="10" t="s">
        <v>20</v>
      </c>
      <c r="AN4" s="11"/>
      <c r="AO4" s="11"/>
      <c r="AP4" s="11"/>
      <c r="AQ4" s="11"/>
      <c r="AR4" s="11"/>
      <c r="AS4" s="11"/>
    </row>
    <row r="5" spans="3:45" ht="15.75" thickBot="1" x14ac:dyDescent="0.25">
      <c r="C5" s="14" t="s">
        <v>299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M5" s="12" t="s">
        <v>27</v>
      </c>
      <c r="AN5" s="12" t="s">
        <v>21</v>
      </c>
      <c r="AO5" s="12" t="s">
        <v>22</v>
      </c>
      <c r="AP5" s="12" t="s">
        <v>28</v>
      </c>
      <c r="AQ5" s="12" t="s">
        <v>29</v>
      </c>
      <c r="AR5" s="12" t="s">
        <v>30</v>
      </c>
      <c r="AS5" s="12" t="s">
        <v>67</v>
      </c>
    </row>
    <row r="6" spans="3:45" ht="33.75" x14ac:dyDescent="0.2">
      <c r="C6" s="37" t="s">
        <v>291</v>
      </c>
      <c r="D6" s="38"/>
      <c r="E6" s="38"/>
      <c r="F6" s="38"/>
      <c r="G6" s="38"/>
      <c r="H6" s="39"/>
      <c r="I6" s="530" t="s">
        <v>34</v>
      </c>
      <c r="J6" s="531"/>
      <c r="K6" s="531"/>
      <c r="L6" s="532"/>
      <c r="M6" s="531" t="s">
        <v>34</v>
      </c>
      <c r="N6" s="531"/>
      <c r="O6" s="531"/>
      <c r="P6" s="532"/>
      <c r="Q6" s="530" t="s">
        <v>34</v>
      </c>
      <c r="R6" s="531"/>
      <c r="S6" s="531"/>
      <c r="T6" s="532"/>
      <c r="U6" s="530" t="s">
        <v>68</v>
      </c>
      <c r="V6" s="532"/>
      <c r="W6" s="530" t="s">
        <v>525</v>
      </c>
      <c r="X6" s="531"/>
      <c r="Y6" s="531"/>
      <c r="Z6" s="532"/>
      <c r="AA6" s="61" t="s">
        <v>537</v>
      </c>
      <c r="AB6" s="61" t="s">
        <v>93</v>
      </c>
      <c r="AC6" s="69" t="s">
        <v>34</v>
      </c>
      <c r="AD6" s="61" t="s">
        <v>34</v>
      </c>
      <c r="AE6" s="61" t="s">
        <v>34</v>
      </c>
      <c r="AF6" s="61"/>
      <c r="AG6" s="61"/>
      <c r="AH6" s="70" t="s">
        <v>305</v>
      </c>
      <c r="AI6" s="61" t="s">
        <v>34</v>
      </c>
      <c r="AJ6" s="61" t="s">
        <v>94</v>
      </c>
      <c r="AK6" s="61" t="s">
        <v>581</v>
      </c>
      <c r="AM6" s="211" t="s">
        <v>69</v>
      </c>
      <c r="AN6" s="211" t="s">
        <v>70</v>
      </c>
      <c r="AO6" s="211" t="s">
        <v>33</v>
      </c>
      <c r="AP6" s="211" t="s">
        <v>71</v>
      </c>
      <c r="AQ6" s="211" t="s">
        <v>72</v>
      </c>
      <c r="AR6" s="211" t="s">
        <v>73</v>
      </c>
      <c r="AS6" s="211" t="s">
        <v>74</v>
      </c>
    </row>
    <row r="7" spans="3:45" ht="15" x14ac:dyDescent="0.25">
      <c r="C7" s="29" t="str">
        <f>"R-SH_Apt"&amp;"_"&amp;RIGHT(F7,3)&amp;"_N1"</f>
        <v>R-SH_Apt_KER_N1</v>
      </c>
      <c r="D7" s="19" t="s">
        <v>96</v>
      </c>
      <c r="E7" s="20"/>
      <c r="F7" s="89" t="s">
        <v>281</v>
      </c>
      <c r="G7" s="89"/>
      <c r="H7" s="56" t="s">
        <v>133</v>
      </c>
      <c r="I7" s="246">
        <v>1</v>
      </c>
      <c r="J7" s="247">
        <v>1</v>
      </c>
      <c r="K7" s="247">
        <v>1</v>
      </c>
      <c r="L7" s="248">
        <v>1</v>
      </c>
      <c r="M7" s="46"/>
      <c r="N7" s="47"/>
      <c r="O7" s="47"/>
      <c r="P7" s="48"/>
      <c r="Q7" s="246"/>
      <c r="R7" s="247"/>
      <c r="S7" s="247"/>
      <c r="T7" s="248"/>
      <c r="U7" s="52">
        <v>20</v>
      </c>
      <c r="V7" s="89"/>
      <c r="W7" s="379">
        <f>W9*1.3</f>
        <v>3.6270000000000002</v>
      </c>
      <c r="X7" s="379">
        <f t="shared" ref="X7:Z7" si="0">X9*1.3</f>
        <v>3.6270000000000002</v>
      </c>
      <c r="Y7" s="379">
        <f t="shared" si="0"/>
        <v>3.6270000000000002</v>
      </c>
      <c r="Z7" s="379">
        <f t="shared" si="0"/>
        <v>3.6270000000000002</v>
      </c>
      <c r="AA7" s="379">
        <v>0.12</v>
      </c>
      <c r="AB7" s="88"/>
      <c r="AC7" s="260"/>
      <c r="AD7" s="260"/>
      <c r="AE7" s="260"/>
      <c r="AF7" s="260"/>
      <c r="AG7" s="260"/>
      <c r="AH7" s="85">
        <f>31.536*(AK7/1000)</f>
        <v>0.47304000000000002</v>
      </c>
      <c r="AI7" s="88"/>
      <c r="AJ7" s="88">
        <v>2019</v>
      </c>
      <c r="AK7" s="88">
        <v>15</v>
      </c>
      <c r="AM7" s="106" t="s">
        <v>31</v>
      </c>
      <c r="AN7" s="105" t="str">
        <f>C7</f>
        <v>R-SH_Apt_KER_N1</v>
      </c>
      <c r="AO7" s="105" t="str">
        <f>D7</f>
        <v>Residential Kerosene Heating Oil - New 1 SH</v>
      </c>
      <c r="AP7" s="106" t="s">
        <v>13</v>
      </c>
      <c r="AQ7" s="106" t="s">
        <v>183</v>
      </c>
      <c r="AR7" s="106"/>
      <c r="AS7" s="106" t="s">
        <v>75</v>
      </c>
    </row>
    <row r="8" spans="3:45" ht="15" x14ac:dyDescent="0.25">
      <c r="C8" s="23" t="str">
        <f>"R-SW_Apt"&amp;"_"&amp;RIGHT(F8,3)&amp;"_N1"</f>
        <v>R-SW_Apt_KER_N1</v>
      </c>
      <c r="D8" s="22" t="s">
        <v>97</v>
      </c>
      <c r="E8" s="23"/>
      <c r="F8" s="24" t="s">
        <v>281</v>
      </c>
      <c r="G8" s="24"/>
      <c r="H8" s="57" t="s">
        <v>274</v>
      </c>
      <c r="I8" s="243">
        <v>1</v>
      </c>
      <c r="J8" s="244">
        <v>1</v>
      </c>
      <c r="K8" s="244">
        <v>1</v>
      </c>
      <c r="L8" s="245">
        <v>1</v>
      </c>
      <c r="M8" s="44"/>
      <c r="N8" s="32"/>
      <c r="O8" s="32"/>
      <c r="P8" s="45"/>
      <c r="Q8" s="243">
        <f>I8*0.7</f>
        <v>0.7</v>
      </c>
      <c r="R8" s="244">
        <f t="shared" ref="R8" si="1">J8*0.7</f>
        <v>0.7</v>
      </c>
      <c r="S8" s="244">
        <f t="shared" ref="S8" si="2">K8*0.7</f>
        <v>0.7</v>
      </c>
      <c r="T8" s="245">
        <f t="shared" ref="T8" si="3">L8*0.7</f>
        <v>0.7</v>
      </c>
      <c r="U8" s="53">
        <v>20</v>
      </c>
      <c r="V8" s="24"/>
      <c r="W8" s="380">
        <f>W10*1.3</f>
        <v>3.6576075949367097</v>
      </c>
      <c r="X8" s="380">
        <f t="shared" ref="X8:Z8" si="4">X10*1.3</f>
        <v>3.6576075949367097</v>
      </c>
      <c r="Y8" s="380">
        <f t="shared" si="4"/>
        <v>3.6576075949367097</v>
      </c>
      <c r="Z8" s="380">
        <f t="shared" si="4"/>
        <v>3.6576075949367097</v>
      </c>
      <c r="AA8" s="380">
        <v>0.12</v>
      </c>
      <c r="AB8" s="66"/>
      <c r="AC8" s="73"/>
      <c r="AD8" s="73"/>
      <c r="AE8" s="73"/>
      <c r="AF8" s="73"/>
      <c r="AG8" s="73"/>
      <c r="AH8" s="63">
        <f t="shared" ref="AH8:AH14" si="5">31.536*(AK8/1000)</f>
        <v>0.56764799999999993</v>
      </c>
      <c r="AI8" s="66"/>
      <c r="AJ8" s="66">
        <v>2019</v>
      </c>
      <c r="AK8" s="66">
        <v>18</v>
      </c>
      <c r="AM8" s="106"/>
      <c r="AN8" s="105" t="str">
        <f>C8</f>
        <v>R-SW_Apt_KER_N1</v>
      </c>
      <c r="AO8" s="105" t="str">
        <f>D8</f>
        <v>Residential Kerosene Heating Oil - New 2 SH + WH</v>
      </c>
      <c r="AP8" s="106" t="s">
        <v>13</v>
      </c>
      <c r="AQ8" s="106" t="s">
        <v>183</v>
      </c>
      <c r="AR8" s="106"/>
      <c r="AS8" s="106" t="s">
        <v>75</v>
      </c>
    </row>
    <row r="9" spans="3:45" ht="15" x14ac:dyDescent="0.25">
      <c r="C9" s="29" t="str">
        <f>"R-SH_Apt"&amp;"_"&amp;RIGHT(F9,3)&amp;"_N1"</f>
        <v>R-SH_Apt_GAS_N1</v>
      </c>
      <c r="D9" s="40" t="s">
        <v>95</v>
      </c>
      <c r="E9" s="29"/>
      <c r="F9" s="24" t="s">
        <v>721</v>
      </c>
      <c r="G9" s="30"/>
      <c r="H9" s="58" t="s">
        <v>133</v>
      </c>
      <c r="I9" s="240">
        <v>1</v>
      </c>
      <c r="J9" s="241">
        <v>1</v>
      </c>
      <c r="K9" s="241">
        <v>1</v>
      </c>
      <c r="L9" s="242">
        <v>1</v>
      </c>
      <c r="M9" s="42"/>
      <c r="N9" s="31"/>
      <c r="O9" s="31"/>
      <c r="P9" s="43"/>
      <c r="Q9" s="240"/>
      <c r="R9" s="241"/>
      <c r="S9" s="241"/>
      <c r="T9" s="242"/>
      <c r="U9" s="54">
        <v>22</v>
      </c>
      <c r="V9" s="30"/>
      <c r="W9" s="379">
        <f>2.79</f>
        <v>2.79</v>
      </c>
      <c r="X9" s="379">
        <f t="shared" ref="X9:Z9" si="6">2.79</f>
        <v>2.79</v>
      </c>
      <c r="Y9" s="379">
        <f t="shared" si="6"/>
        <v>2.79</v>
      </c>
      <c r="Z9" s="379">
        <f t="shared" si="6"/>
        <v>2.79</v>
      </c>
      <c r="AA9" s="379">
        <v>0.12</v>
      </c>
      <c r="AB9" s="65"/>
      <c r="AC9" s="72"/>
      <c r="AD9" s="72"/>
      <c r="AE9" s="72"/>
      <c r="AF9" s="72"/>
      <c r="AG9" s="72"/>
      <c r="AH9" s="62">
        <f t="shared" si="5"/>
        <v>0.47304000000000002</v>
      </c>
      <c r="AI9" s="65"/>
      <c r="AJ9" s="65">
        <v>2019</v>
      </c>
      <c r="AK9" s="65">
        <v>15</v>
      </c>
      <c r="AM9" s="106"/>
      <c r="AN9" s="105" t="str">
        <f>C9</f>
        <v>R-SH_Apt_GAS_N1</v>
      </c>
      <c r="AO9" s="105" t="str">
        <f>D9</f>
        <v>Residential Natural Gas Heating - New 1 SH</v>
      </c>
      <c r="AP9" s="106" t="s">
        <v>13</v>
      </c>
      <c r="AQ9" s="106" t="s">
        <v>183</v>
      </c>
      <c r="AR9" s="106"/>
      <c r="AS9" s="106" t="s">
        <v>75</v>
      </c>
    </row>
    <row r="10" spans="3:45" ht="15" x14ac:dyDescent="0.25">
      <c r="C10" s="23" t="str">
        <f>"R-SW_Apt"&amp;"_"&amp;RIGHT(F10,3)&amp;"_N1"</f>
        <v>R-SW_Apt_GAS_N1</v>
      </c>
      <c r="D10" s="22" t="s">
        <v>99</v>
      </c>
      <c r="E10" s="23"/>
      <c r="F10" s="24" t="s">
        <v>721</v>
      </c>
      <c r="G10" s="24"/>
      <c r="H10" s="57" t="s">
        <v>274</v>
      </c>
      <c r="I10" s="243">
        <v>1</v>
      </c>
      <c r="J10" s="244">
        <v>1</v>
      </c>
      <c r="K10" s="244">
        <v>1</v>
      </c>
      <c r="L10" s="245">
        <v>1</v>
      </c>
      <c r="M10" s="44"/>
      <c r="N10" s="32"/>
      <c r="O10" s="32"/>
      <c r="P10" s="45"/>
      <c r="Q10" s="243">
        <f>I10*0.7</f>
        <v>0.7</v>
      </c>
      <c r="R10" s="244">
        <f t="shared" ref="R10" si="7">J10*0.7</f>
        <v>0.7</v>
      </c>
      <c r="S10" s="244">
        <f t="shared" ref="S10" si="8">K10*0.7</f>
        <v>0.7</v>
      </c>
      <c r="T10" s="245">
        <f t="shared" ref="T10" si="9">L10*0.7</f>
        <v>0.7</v>
      </c>
      <c r="U10" s="53">
        <v>22</v>
      </c>
      <c r="V10" s="24"/>
      <c r="W10" s="380">
        <f>W9*($V$150/$V$149)</f>
        <v>2.8135443037974688</v>
      </c>
      <c r="X10" s="380">
        <f>X9*($V$150/$V$149)</f>
        <v>2.8135443037974688</v>
      </c>
      <c r="Y10" s="380">
        <f>Y9*($V$150/$V$149)</f>
        <v>2.8135443037974688</v>
      </c>
      <c r="Z10" s="380">
        <f>Z9*($V$150/$V$149)</f>
        <v>2.8135443037974688</v>
      </c>
      <c r="AA10" s="380">
        <v>0.12</v>
      </c>
      <c r="AB10" s="66"/>
      <c r="AC10" s="73"/>
      <c r="AD10" s="73"/>
      <c r="AE10" s="73"/>
      <c r="AF10" s="73"/>
      <c r="AG10" s="73"/>
      <c r="AH10" s="63">
        <f t="shared" si="5"/>
        <v>0.56764799999999993</v>
      </c>
      <c r="AI10" s="66"/>
      <c r="AJ10" s="66">
        <v>2019</v>
      </c>
      <c r="AK10" s="66">
        <v>18</v>
      </c>
      <c r="AM10" s="106"/>
      <c r="AN10" s="105" t="str">
        <f>C10</f>
        <v>R-SW_Apt_GAS_N1</v>
      </c>
      <c r="AO10" s="105" t="str">
        <f>D10</f>
        <v>Residential Natural Gas Heating - New 2 SH + WH</v>
      </c>
      <c r="AP10" s="106" t="s">
        <v>13</v>
      </c>
      <c r="AQ10" s="106" t="s">
        <v>183</v>
      </c>
      <c r="AR10" s="106"/>
      <c r="AS10" s="106" t="s">
        <v>75</v>
      </c>
    </row>
    <row r="11" spans="3:45" ht="15" x14ac:dyDescent="0.25">
      <c r="C11" s="29" t="str">
        <f>"R-SH_Apt"&amp;"_"&amp;RIGHT(F11,3)&amp;"_N1"</f>
        <v>R-SH_Apt_LPG_N1</v>
      </c>
      <c r="D11" s="40" t="s">
        <v>103</v>
      </c>
      <c r="E11" s="29"/>
      <c r="F11" s="30" t="s">
        <v>282</v>
      </c>
      <c r="G11" s="30"/>
      <c r="H11" s="58" t="s">
        <v>133</v>
      </c>
      <c r="I11" s="240">
        <v>1</v>
      </c>
      <c r="J11" s="241">
        <v>1</v>
      </c>
      <c r="K11" s="241">
        <v>1</v>
      </c>
      <c r="L11" s="242">
        <v>1</v>
      </c>
      <c r="M11" s="42"/>
      <c r="N11" s="31"/>
      <c r="O11" s="31"/>
      <c r="P11" s="43"/>
      <c r="Q11" s="240"/>
      <c r="R11" s="241"/>
      <c r="S11" s="241"/>
      <c r="T11" s="242"/>
      <c r="U11" s="54">
        <v>22</v>
      </c>
      <c r="V11" s="30"/>
      <c r="W11" s="379">
        <f>2.79+0.35</f>
        <v>3.14</v>
      </c>
      <c r="X11" s="379">
        <f t="shared" ref="X11:Z11" si="10">2.79+0.35</f>
        <v>3.14</v>
      </c>
      <c r="Y11" s="379">
        <f t="shared" si="10"/>
        <v>3.14</v>
      </c>
      <c r="Z11" s="379">
        <f t="shared" si="10"/>
        <v>3.14</v>
      </c>
      <c r="AA11" s="379">
        <f>0.12+0.15</f>
        <v>0.27</v>
      </c>
      <c r="AB11" s="65"/>
      <c r="AC11" s="72"/>
      <c r="AD11" s="72"/>
      <c r="AE11" s="72"/>
      <c r="AF11" s="72"/>
      <c r="AG11" s="72"/>
      <c r="AH11" s="62">
        <f t="shared" si="5"/>
        <v>0.47304000000000002</v>
      </c>
      <c r="AI11" s="65"/>
      <c r="AJ11" s="65">
        <v>2019</v>
      </c>
      <c r="AK11" s="65">
        <v>15</v>
      </c>
      <c r="AM11" s="106"/>
      <c r="AN11" s="105" t="str">
        <f>C11</f>
        <v>R-SH_Apt_LPG_N1</v>
      </c>
      <c r="AO11" s="105" t="str">
        <f>D11</f>
        <v>Residential Liquid Petroleum Gas- New 1 SH</v>
      </c>
      <c r="AP11" s="106" t="s">
        <v>13</v>
      </c>
      <c r="AQ11" s="106" t="s">
        <v>183</v>
      </c>
      <c r="AR11" s="106"/>
      <c r="AS11" s="106" t="s">
        <v>75</v>
      </c>
    </row>
    <row r="12" spans="3:45" ht="15" x14ac:dyDescent="0.25">
      <c r="C12" s="23" t="str">
        <f>"R-SW_Apt"&amp;"_"&amp;RIGHT(F12,3)&amp;"_N1"</f>
        <v>R-SW_Apt_LPG_N1</v>
      </c>
      <c r="D12" s="22" t="s">
        <v>104</v>
      </c>
      <c r="E12" s="23"/>
      <c r="F12" s="24" t="s">
        <v>282</v>
      </c>
      <c r="G12" s="24"/>
      <c r="H12" s="57" t="s">
        <v>274</v>
      </c>
      <c r="I12" s="243">
        <v>1</v>
      </c>
      <c r="J12" s="244">
        <v>1</v>
      </c>
      <c r="K12" s="244">
        <v>1</v>
      </c>
      <c r="L12" s="245">
        <v>1</v>
      </c>
      <c r="M12" s="44"/>
      <c r="N12" s="32"/>
      <c r="O12" s="32"/>
      <c r="P12" s="45"/>
      <c r="Q12" s="243">
        <f>I12*0.7</f>
        <v>0.7</v>
      </c>
      <c r="R12" s="244">
        <f t="shared" ref="R12:T12" si="11">J12*0.7</f>
        <v>0.7</v>
      </c>
      <c r="S12" s="244">
        <f t="shared" si="11"/>
        <v>0.7</v>
      </c>
      <c r="T12" s="245">
        <f t="shared" si="11"/>
        <v>0.7</v>
      </c>
      <c r="U12" s="53">
        <v>22</v>
      </c>
      <c r="V12" s="24"/>
      <c r="W12" s="380">
        <f>W10+0.35</f>
        <v>3.1635443037974689</v>
      </c>
      <c r="X12" s="380">
        <f t="shared" ref="X12:Z12" si="12">X10+0.35</f>
        <v>3.1635443037974689</v>
      </c>
      <c r="Y12" s="380">
        <f t="shared" si="12"/>
        <v>3.1635443037974689</v>
      </c>
      <c r="Z12" s="380">
        <f t="shared" si="12"/>
        <v>3.1635443037974689</v>
      </c>
      <c r="AA12" s="380">
        <f>0.12+0.15</f>
        <v>0.27</v>
      </c>
      <c r="AB12" s="66"/>
      <c r="AC12" s="73"/>
      <c r="AD12" s="73"/>
      <c r="AE12" s="73"/>
      <c r="AF12" s="73"/>
      <c r="AG12" s="73"/>
      <c r="AH12" s="63">
        <f t="shared" si="5"/>
        <v>0.56764799999999993</v>
      </c>
      <c r="AI12" s="66"/>
      <c r="AJ12" s="66">
        <v>2019</v>
      </c>
      <c r="AK12" s="66">
        <v>18</v>
      </c>
      <c r="AM12" s="106"/>
      <c r="AN12" s="105" t="str">
        <f>C12</f>
        <v>R-SW_Apt_LPG_N1</v>
      </c>
      <c r="AO12" s="105" t="str">
        <f>D12</f>
        <v>Residential Liquid Petroleum Gas- New 2 SH + WH</v>
      </c>
      <c r="AP12" s="106" t="s">
        <v>13</v>
      </c>
      <c r="AQ12" s="106" t="s">
        <v>183</v>
      </c>
      <c r="AR12" s="106"/>
      <c r="AS12" s="106" t="s">
        <v>75</v>
      </c>
    </row>
    <row r="13" spans="3:45" ht="15" x14ac:dyDescent="0.25">
      <c r="C13" s="29" t="str">
        <f>"R-SH_Apt"&amp;"_"&amp;RIGHT(F13,3)&amp;"_N1"</f>
        <v>R-SH_Apt_WOO_N1</v>
      </c>
      <c r="D13" s="40" t="s">
        <v>105</v>
      </c>
      <c r="E13" s="29"/>
      <c r="F13" s="30" t="s">
        <v>285</v>
      </c>
      <c r="G13" s="30"/>
      <c r="H13" s="58" t="s">
        <v>133</v>
      </c>
      <c r="I13" s="240">
        <v>1</v>
      </c>
      <c r="J13" s="241">
        <v>1</v>
      </c>
      <c r="K13" s="241">
        <v>1</v>
      </c>
      <c r="L13" s="242">
        <v>1</v>
      </c>
      <c r="M13" s="42"/>
      <c r="N13" s="31"/>
      <c r="O13" s="31"/>
      <c r="P13" s="43"/>
      <c r="Q13" s="240"/>
      <c r="R13" s="241"/>
      <c r="S13" s="241"/>
      <c r="T13" s="242"/>
      <c r="U13" s="54">
        <v>20</v>
      </c>
      <c r="V13" s="30"/>
      <c r="W13" s="379">
        <v>6.25</v>
      </c>
      <c r="X13" s="379">
        <v>6.25</v>
      </c>
      <c r="Y13" s="379">
        <f>X13*1.1</f>
        <v>6.8750000000000009</v>
      </c>
      <c r="Z13" s="379">
        <f>X13*1.1</f>
        <v>6.8750000000000009</v>
      </c>
      <c r="AA13" s="379">
        <v>0.25</v>
      </c>
      <c r="AB13" s="65"/>
      <c r="AC13" s="72"/>
      <c r="AD13" s="72"/>
      <c r="AE13" s="72"/>
      <c r="AF13" s="72"/>
      <c r="AG13" s="72"/>
      <c r="AH13" s="62">
        <f t="shared" si="5"/>
        <v>0.47304000000000002</v>
      </c>
      <c r="AI13" s="65"/>
      <c r="AJ13" s="65">
        <v>2019</v>
      </c>
      <c r="AK13" s="65">
        <v>15</v>
      </c>
      <c r="AM13" s="106"/>
      <c r="AN13" s="105" t="str">
        <f>C13</f>
        <v>R-SH_Apt_WOO_N1</v>
      </c>
      <c r="AO13" s="105" t="str">
        <f>D13</f>
        <v>Residential Biomass Boiler - New 1 SH</v>
      </c>
      <c r="AP13" s="106" t="s">
        <v>13</v>
      </c>
      <c r="AQ13" s="106" t="s">
        <v>183</v>
      </c>
      <c r="AR13" s="106"/>
      <c r="AS13" s="106" t="s">
        <v>75</v>
      </c>
    </row>
    <row r="14" spans="3:45" ht="15.75" thickBot="1" x14ac:dyDescent="0.3">
      <c r="C14" s="26" t="str">
        <f>"R-SW_Apt"&amp;"_"&amp;RIGHT(F14,3)&amp;"_N1"</f>
        <v>R-SW_Apt_WOO_N1</v>
      </c>
      <c r="D14" s="22" t="s">
        <v>106</v>
      </c>
      <c r="E14" s="23"/>
      <c r="F14" s="24" t="s">
        <v>285</v>
      </c>
      <c r="G14" s="24"/>
      <c r="H14" s="57" t="s">
        <v>274</v>
      </c>
      <c r="I14" s="243">
        <v>1</v>
      </c>
      <c r="J14" s="244">
        <v>1</v>
      </c>
      <c r="K14" s="244">
        <v>1</v>
      </c>
      <c r="L14" s="245">
        <v>1</v>
      </c>
      <c r="M14" s="44"/>
      <c r="N14" s="32"/>
      <c r="O14" s="32"/>
      <c r="P14" s="45"/>
      <c r="Q14" s="243">
        <f t="shared" ref="Q14:T14" si="13">I14*0.7</f>
        <v>0.7</v>
      </c>
      <c r="R14" s="244">
        <f t="shared" si="13"/>
        <v>0.7</v>
      </c>
      <c r="S14" s="244">
        <f t="shared" si="13"/>
        <v>0.7</v>
      </c>
      <c r="T14" s="245">
        <f t="shared" si="13"/>
        <v>0.7</v>
      </c>
      <c r="U14" s="53">
        <v>20</v>
      </c>
      <c r="V14" s="24"/>
      <c r="W14" s="380">
        <f>(JRC_Data!BB11/1000)*($V$150/$V$151)</f>
        <v>6.6663223140495873</v>
      </c>
      <c r="X14" s="380">
        <f>(JRC_Data!BC11/1000)*($V$150/$V$151)</f>
        <v>6.6663223140495873</v>
      </c>
      <c r="Y14" s="380">
        <f>(JRC_Data!BD11/1000)*($V$150/$V$151)</f>
        <v>7.4070247933884303</v>
      </c>
      <c r="Z14" s="380">
        <f>(JRC_Data!BE11/1000)*($V$150/$V$151)</f>
        <v>7.4070247933884303</v>
      </c>
      <c r="AA14" s="380">
        <v>0.25</v>
      </c>
      <c r="AB14" s="66"/>
      <c r="AC14" s="73"/>
      <c r="AD14" s="73"/>
      <c r="AE14" s="73"/>
      <c r="AF14" s="73"/>
      <c r="AG14" s="73"/>
      <c r="AH14" s="63">
        <f t="shared" si="5"/>
        <v>0.56764799999999993</v>
      </c>
      <c r="AI14" s="66"/>
      <c r="AJ14" s="66">
        <v>2019</v>
      </c>
      <c r="AK14" s="66">
        <v>18</v>
      </c>
      <c r="AM14" s="109"/>
      <c r="AN14" s="108" t="str">
        <f>C14</f>
        <v>R-SW_Apt_WOO_N1</v>
      </c>
      <c r="AO14" s="108" t="str">
        <f>D14</f>
        <v>Residential Biomass Boiler - New 2 SH + WH</v>
      </c>
      <c r="AP14" s="109" t="s">
        <v>13</v>
      </c>
      <c r="AQ14" s="109" t="s">
        <v>183</v>
      </c>
      <c r="AR14" s="109"/>
      <c r="AS14" s="109" t="s">
        <v>75</v>
      </c>
    </row>
    <row r="15" spans="3:45" ht="15.75" thickBot="1" x14ac:dyDescent="0.3">
      <c r="C15" s="33" t="s">
        <v>292</v>
      </c>
      <c r="D15" s="33"/>
      <c r="E15" s="33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4"/>
      <c r="V15" s="34"/>
      <c r="W15" s="33"/>
      <c r="X15" s="33"/>
      <c r="Y15" s="33"/>
      <c r="Z15" s="33"/>
      <c r="AA15" s="33"/>
      <c r="AB15" s="34"/>
      <c r="AC15" s="36"/>
      <c r="AD15" s="36"/>
      <c r="AE15" s="36"/>
      <c r="AF15" s="36"/>
      <c r="AG15" s="36"/>
      <c r="AH15" s="33"/>
      <c r="AI15" s="34"/>
      <c r="AJ15" s="34"/>
      <c r="AK15" s="34"/>
      <c r="AM15" s="110"/>
      <c r="AN15" s="111" t="str">
        <f>C16</f>
        <v>R-SH_Apt_ELC_N1</v>
      </c>
      <c r="AO15" s="111" t="str">
        <f>D16</f>
        <v>Residential Electric Heater - New 1 SH</v>
      </c>
      <c r="AP15" s="110" t="s">
        <v>13</v>
      </c>
      <c r="AQ15" s="110" t="s">
        <v>183</v>
      </c>
      <c r="AR15" s="110"/>
      <c r="AS15" s="110" t="s">
        <v>75</v>
      </c>
    </row>
    <row r="16" spans="3:45" ht="15" x14ac:dyDescent="0.25">
      <c r="C16" s="96" t="str">
        <f>"R-SH_Apt"&amp;"_"&amp;RIGHT(F16,3)&amp;"_N1"</f>
        <v>R-SH_Apt_ELC_N1</v>
      </c>
      <c r="D16" s="80" t="s">
        <v>107</v>
      </c>
      <c r="E16" s="80"/>
      <c r="F16" s="121" t="s">
        <v>156</v>
      </c>
      <c r="G16" s="121"/>
      <c r="H16" s="81" t="s">
        <v>133</v>
      </c>
      <c r="I16" s="249">
        <v>1</v>
      </c>
      <c r="J16" s="250">
        <v>1</v>
      </c>
      <c r="K16" s="250">
        <v>1</v>
      </c>
      <c r="L16" s="251">
        <v>1</v>
      </c>
      <c r="M16" s="74"/>
      <c r="N16" s="75"/>
      <c r="O16" s="75"/>
      <c r="P16" s="76"/>
      <c r="Q16" s="74"/>
      <c r="R16" s="75"/>
      <c r="S16" s="75"/>
      <c r="T16" s="76"/>
      <c r="U16" s="121">
        <v>20</v>
      </c>
      <c r="V16" s="78"/>
      <c r="W16" s="79">
        <f>(JRC_Data!BB48/1000)*($V$149/$V$151)</f>
        <v>3.9173553719008263</v>
      </c>
      <c r="X16" s="79">
        <f>(JRC_Data!BC48/1000)*($V$149/$V$151)</f>
        <v>3.9173553719008263</v>
      </c>
      <c r="Y16" s="79">
        <f>(JRC_Data!BD48/1000)*($V$149/$V$151)</f>
        <v>3.9173553719008263</v>
      </c>
      <c r="Z16" s="79">
        <f>(JRC_Data!BE48/1000)*($V$149/$V$151)</f>
        <v>3.9173553719008263</v>
      </c>
      <c r="AA16" s="82">
        <f>JRC_Data!BL48/1000</f>
        <v>0.05</v>
      </c>
      <c r="AB16" s="83"/>
      <c r="AC16" s="84"/>
      <c r="AD16" s="84"/>
      <c r="AE16" s="84"/>
      <c r="AF16" s="84"/>
      <c r="AG16" s="84"/>
      <c r="AH16" s="82">
        <f>31.536*(AK16/1000)</f>
        <v>0.47304000000000002</v>
      </c>
      <c r="AI16" s="83"/>
      <c r="AJ16" s="83">
        <v>2019</v>
      </c>
      <c r="AK16" s="83">
        <v>15</v>
      </c>
      <c r="AM16" s="104"/>
      <c r="AN16" s="103" t="str">
        <f>C18</f>
        <v>R-SH_Apt_ELC_HPN1</v>
      </c>
      <c r="AO16" s="103" t="str">
        <f>D18</f>
        <v>Residential Electric Heat Pump - Air to Air - SH</v>
      </c>
      <c r="AP16" s="104" t="s">
        <v>13</v>
      </c>
      <c r="AQ16" s="104" t="s">
        <v>183</v>
      </c>
      <c r="AR16" s="104"/>
      <c r="AS16" s="104" t="s">
        <v>75</v>
      </c>
    </row>
    <row r="17" spans="3:45" ht="15" x14ac:dyDescent="0.25">
      <c r="C17" s="33" t="s">
        <v>293</v>
      </c>
      <c r="D17" s="33"/>
      <c r="E17" s="33"/>
      <c r="F17" s="34"/>
      <c r="G17" s="34"/>
      <c r="H17" s="34"/>
      <c r="I17" s="35"/>
      <c r="J17" s="33">
        <f>$I$18*J18</f>
        <v>1.0666666666666667</v>
      </c>
      <c r="K17" s="33">
        <f>$I$18*K18</f>
        <v>1.2333333333333334</v>
      </c>
      <c r="L17" s="33">
        <f>$I$18*L18</f>
        <v>1.3333333333333333</v>
      </c>
      <c r="M17" s="35"/>
      <c r="N17" s="35"/>
      <c r="O17" s="35"/>
      <c r="P17" s="35"/>
      <c r="Q17" s="35"/>
      <c r="R17" s="35"/>
      <c r="S17" s="35"/>
      <c r="T17" s="35"/>
      <c r="U17" s="34"/>
      <c r="V17" s="34"/>
      <c r="W17" s="33"/>
      <c r="X17" s="33"/>
      <c r="Y17" s="33"/>
      <c r="Z17" s="33"/>
      <c r="AA17" s="33"/>
      <c r="AB17" s="34"/>
      <c r="AC17" s="36"/>
      <c r="AD17" s="36"/>
      <c r="AE17" s="36"/>
      <c r="AF17" s="36"/>
      <c r="AG17" s="36"/>
      <c r="AH17" s="33"/>
      <c r="AI17" s="34"/>
      <c r="AJ17" s="34"/>
      <c r="AK17" s="34"/>
      <c r="AM17" s="106"/>
      <c r="AN17" s="105" t="str">
        <f>C19</f>
        <v>R-HC_Apt_ELC_HPN1</v>
      </c>
      <c r="AO17" s="105" t="str">
        <f>D19</f>
        <v>Residential Electric Heat Pump - Air to Air - SH + SC</v>
      </c>
      <c r="AP17" s="106" t="s">
        <v>13</v>
      </c>
      <c r="AQ17" s="106" t="s">
        <v>183</v>
      </c>
      <c r="AR17" s="106"/>
      <c r="AS17" s="106" t="s">
        <v>75</v>
      </c>
    </row>
    <row r="18" spans="3:45" ht="15" x14ac:dyDescent="0.25">
      <c r="C18" s="19" t="str">
        <f>"R-SH_Apt"&amp;"_"&amp;RIGHT(F18,3)&amp;"_HPN1"</f>
        <v>R-SH_Apt_ELC_HPN1</v>
      </c>
      <c r="D18" s="20" t="s">
        <v>109</v>
      </c>
      <c r="E18" s="20"/>
      <c r="F18" s="89" t="s">
        <v>156</v>
      </c>
      <c r="G18" s="89" t="s">
        <v>584</v>
      </c>
      <c r="H18" s="56" t="s">
        <v>133</v>
      </c>
      <c r="I18" s="19">
        <v>1</v>
      </c>
      <c r="J18" s="20">
        <f>JRC_Data!AD16/JRC_Data!$AC$16</f>
        <v>1.0666666666666667</v>
      </c>
      <c r="K18" s="20">
        <f>JRC_Data!AE16/JRC_Data!$AC$16</f>
        <v>1.2333333333333334</v>
      </c>
      <c r="L18" s="56">
        <f>JRC_Data!AF16/JRC_Data!$AC$16</f>
        <v>1.3333333333333333</v>
      </c>
      <c r="M18" s="19"/>
      <c r="N18" s="20"/>
      <c r="O18" s="20"/>
      <c r="P18" s="56"/>
      <c r="Q18" s="19"/>
      <c r="R18" s="20"/>
      <c r="S18" s="20"/>
      <c r="T18" s="56"/>
      <c r="U18" s="52">
        <v>20</v>
      </c>
      <c r="V18" s="89"/>
      <c r="W18" s="40">
        <f>(JRC_Data!BB16/1000)*($V$149/$V$152)</f>
        <v>2.1281632653061227</v>
      </c>
      <c r="X18" s="40">
        <f>(JRC_Data!BC16/1000)*($V$149/$V$152)</f>
        <v>2.0314285714285716</v>
      </c>
      <c r="Y18" s="40">
        <f>(JRC_Data!BD16/1000)*($V$149/$V$152)</f>
        <v>1.8379591836734692</v>
      </c>
      <c r="Z18" s="40">
        <f>(JRC_Data!BE16/1000)*($V$149/$V$152)</f>
        <v>1.7412244897959184</v>
      </c>
      <c r="AA18" s="40">
        <f>JRC_Data!BL16/1000</f>
        <v>3.4000000000000002E-2</v>
      </c>
      <c r="AB18" s="88"/>
      <c r="AC18" s="260"/>
      <c r="AD18" s="260"/>
      <c r="AE18" s="260"/>
      <c r="AF18" s="260"/>
      <c r="AG18" s="260"/>
      <c r="AH18" s="85">
        <f t="shared" ref="AH18:AH23" si="14">31.536*(AK18/1000)</f>
        <v>0.15768000000000001</v>
      </c>
      <c r="AI18" s="88"/>
      <c r="AJ18" s="88">
        <v>2100</v>
      </c>
      <c r="AK18" s="88">
        <v>5</v>
      </c>
      <c r="AM18" s="106"/>
      <c r="AN18" s="105" t="str">
        <f>C20</f>
        <v>R-SH_Apt_ELC_HPN2</v>
      </c>
      <c r="AO18" s="105" t="str">
        <f>D20</f>
        <v>Residential Electric Heat Pump - Air to Water - SH</v>
      </c>
      <c r="AP18" s="106" t="s">
        <v>13</v>
      </c>
      <c r="AQ18" s="106" t="s">
        <v>183</v>
      </c>
      <c r="AR18" s="106"/>
      <c r="AS18" s="106" t="s">
        <v>75</v>
      </c>
    </row>
    <row r="19" spans="3:45" ht="15" x14ac:dyDescent="0.25">
      <c r="C19" s="22" t="str">
        <f>"R-HC_Apt"&amp;"_"&amp;RIGHT(F19,3)&amp;"_HPN1"</f>
        <v>R-HC_Apt_ELC_HPN1</v>
      </c>
      <c r="D19" s="23" t="s">
        <v>110</v>
      </c>
      <c r="E19" s="23"/>
      <c r="F19" s="24" t="s">
        <v>156</v>
      </c>
      <c r="G19" s="24" t="s">
        <v>584</v>
      </c>
      <c r="H19" s="57" t="s">
        <v>275</v>
      </c>
      <c r="I19" s="22">
        <v>1</v>
      </c>
      <c r="J19" s="23">
        <f>JRC_Data!AD16/JRC_Data!$AC$16</f>
        <v>1.0666666666666667</v>
      </c>
      <c r="K19" s="23">
        <f>JRC_Data!AE16/JRC_Data!$AC$16</f>
        <v>1.2333333333333334</v>
      </c>
      <c r="L19" s="57">
        <f>JRC_Data!AF16/JRC_Data!$AC$16</f>
        <v>1.3333333333333333</v>
      </c>
      <c r="M19" s="22">
        <v>1</v>
      </c>
      <c r="N19" s="23">
        <f>JRC_Data!AD16/JRC_Data!$AC$16</f>
        <v>1.0666666666666667</v>
      </c>
      <c r="O19" s="23">
        <f>JRC_Data!AE16/JRC_Data!$AC$16</f>
        <v>1.2333333333333334</v>
      </c>
      <c r="P19" s="57">
        <f>JRC_Data!AF16/JRC_Data!$AC$16</f>
        <v>1.3333333333333333</v>
      </c>
      <c r="Q19" s="22"/>
      <c r="R19" s="23"/>
      <c r="S19" s="23"/>
      <c r="T19" s="57"/>
      <c r="U19" s="53">
        <v>20</v>
      </c>
      <c r="V19" s="24"/>
      <c r="W19" s="22">
        <f>(JRC_Data!BB16/1000)*($V$150/$V$152)</f>
        <v>2.1461224489795923</v>
      </c>
      <c r="X19" s="22">
        <f>(JRC_Data!BC16/1000)*($V$150/$V$152)</f>
        <v>2.0485714285714289</v>
      </c>
      <c r="Y19" s="22">
        <f>(JRC_Data!BD16/1000)*($V$150/$V$152)</f>
        <v>1.8534693877551021</v>
      </c>
      <c r="Z19" s="22">
        <f>(JRC_Data!BE16/1000)*($V$150/$V$152)</f>
        <v>1.755918367346939</v>
      </c>
      <c r="AA19" s="22">
        <f>JRC_Data!BL16/1000</f>
        <v>3.4000000000000002E-2</v>
      </c>
      <c r="AB19" s="66"/>
      <c r="AC19" s="73"/>
      <c r="AD19" s="73"/>
      <c r="AE19" s="73"/>
      <c r="AF19" s="73"/>
      <c r="AG19" s="73"/>
      <c r="AH19" s="63">
        <f t="shared" si="14"/>
        <v>0.15768000000000001</v>
      </c>
      <c r="AI19" s="66"/>
      <c r="AJ19" s="66">
        <v>2100</v>
      </c>
      <c r="AK19" s="66">
        <v>5</v>
      </c>
      <c r="AM19" s="106"/>
      <c r="AN19" s="105" t="str">
        <f>C21</f>
        <v>R-SW_Apt_ELC_HPN1</v>
      </c>
      <c r="AO19" s="105" t="str">
        <f>D21</f>
        <v>Residential Electric Heat Pump - Air to Water - SH + WH</v>
      </c>
      <c r="AP19" s="106" t="s">
        <v>13</v>
      </c>
      <c r="AQ19" s="106" t="s">
        <v>183</v>
      </c>
      <c r="AR19" s="106"/>
      <c r="AS19" s="106" t="s">
        <v>75</v>
      </c>
    </row>
    <row r="20" spans="3:45" ht="15" x14ac:dyDescent="0.25">
      <c r="C20" s="40" t="str">
        <f>"R-SH_Apt"&amp;"_"&amp;RIGHT(F20,3)&amp;"_HPN2"</f>
        <v>R-SH_Apt_ELC_HPN2</v>
      </c>
      <c r="D20" s="29" t="s">
        <v>111</v>
      </c>
      <c r="E20" s="29" t="s">
        <v>726</v>
      </c>
      <c r="F20" s="30" t="s">
        <v>156</v>
      </c>
      <c r="G20" s="30" t="s">
        <v>584</v>
      </c>
      <c r="H20" s="58" t="s">
        <v>133</v>
      </c>
      <c r="I20" s="40">
        <f>JRC_Data!AC18/JRC_Data!$AC$16</f>
        <v>1</v>
      </c>
      <c r="J20" s="29">
        <f>JRC_Data!AD18/JRC_Data!$AC$16</f>
        <v>1.0999999999999999</v>
      </c>
      <c r="K20" s="29">
        <f>JRC_Data!AE18/JRC_Data!$AC$16</f>
        <v>1.2333333333333334</v>
      </c>
      <c r="L20" s="58">
        <f>JRC_Data!AF18/JRC_Data!$AC$16</f>
        <v>1.3333333333333333</v>
      </c>
      <c r="M20" s="40"/>
      <c r="N20" s="29"/>
      <c r="O20" s="29"/>
      <c r="P20" s="58"/>
      <c r="Q20" s="40"/>
      <c r="R20" s="29"/>
      <c r="S20" s="29"/>
      <c r="T20" s="58"/>
      <c r="U20" s="54">
        <v>20</v>
      </c>
      <c r="V20" s="30"/>
      <c r="W20" s="379">
        <v>7.5039999999999996</v>
      </c>
      <c r="X20" s="379">
        <f>W20*0.91</f>
        <v>6.82864</v>
      </c>
      <c r="Y20" s="379">
        <f>X20*0.91</f>
        <v>6.2140624000000004</v>
      </c>
      <c r="Z20" s="379">
        <f>W20*0.82</f>
        <v>6.1532799999999996</v>
      </c>
      <c r="AA20" s="379">
        <v>0.1</v>
      </c>
      <c r="AB20" s="65"/>
      <c r="AC20" s="73"/>
      <c r="AD20" s="73"/>
      <c r="AE20" s="72"/>
      <c r="AF20" s="72"/>
      <c r="AG20" s="72"/>
      <c r="AH20" s="62">
        <f t="shared" si="14"/>
        <v>0.15768000000000001</v>
      </c>
      <c r="AI20" s="65"/>
      <c r="AJ20" s="65">
        <v>2019</v>
      </c>
      <c r="AK20" s="65">
        <v>5</v>
      </c>
      <c r="AM20" s="212"/>
      <c r="AN20" s="105" t="str">
        <f>C22</f>
        <v>R-SH_Apt_ELC_HPN3</v>
      </c>
      <c r="AO20" s="105" t="str">
        <f>D22</f>
        <v>Residential Electric Heat Pump - Ground to Water - SH</v>
      </c>
      <c r="AP20" s="106" t="s">
        <v>13</v>
      </c>
      <c r="AQ20" s="106" t="s">
        <v>183</v>
      </c>
      <c r="AR20" s="106"/>
      <c r="AS20" s="106" t="s">
        <v>75</v>
      </c>
    </row>
    <row r="21" spans="3:45" ht="15.75" thickBot="1" x14ac:dyDescent="0.3">
      <c r="C21" s="22" t="str">
        <f>"R-SW_Apt"&amp;"_"&amp;RIGHT(F21,3)&amp;"_HPN1"</f>
        <v>R-SW_Apt_ELC_HPN1</v>
      </c>
      <c r="D21" s="23" t="s">
        <v>112</v>
      </c>
      <c r="E21" s="23"/>
      <c r="F21" s="24" t="s">
        <v>156</v>
      </c>
      <c r="G21" s="24" t="s">
        <v>687</v>
      </c>
      <c r="H21" s="57" t="s">
        <v>274</v>
      </c>
      <c r="I21" s="22">
        <f>JRC_Data!AC18/JRC_Data!$AC$16</f>
        <v>1</v>
      </c>
      <c r="J21" s="23">
        <f>JRC_Data!AD18/JRC_Data!$AC$16</f>
        <v>1.0999999999999999</v>
      </c>
      <c r="K21" s="23">
        <f>JRC_Data!AE18/JRC_Data!$AC$16</f>
        <v>1.2333333333333334</v>
      </c>
      <c r="L21" s="57">
        <f>JRC_Data!AF18/JRC_Data!$AC$16</f>
        <v>1.3333333333333333</v>
      </c>
      <c r="M21" s="22"/>
      <c r="N21" s="23"/>
      <c r="O21" s="23"/>
      <c r="P21" s="57"/>
      <c r="Q21" s="22">
        <f>I21*0.7</f>
        <v>0.7</v>
      </c>
      <c r="R21" s="23">
        <f t="shared" ref="R21:T21" si="15">J21*0.7</f>
        <v>0.76999999999999991</v>
      </c>
      <c r="S21" s="23">
        <f t="shared" si="15"/>
        <v>0.86333333333333329</v>
      </c>
      <c r="T21" s="57">
        <f t="shared" si="15"/>
        <v>0.93333333333333324</v>
      </c>
      <c r="U21" s="53">
        <v>20</v>
      </c>
      <c r="V21" s="24"/>
      <c r="W21" s="380">
        <f>W20*($V$150/$V$149)</f>
        <v>7.5673248945147682</v>
      </c>
      <c r="X21" s="380">
        <f>X20*($V$150/$V$149)</f>
        <v>6.8862656540084393</v>
      </c>
      <c r="Y21" s="380">
        <f>Y20*($V$150/$V$149)</f>
        <v>6.2665017451476803</v>
      </c>
      <c r="Z21" s="380">
        <f>Z20*($V$150/$V$149)</f>
        <v>6.2052064135021103</v>
      </c>
      <c r="AA21" s="380">
        <v>0.1</v>
      </c>
      <c r="AB21" s="66"/>
      <c r="AC21" s="73"/>
      <c r="AD21" s="73"/>
      <c r="AE21" s="73"/>
      <c r="AF21" s="73"/>
      <c r="AG21" s="73"/>
      <c r="AH21" s="63">
        <f t="shared" si="14"/>
        <v>0.18921600000000002</v>
      </c>
      <c r="AI21" s="66"/>
      <c r="AJ21" s="66">
        <v>2019</v>
      </c>
      <c r="AK21" s="66">
        <v>6</v>
      </c>
      <c r="AM21" s="112"/>
      <c r="AN21" s="108" t="str">
        <f>C23</f>
        <v>R-HC_Apt_ELC_HPN2</v>
      </c>
      <c r="AO21" s="108" t="str">
        <f>D23</f>
        <v>Residential Electric Heat Pump - Ground to Water - SH + SC</v>
      </c>
      <c r="AP21" s="109" t="s">
        <v>13</v>
      </c>
      <c r="AQ21" s="109" t="s">
        <v>183</v>
      </c>
      <c r="AR21" s="109"/>
      <c r="AS21" s="109" t="s">
        <v>75</v>
      </c>
    </row>
    <row r="22" spans="3:45" ht="15" x14ac:dyDescent="0.25">
      <c r="C22" s="22" t="str">
        <f>"R-SH_Apt"&amp;"_"&amp;RIGHT(F22,3)&amp;"_HPN3"</f>
        <v>R-SH_Apt_ELC_HPN3</v>
      </c>
      <c r="D22" s="23" t="s">
        <v>114</v>
      </c>
      <c r="E22" s="23"/>
      <c r="F22" s="24" t="s">
        <v>156</v>
      </c>
      <c r="G22" s="24" t="s">
        <v>584</v>
      </c>
      <c r="H22" s="57" t="s">
        <v>133</v>
      </c>
      <c r="I22" s="40">
        <f>JRC_Data!AC20/JRC_Data!$AC$16</f>
        <v>1.0999999999999999</v>
      </c>
      <c r="J22" s="29">
        <f>JRC_Data!AD20/JRC_Data!$AC$16</f>
        <v>1.1666666666666667</v>
      </c>
      <c r="K22" s="29">
        <f>JRC_Data!AE20/JRC_Data!$AC$16</f>
        <v>1.3333333333333333</v>
      </c>
      <c r="L22" s="58">
        <f>JRC_Data!AF20/JRC_Data!$AC$16</f>
        <v>1.5</v>
      </c>
      <c r="M22" s="40"/>
      <c r="N22" s="29"/>
      <c r="O22" s="29"/>
      <c r="P22" s="58"/>
      <c r="Q22" s="40"/>
      <c r="R22" s="29"/>
      <c r="S22" s="29"/>
      <c r="T22" s="58"/>
      <c r="U22" s="54">
        <v>20</v>
      </c>
      <c r="V22" s="30"/>
      <c r="W22" s="40">
        <f>(JRC_Data!BB20/1000)*($V$149/$V$152)</f>
        <v>13.542857142857143</v>
      </c>
      <c r="X22" s="40">
        <f>(JRC_Data!BC20/1000)*($V$149/$V$152)</f>
        <v>12.575510204081631</v>
      </c>
      <c r="Y22" s="40">
        <f>(JRC_Data!BD20/1000)*($V$149/$V$152)</f>
        <v>11.608163265306121</v>
      </c>
      <c r="Z22" s="40">
        <f>(JRC_Data!BE20/1000)*($V$149/$V$152)</f>
        <v>10.640816326530611</v>
      </c>
      <c r="AA22" s="40">
        <f>JRC_Data!BL20/1000</f>
        <v>0.2</v>
      </c>
      <c r="AB22" s="65"/>
      <c r="AC22" s="72"/>
      <c r="AD22" s="72"/>
      <c r="AE22" s="72"/>
      <c r="AF22" s="72"/>
      <c r="AG22" s="72"/>
      <c r="AH22" s="62">
        <f t="shared" si="14"/>
        <v>0.15768000000000001</v>
      </c>
      <c r="AI22" s="65"/>
      <c r="AJ22" s="65">
        <v>2019</v>
      </c>
      <c r="AK22" s="65">
        <v>5</v>
      </c>
      <c r="AM22" s="113"/>
      <c r="AN22" s="103" t="str">
        <f>C25</f>
        <v>R-SW_Apt_GAS_HPN1</v>
      </c>
      <c r="AO22" s="103" t="str">
        <f>D25</f>
        <v>Residential Gas Absorption Heat Pump - Air to Water - SH + WH</v>
      </c>
      <c r="AP22" s="104" t="s">
        <v>13</v>
      </c>
      <c r="AQ22" s="104" t="s">
        <v>183</v>
      </c>
      <c r="AR22" s="104"/>
      <c r="AS22" s="104" t="s">
        <v>75</v>
      </c>
    </row>
    <row r="23" spans="3:45" ht="15.75" thickBot="1" x14ac:dyDescent="0.3">
      <c r="C23" s="94" t="str">
        <f>"R-HC_Apt"&amp;"_"&amp;RIGHT(F23,3)&amp;"_HPN2"</f>
        <v>R-HC_Apt_ELC_HPN2</v>
      </c>
      <c r="D23" s="90" t="s">
        <v>115</v>
      </c>
      <c r="E23" s="90"/>
      <c r="F23" s="119" t="s">
        <v>156</v>
      </c>
      <c r="G23" s="119" t="s">
        <v>584</v>
      </c>
      <c r="H23" s="95" t="s">
        <v>275</v>
      </c>
      <c r="I23" s="22">
        <f>JRC_Data!AC20/JRC_Data!$AC$16</f>
        <v>1.0999999999999999</v>
      </c>
      <c r="J23" s="23">
        <f>JRC_Data!AD20/JRC_Data!$AC$16</f>
        <v>1.1666666666666667</v>
      </c>
      <c r="K23" s="23">
        <f>JRC_Data!AE20/JRC_Data!$AC$16</f>
        <v>1.3333333333333333</v>
      </c>
      <c r="L23" s="57">
        <f>JRC_Data!AF20/JRC_Data!$AC$16</f>
        <v>1.5</v>
      </c>
      <c r="M23" s="22">
        <v>1</v>
      </c>
      <c r="N23" s="23">
        <f>JRC_Data!AD20/JRC_Data!$AC$16</f>
        <v>1.1666666666666667</v>
      </c>
      <c r="O23" s="23">
        <f>JRC_Data!AE20/JRC_Data!$AC$16</f>
        <v>1.3333333333333333</v>
      </c>
      <c r="P23" s="57">
        <f>JRC_Data!AF20/JRC_Data!$AC$16</f>
        <v>1.5</v>
      </c>
      <c r="Q23" s="22"/>
      <c r="R23" s="23"/>
      <c r="S23" s="23"/>
      <c r="T23" s="57"/>
      <c r="U23" s="53">
        <v>20</v>
      </c>
      <c r="V23" s="24"/>
      <c r="W23" s="22">
        <f>(JRC_Data!BB20/1000)*($V$150/$V$152)</f>
        <v>13.657142857142858</v>
      </c>
      <c r="X23" s="22">
        <f>(JRC_Data!BC20/1000)*($V$150/$V$152)</f>
        <v>12.681632653061225</v>
      </c>
      <c r="Y23" s="22">
        <f>(JRC_Data!BD20/1000)*($V$150/$V$152)</f>
        <v>11.706122448979592</v>
      </c>
      <c r="Z23" s="22">
        <f>(JRC_Data!BE20/1000)*($V$150/$V$152)</f>
        <v>10.73061224489796</v>
      </c>
      <c r="AA23" s="22">
        <f>JRC_Data!BL20/1000</f>
        <v>0.2</v>
      </c>
      <c r="AB23" s="66"/>
      <c r="AC23" s="73"/>
      <c r="AD23" s="73"/>
      <c r="AE23" s="73"/>
      <c r="AF23" s="73"/>
      <c r="AG23" s="73"/>
      <c r="AH23" s="63">
        <f t="shared" si="14"/>
        <v>0.15768000000000001</v>
      </c>
      <c r="AI23" s="66"/>
      <c r="AJ23" s="66">
        <v>2019</v>
      </c>
      <c r="AK23" s="66">
        <v>5</v>
      </c>
      <c r="AM23" s="213"/>
      <c r="AN23" s="108" t="str">
        <f>C26</f>
        <v>R-SW_Apt_GAS_HPN2</v>
      </c>
      <c r="AO23" s="108" t="str">
        <f>D26</f>
        <v>Residential Gas Engine Heat Pump - Air to Water - SH + WH</v>
      </c>
      <c r="AP23" s="109" t="s">
        <v>13</v>
      </c>
      <c r="AQ23" s="109" t="s">
        <v>183</v>
      </c>
      <c r="AR23" s="109"/>
      <c r="AS23" s="109" t="s">
        <v>75</v>
      </c>
    </row>
    <row r="24" spans="3:45" ht="15.75" thickBot="1" x14ac:dyDescent="0.3">
      <c r="C24" s="33" t="s">
        <v>294</v>
      </c>
      <c r="D24" s="33"/>
      <c r="E24" s="33"/>
      <c r="F24" s="34"/>
      <c r="G24" s="34"/>
      <c r="H24" s="3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4"/>
      <c r="V24" s="34"/>
      <c r="W24" s="33"/>
      <c r="X24" s="33"/>
      <c r="Y24" s="33"/>
      <c r="Z24" s="33"/>
      <c r="AA24" s="33"/>
      <c r="AB24" s="87"/>
      <c r="AC24" s="36"/>
      <c r="AD24" s="36"/>
      <c r="AE24" s="36"/>
      <c r="AF24" s="36"/>
      <c r="AG24" s="36"/>
      <c r="AH24" s="33"/>
      <c r="AI24" s="34"/>
      <c r="AJ24" s="34"/>
      <c r="AK24" s="34"/>
      <c r="AM24" s="214"/>
      <c r="AN24" s="111" t="str">
        <f>C28</f>
        <v>R-SW_Apt_GAS_HHPN1</v>
      </c>
      <c r="AO24" s="111" t="str">
        <f>D28</f>
        <v>Residential Gas Hybrid Heat Pump - Air to Water - SH + WH</v>
      </c>
      <c r="AP24" s="110" t="s">
        <v>13</v>
      </c>
      <c r="AQ24" s="110" t="s">
        <v>183</v>
      </c>
      <c r="AR24" s="110"/>
      <c r="AS24" s="110" t="s">
        <v>75</v>
      </c>
    </row>
    <row r="25" spans="3:45" ht="15" x14ac:dyDescent="0.25">
      <c r="C25" s="19" t="str">
        <f>"R-SW_Apt"&amp;"_"&amp;RIGHT(F25,3)&amp;"_HPN1"</f>
        <v>R-SW_Apt_GAS_HPN1</v>
      </c>
      <c r="D25" s="20" t="s">
        <v>116</v>
      </c>
      <c r="E25" s="29"/>
      <c r="F25" s="24" t="s">
        <v>721</v>
      </c>
      <c r="G25" s="89" t="s">
        <v>687</v>
      </c>
      <c r="H25" s="89" t="s">
        <v>274</v>
      </c>
      <c r="I25" s="379">
        <f>JRC_Data!AC28/0.81</f>
        <v>1.6666666666666667</v>
      </c>
      <c r="J25" s="379">
        <f>JRC_Data!AD28/0.81</f>
        <v>1.7901234567901232</v>
      </c>
      <c r="K25" s="379">
        <f>JRC_Data!AE28/0.81</f>
        <v>2.0987654320987654</v>
      </c>
      <c r="L25" s="379">
        <f>JRC_Data!AF28/0.81</f>
        <v>2.0987654320987654</v>
      </c>
      <c r="M25" s="46"/>
      <c r="N25" s="47"/>
      <c r="O25" s="47"/>
      <c r="P25" s="48"/>
      <c r="Q25" s="19">
        <f>I25*0.7</f>
        <v>1.1666666666666667</v>
      </c>
      <c r="R25" s="20">
        <f t="shared" ref="R25:T25" si="16">J25*0.7</f>
        <v>1.2530864197530862</v>
      </c>
      <c r="S25" s="20">
        <f t="shared" si="16"/>
        <v>1.4691358024691357</v>
      </c>
      <c r="T25" s="56">
        <f t="shared" si="16"/>
        <v>1.4691358024691357</v>
      </c>
      <c r="U25" s="89">
        <v>20</v>
      </c>
      <c r="V25" s="48"/>
      <c r="W25" s="19">
        <f>(JRC_Data!BB28/1000)*($V$150/$V$153)</f>
        <v>14.395366795366796</v>
      </c>
      <c r="X25" s="19">
        <f>(JRC_Data!BC28/1000)*($V$150/$V$153)</f>
        <v>13.472586872586874</v>
      </c>
      <c r="Y25" s="19">
        <f>(JRC_Data!BD28/1000)*($V$150/$V$153)</f>
        <v>11.627027027027028</v>
      </c>
      <c r="Z25" s="19">
        <f>(JRC_Data!BE28/1000)*($V$150/$V$153)</f>
        <v>11.627027027027028</v>
      </c>
      <c r="AA25" s="85">
        <f>JRC_Data!BL28/1000</f>
        <v>0.23499999999999999</v>
      </c>
      <c r="AB25" s="85"/>
      <c r="AC25" s="56"/>
      <c r="AD25" s="85"/>
      <c r="AE25" s="85"/>
      <c r="AF25" s="85"/>
      <c r="AG25" s="85"/>
      <c r="AH25" s="85">
        <f t="shared" ref="AH25:AH26" si="17">31.536*(AK25/1000)</f>
        <v>0.56764799999999993</v>
      </c>
      <c r="AI25" s="88"/>
      <c r="AJ25" s="88">
        <v>2019</v>
      </c>
      <c r="AK25" s="88">
        <v>18</v>
      </c>
      <c r="AM25" s="215"/>
      <c r="AN25" s="103" t="str">
        <f>C30</f>
        <v>R-SW_Apt_HET_N1</v>
      </c>
      <c r="AO25" s="103" t="str">
        <f>D30</f>
        <v>Residential District Heating Centralized - SH + WH</v>
      </c>
      <c r="AP25" s="104" t="s">
        <v>13</v>
      </c>
      <c r="AQ25" s="104" t="s">
        <v>183</v>
      </c>
      <c r="AR25" s="104"/>
      <c r="AS25" s="104" t="s">
        <v>75</v>
      </c>
    </row>
    <row r="26" spans="3:45" ht="15.75" thickBot="1" x14ac:dyDescent="0.3">
      <c r="C26" s="252" t="str">
        <f>"R-SW_Apt"&amp;"_"&amp;RIGHT(F26,3)&amp;"_HPN2"</f>
        <v>R-SW_Apt_GAS_HPN2</v>
      </c>
      <c r="D26" s="26" t="s">
        <v>117</v>
      </c>
      <c r="E26" s="23"/>
      <c r="F26" s="24" t="s">
        <v>721</v>
      </c>
      <c r="G26" s="27" t="s">
        <v>687</v>
      </c>
      <c r="H26" s="27" t="s">
        <v>274</v>
      </c>
      <c r="I26" s="380">
        <f>JRC_Data!AC30/0.9</f>
        <v>1.6666666666666665</v>
      </c>
      <c r="J26" s="380">
        <f>JRC_Data!AD30/0.9</f>
        <v>1.7222222222222223</v>
      </c>
      <c r="K26" s="380">
        <f>JRC_Data!AE30/0.9</f>
        <v>1.7222222222222223</v>
      </c>
      <c r="L26" s="380">
        <f>JRC_Data!AF30/0.9</f>
        <v>1.7777777777777779</v>
      </c>
      <c r="M26" s="49"/>
      <c r="N26" s="50"/>
      <c r="O26" s="50"/>
      <c r="P26" s="51"/>
      <c r="Q26" s="252">
        <f>I26*0.7</f>
        <v>1.1666666666666665</v>
      </c>
      <c r="R26" s="26">
        <f t="shared" ref="R26" si="18">J26*0.7</f>
        <v>1.2055555555555555</v>
      </c>
      <c r="S26" s="26">
        <f t="shared" ref="S26" si="19">K26*0.7</f>
        <v>1.2055555555555555</v>
      </c>
      <c r="T26" s="59">
        <f t="shared" ref="T26" si="20">L26*0.7</f>
        <v>1.2444444444444445</v>
      </c>
      <c r="U26" s="27">
        <v>15</v>
      </c>
      <c r="V26" s="51"/>
      <c r="W26" s="252">
        <f>(JRC_Data!BB30/1000)*($V$150/$V$153)</f>
        <v>43.832046332046332</v>
      </c>
      <c r="X26" s="252">
        <f>(JRC_Data!BC30/1000)*($V$150/$V$153)</f>
        <v>43.832046332046332</v>
      </c>
      <c r="Y26" s="252">
        <f>(JRC_Data!BD30/1000)*($V$150/$V$153)</f>
        <v>43.832046332046332</v>
      </c>
      <c r="Z26" s="252">
        <f>(JRC_Data!BE30/1000)*($V$150/$V$153)</f>
        <v>43.832046332046332</v>
      </c>
      <c r="AA26" s="64">
        <f>JRC_Data!BL30/1000</f>
        <v>0.23499999999999999</v>
      </c>
      <c r="AB26" s="64"/>
      <c r="AC26" s="59"/>
      <c r="AD26" s="64"/>
      <c r="AE26" s="64"/>
      <c r="AF26" s="64"/>
      <c r="AG26" s="64"/>
      <c r="AH26" s="64">
        <f t="shared" si="17"/>
        <v>0.56764799999999993</v>
      </c>
      <c r="AI26" s="67"/>
      <c r="AJ26" s="67">
        <v>2019</v>
      </c>
      <c r="AK26" s="67">
        <v>18</v>
      </c>
      <c r="AM26" s="114"/>
      <c r="AN26" s="108" t="str">
        <f>C31</f>
        <v>R-SW_Apt_HET_N2</v>
      </c>
      <c r="AO26" s="108" t="str">
        <f>D31</f>
        <v>Residential District Heating Decentralized - SH + WH</v>
      </c>
      <c r="AP26" s="109" t="s">
        <v>13</v>
      </c>
      <c r="AQ26" s="109" t="s">
        <v>183</v>
      </c>
      <c r="AR26" s="109"/>
      <c r="AS26" s="109" t="s">
        <v>75</v>
      </c>
    </row>
    <row r="27" spans="3:45" ht="15" x14ac:dyDescent="0.25">
      <c r="C27" s="33" t="s">
        <v>295</v>
      </c>
      <c r="D27" s="33"/>
      <c r="E27" s="33"/>
      <c r="F27" s="34"/>
      <c r="G27" s="34"/>
      <c r="H27" s="34"/>
      <c r="I27" s="34"/>
      <c r="J27" s="34"/>
      <c r="K27" s="34"/>
      <c r="L27" s="34"/>
      <c r="M27" s="34"/>
      <c r="N27" s="35"/>
      <c r="O27" s="35"/>
      <c r="P27" s="35"/>
      <c r="Q27" s="35"/>
      <c r="R27" s="35"/>
      <c r="S27" s="35"/>
      <c r="T27" s="35"/>
      <c r="U27" s="34"/>
      <c r="V27" s="34"/>
      <c r="W27" s="33"/>
      <c r="X27" s="33"/>
      <c r="Y27" s="33"/>
      <c r="Z27" s="33"/>
      <c r="AA27" s="33"/>
      <c r="AB27" s="34"/>
      <c r="AC27" s="36"/>
      <c r="AD27" s="36"/>
      <c r="AE27" s="36"/>
      <c r="AF27" s="36"/>
      <c r="AG27" s="36"/>
      <c r="AH27" s="33"/>
      <c r="AI27" s="34"/>
      <c r="AJ27" s="34"/>
      <c r="AK27" s="34"/>
      <c r="AM27" s="215"/>
      <c r="AN27" s="103" t="str">
        <f>C33</f>
        <v>R-WH_Apt_ELC_N1</v>
      </c>
      <c r="AO27" s="103" t="str">
        <f>D33</f>
        <v xml:space="preserve">Residential Electric Water Heater </v>
      </c>
      <c r="AP27" s="104" t="s">
        <v>13</v>
      </c>
      <c r="AQ27" s="104" t="s">
        <v>183</v>
      </c>
      <c r="AR27" s="104"/>
      <c r="AS27" s="104" t="s">
        <v>75</v>
      </c>
    </row>
    <row r="28" spans="3:45" ht="15.75" thickBot="1" x14ac:dyDescent="0.3">
      <c r="C28" s="96" t="str">
        <f>"R-SW_Apt"&amp;"_"&amp;RIGHT(F28,3)&amp;"_HHPN1"</f>
        <v>R-SW_Apt_GAS_HHPN1</v>
      </c>
      <c r="D28" s="80" t="s">
        <v>125</v>
      </c>
      <c r="E28" s="80"/>
      <c r="F28" s="121" t="s">
        <v>722</v>
      </c>
      <c r="G28" s="121" t="s">
        <v>687</v>
      </c>
      <c r="H28" s="98" t="s">
        <v>274</v>
      </c>
      <c r="I28" s="379">
        <f>1*$AE$28+JRC_Data!AD18*(1.2-$AE$28)</f>
        <v>3.1549999999999998</v>
      </c>
      <c r="J28" s="379">
        <f>1*$AE$28+JRC_Data!AE18*(1.2-$AE$28)</f>
        <v>3.4950000000000001</v>
      </c>
      <c r="K28" s="379">
        <f>1*$AE$28+JRC_Data!AF18*(1.2-$AE$28)</f>
        <v>3.75</v>
      </c>
      <c r="L28" s="379">
        <f>1*$AE$28+JRC_Data!AG18*(1.2-$AE$28)</f>
        <v>3.75</v>
      </c>
      <c r="M28" s="49"/>
      <c r="N28" s="50"/>
      <c r="O28" s="50"/>
      <c r="P28" s="51"/>
      <c r="Q28" s="252">
        <f>I28*0.7</f>
        <v>2.2084999999999999</v>
      </c>
      <c r="R28" s="26">
        <f>J28*0.7</f>
        <v>2.4464999999999999</v>
      </c>
      <c r="S28" s="26">
        <f t="shared" ref="S28:T28" si="21">K28*0.7</f>
        <v>2.625</v>
      </c>
      <c r="T28" s="59">
        <f t="shared" si="21"/>
        <v>2.625</v>
      </c>
      <c r="U28" s="256">
        <v>20</v>
      </c>
      <c r="V28" s="257"/>
      <c r="W28" s="79">
        <f>(W21+W10)*0.8</f>
        <v>8.3046953586497896</v>
      </c>
      <c r="X28" s="79">
        <f t="shared" ref="X28:Z28" si="22">(X21+X10)*0.8</f>
        <v>7.7598479662447266</v>
      </c>
      <c r="Y28" s="79">
        <f t="shared" si="22"/>
        <v>7.2640368391561196</v>
      </c>
      <c r="Z28" s="79">
        <f t="shared" si="22"/>
        <v>7.2150005738396636</v>
      </c>
      <c r="AA28" s="261">
        <f>(JRC_Data!BL9+JRC_Data!BL18)*0.8/1000</f>
        <v>0.308</v>
      </c>
      <c r="AB28" s="83"/>
      <c r="AC28" s="84"/>
      <c r="AD28" s="84"/>
      <c r="AE28" s="84">
        <v>0.35</v>
      </c>
      <c r="AF28" s="73">
        <f>AE28</f>
        <v>0.35</v>
      </c>
      <c r="AG28" s="66">
        <v>5</v>
      </c>
      <c r="AH28" s="82">
        <f>31.536*(AK28/1000)</f>
        <v>0.32166719999999999</v>
      </c>
      <c r="AI28" s="83"/>
      <c r="AJ28" s="83">
        <v>2019</v>
      </c>
      <c r="AK28" s="83">
        <f>AK10*AE28+AK21*(1-AE28)</f>
        <v>10.199999999999999</v>
      </c>
      <c r="AM28" s="2"/>
      <c r="AN28" s="105" t="str">
        <f>C34</f>
        <v>R-WH_Apt_SOL_N1</v>
      </c>
      <c r="AO28" s="105" t="str">
        <f>D34</f>
        <v xml:space="preserve">Residential Solar Water Heater </v>
      </c>
      <c r="AP28" s="106" t="s">
        <v>13</v>
      </c>
      <c r="AQ28" s="106" t="s">
        <v>183</v>
      </c>
      <c r="AR28" s="106"/>
      <c r="AS28" s="106" t="s">
        <v>75</v>
      </c>
    </row>
    <row r="29" spans="3:45" ht="15.75" thickBot="1" x14ac:dyDescent="0.3">
      <c r="C29" s="33" t="s">
        <v>296</v>
      </c>
      <c r="D29" s="33"/>
      <c r="E29" s="33"/>
      <c r="F29" s="34"/>
      <c r="G29" s="34"/>
      <c r="H29" s="34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4"/>
      <c r="V29" s="34"/>
      <c r="W29" s="33" t="s">
        <v>542</v>
      </c>
      <c r="X29" s="33"/>
      <c r="Y29" s="33"/>
      <c r="Z29" s="33"/>
      <c r="AA29" s="33"/>
      <c r="AB29" s="34"/>
      <c r="AC29" s="36"/>
      <c r="AD29" s="36"/>
      <c r="AE29" s="36"/>
      <c r="AF29" s="36"/>
      <c r="AG29" s="36"/>
      <c r="AH29" s="33"/>
      <c r="AI29" s="34"/>
      <c r="AJ29" s="34"/>
      <c r="AK29" s="34"/>
      <c r="AM29" s="2"/>
      <c r="AN29" s="105" t="str">
        <f>C36</f>
        <v>R-SC_Apt_ELC_N1</v>
      </c>
      <c r="AO29" s="105" t="str">
        <f>D36</f>
        <v>Room Residential Electric Air Conditioning</v>
      </c>
      <c r="AP29" s="104" t="s">
        <v>13</v>
      </c>
      <c r="AQ29" s="104" t="s">
        <v>183</v>
      </c>
      <c r="AR29" s="104"/>
      <c r="AS29" s="104" t="s">
        <v>75</v>
      </c>
    </row>
    <row r="30" spans="3:45" ht="15" x14ac:dyDescent="0.25">
      <c r="C30" s="19" t="str">
        <f>"R-SW_Apt"&amp;"_"&amp;RIGHT(F30,3)&amp;"_N1"</f>
        <v>R-SW_Apt_HET_N1</v>
      </c>
      <c r="D30" s="20" t="s">
        <v>119</v>
      </c>
      <c r="E30" s="20"/>
      <c r="F30" s="89" t="s">
        <v>273</v>
      </c>
      <c r="G30" s="89"/>
      <c r="H30" s="21" t="s">
        <v>274</v>
      </c>
      <c r="I30" s="246">
        <v>1</v>
      </c>
      <c r="J30" s="247">
        <v>1</v>
      </c>
      <c r="K30" s="247">
        <v>1</v>
      </c>
      <c r="L30" s="248">
        <v>1</v>
      </c>
      <c r="M30" s="46"/>
      <c r="N30" s="47"/>
      <c r="O30" s="47"/>
      <c r="P30" s="48"/>
      <c r="Q30" s="246">
        <v>1</v>
      </c>
      <c r="R30" s="247">
        <v>1</v>
      </c>
      <c r="S30" s="247">
        <v>1</v>
      </c>
      <c r="T30" s="248">
        <v>1</v>
      </c>
      <c r="U30" s="52">
        <v>20</v>
      </c>
      <c r="V30" s="48"/>
      <c r="W30" s="19">
        <f>(JRC_Data!BB62/1000)*($V$150/$V$148)</f>
        <v>2.6555555555555554</v>
      </c>
      <c r="X30" s="19">
        <f>(JRC_Data!BC62/1000)*($V$150/$V$148)</f>
        <v>2.6555555555555554</v>
      </c>
      <c r="Y30" s="19">
        <f>(JRC_Data!BD62/1000)*($V$150/$V$148)</f>
        <v>2.6555555555555554</v>
      </c>
      <c r="Z30" s="19">
        <f>(JRC_Data!BE62/1000)*($V$150/$V$148)</f>
        <v>2.6555555555555554</v>
      </c>
      <c r="AA30" s="85">
        <f>JRC_Data!BL62/1000</f>
        <v>0.15</v>
      </c>
      <c r="AB30" s="85"/>
      <c r="AC30" s="85"/>
      <c r="AD30" s="85"/>
      <c r="AE30" s="85"/>
      <c r="AF30" s="85"/>
      <c r="AG30" s="85"/>
      <c r="AH30" s="85">
        <f t="shared" ref="AH30:AH31" si="23">31.536*(AK30/1000)</f>
        <v>0.56764799999999993</v>
      </c>
      <c r="AI30" s="88"/>
      <c r="AJ30" s="88">
        <v>2019</v>
      </c>
      <c r="AK30" s="88">
        <v>18</v>
      </c>
      <c r="AN30" s="105" t="str">
        <f>C37</f>
        <v>R-SC_Apt_ELC_N2</v>
      </c>
      <c r="AO30" s="105" t="str">
        <f>D37</f>
        <v>Centralized Residential Electric Air Conditioning</v>
      </c>
      <c r="AP30" s="104" t="s">
        <v>13</v>
      </c>
      <c r="AQ30" s="104" t="s">
        <v>183</v>
      </c>
      <c r="AR30" s="104"/>
      <c r="AS30" s="104" t="s">
        <v>75</v>
      </c>
    </row>
    <row r="31" spans="3:45" x14ac:dyDescent="0.2">
      <c r="C31" s="252" t="str">
        <f>"R-SW_Apt"&amp;"_"&amp;RIGHT(F31,3)&amp;"_N2"</f>
        <v>R-SW_Apt_HET_N2</v>
      </c>
      <c r="D31" s="26" t="s">
        <v>120</v>
      </c>
      <c r="E31" s="26"/>
      <c r="F31" s="27" t="s">
        <v>273</v>
      </c>
      <c r="G31" s="27"/>
      <c r="H31" s="28" t="s">
        <v>274</v>
      </c>
      <c r="I31" s="253">
        <v>1</v>
      </c>
      <c r="J31" s="254">
        <v>1</v>
      </c>
      <c r="K31" s="254">
        <v>1</v>
      </c>
      <c r="L31" s="255">
        <v>1</v>
      </c>
      <c r="M31" s="49"/>
      <c r="N31" s="50"/>
      <c r="O31" s="50"/>
      <c r="P31" s="51"/>
      <c r="Q31" s="253">
        <v>1</v>
      </c>
      <c r="R31" s="254">
        <v>1</v>
      </c>
      <c r="S31" s="254">
        <v>1</v>
      </c>
      <c r="T31" s="255">
        <v>1</v>
      </c>
      <c r="U31" s="55">
        <v>20</v>
      </c>
      <c r="V31" s="51"/>
      <c r="W31" s="252">
        <f>(JRC_Data!BB62/1000)*($V$150/$V$148)</f>
        <v>2.6555555555555554</v>
      </c>
      <c r="X31" s="252">
        <f>(JRC_Data!BC62/1000)*($V$150/$V$148)</f>
        <v>2.6555555555555554</v>
      </c>
      <c r="Y31" s="252">
        <f>(JRC_Data!BD62/1000)*($V$150/$V$148)</f>
        <v>2.6555555555555554</v>
      </c>
      <c r="Z31" s="252">
        <f>(JRC_Data!BE62/1000)*($V$150/$V$148)</f>
        <v>2.6555555555555554</v>
      </c>
      <c r="AA31" s="63">
        <f>JRC_Data!BL62/1000</f>
        <v>0.15</v>
      </c>
      <c r="AB31" s="63"/>
      <c r="AC31" s="63"/>
      <c r="AD31" s="63"/>
      <c r="AE31" s="63"/>
      <c r="AF31" s="63"/>
      <c r="AG31" s="63"/>
      <c r="AH31" s="64">
        <f t="shared" si="23"/>
        <v>0.56764799999999993</v>
      </c>
      <c r="AI31" s="67"/>
      <c r="AJ31" s="67">
        <v>2019</v>
      </c>
      <c r="AK31" s="67">
        <v>18</v>
      </c>
    </row>
    <row r="32" spans="3:45" x14ac:dyDescent="0.2">
      <c r="C32" s="33" t="s">
        <v>297</v>
      </c>
      <c r="D32" s="33"/>
      <c r="E32" s="33"/>
      <c r="F32" s="34"/>
      <c r="G32" s="34"/>
      <c r="H32" s="34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4"/>
      <c r="V32" s="34"/>
      <c r="W32" s="33"/>
      <c r="X32" s="33"/>
      <c r="Y32" s="33"/>
      <c r="Z32" s="33"/>
      <c r="AA32" s="33"/>
      <c r="AB32" s="34"/>
      <c r="AC32" s="36"/>
      <c r="AD32" s="36"/>
      <c r="AE32" s="36"/>
      <c r="AF32" s="36"/>
      <c r="AG32" s="36"/>
      <c r="AH32" s="33"/>
      <c r="AI32" s="34"/>
      <c r="AJ32" s="34"/>
      <c r="AK32" s="34"/>
    </row>
    <row r="33" spans="3:46" x14ac:dyDescent="0.2">
      <c r="C33" s="29" t="str">
        <f>"R-WH_Apt"&amp;"_"&amp;RIGHT(F33,3)&amp;"_N1"</f>
        <v>R-WH_Apt_ELC_N1</v>
      </c>
      <c r="D33" s="20" t="s">
        <v>122</v>
      </c>
      <c r="E33" s="20"/>
      <c r="F33" s="89" t="s">
        <v>156</v>
      </c>
      <c r="G33" s="89"/>
      <c r="H33" s="20" t="s">
        <v>135</v>
      </c>
      <c r="I33" s="46"/>
      <c r="J33" s="47"/>
      <c r="K33" s="47"/>
      <c r="L33" s="48"/>
      <c r="M33" s="46"/>
      <c r="N33" s="47"/>
      <c r="O33" s="47"/>
      <c r="P33" s="48"/>
      <c r="Q33" s="246">
        <v>1</v>
      </c>
      <c r="R33" s="247">
        <v>1</v>
      </c>
      <c r="S33" s="247">
        <v>1</v>
      </c>
      <c r="T33" s="248">
        <v>1</v>
      </c>
      <c r="U33" s="52">
        <v>30</v>
      </c>
      <c r="V33" s="48"/>
      <c r="W33" s="20">
        <f>(JRC_Data!BB48/1000)*($V$145/$V$146)</f>
        <v>3.6878868563919918</v>
      </c>
      <c r="X33" s="20">
        <f>(JRC_Data!BC48/1000)*($V$145/$V$146)</f>
        <v>3.6878868563919918</v>
      </c>
      <c r="Y33" s="20">
        <f>(JRC_Data!BD48/1000)*($V$145/$V$146)</f>
        <v>3.6878868563919918</v>
      </c>
      <c r="Z33" s="20">
        <f>(JRC_Data!BE48/1000)*($V$145/$V$146)</f>
        <v>3.6878868563919918</v>
      </c>
      <c r="AA33" s="85">
        <f>JRC_Data!BL48/1000</f>
        <v>0.05</v>
      </c>
      <c r="AB33" s="85"/>
      <c r="AC33" s="85"/>
      <c r="AD33" s="85"/>
      <c r="AE33" s="85"/>
      <c r="AF33" s="85"/>
      <c r="AG33" s="85"/>
      <c r="AH33" s="85">
        <f t="shared" ref="AH33:AH34" si="24">31.536*(AK33/1000)</f>
        <v>0.15768000000000001</v>
      </c>
      <c r="AI33" s="88"/>
      <c r="AJ33" s="88">
        <v>2019</v>
      </c>
      <c r="AK33" s="88">
        <v>5</v>
      </c>
    </row>
    <row r="34" spans="3:46" x14ac:dyDescent="0.2">
      <c r="C34" s="23" t="str">
        <f>"R-WH_Apt"&amp;"_"&amp;RIGHT(F34,3)&amp;"_N1"</f>
        <v>R-WH_Apt_SOL_N1</v>
      </c>
      <c r="D34" s="23" t="s">
        <v>123</v>
      </c>
      <c r="E34" s="23"/>
      <c r="F34" s="24" t="s">
        <v>288</v>
      </c>
      <c r="G34" s="24"/>
      <c r="H34" s="23" t="s">
        <v>135</v>
      </c>
      <c r="I34" s="44"/>
      <c r="J34" s="32"/>
      <c r="K34" s="32"/>
      <c r="L34" s="45"/>
      <c r="M34" s="44"/>
      <c r="N34" s="32"/>
      <c r="O34" s="32"/>
      <c r="P34" s="45"/>
      <c r="Q34" s="243">
        <v>1</v>
      </c>
      <c r="R34" s="244">
        <v>1</v>
      </c>
      <c r="S34" s="244">
        <v>1</v>
      </c>
      <c r="T34" s="245">
        <v>1</v>
      </c>
      <c r="U34" s="53">
        <v>25</v>
      </c>
      <c r="V34" s="57">
        <v>30</v>
      </c>
      <c r="W34" s="23">
        <f>(JRC_Data!BB45/1000)*($V$145/$V$146)</f>
        <v>4.9786472561291895</v>
      </c>
      <c r="X34" s="23">
        <f>(JRC_Data!BC45/1000)*($V$145/$V$146)</f>
        <v>4.7020557418997893</v>
      </c>
      <c r="Y34" s="23">
        <f>(JRC_Data!BD45/1000)*($V$145/$V$146)</f>
        <v>4.2410698848507904</v>
      </c>
      <c r="Z34" s="23">
        <f>(JRC_Data!BE45/1000)*($V$145/$V$146)</f>
        <v>3.4112953421625924</v>
      </c>
      <c r="AA34" s="85">
        <f>JRC_Data!BL45/1000</f>
        <v>6.2E-2</v>
      </c>
      <c r="AB34" s="63"/>
      <c r="AC34" s="63"/>
      <c r="AD34" s="63"/>
      <c r="AE34" s="63"/>
      <c r="AF34" s="63"/>
      <c r="AG34" s="63"/>
      <c r="AH34" s="63">
        <f t="shared" si="24"/>
        <v>0.15768000000000001</v>
      </c>
      <c r="AI34" s="66"/>
      <c r="AJ34" s="66">
        <v>2019</v>
      </c>
      <c r="AK34" s="66">
        <v>5</v>
      </c>
    </row>
    <row r="35" spans="3:46" x14ac:dyDescent="0.2">
      <c r="C35" s="33" t="s">
        <v>298</v>
      </c>
      <c r="D35" s="33"/>
      <c r="E35" s="33"/>
      <c r="F35" s="34"/>
      <c r="G35" s="34"/>
      <c r="H35" s="34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4"/>
      <c r="V35" s="34"/>
      <c r="W35" s="33"/>
      <c r="X35" s="33"/>
      <c r="Y35" s="33"/>
      <c r="Z35" s="33"/>
      <c r="AA35" s="33"/>
      <c r="AB35" s="34"/>
      <c r="AC35" s="36"/>
      <c r="AD35" s="36"/>
      <c r="AE35" s="36"/>
      <c r="AF35" s="36"/>
      <c r="AG35" s="36"/>
      <c r="AH35" s="33"/>
      <c r="AI35" s="34"/>
      <c r="AJ35" s="34"/>
      <c r="AK35" s="34"/>
    </row>
    <row r="36" spans="3:46" x14ac:dyDescent="0.2">
      <c r="C36" s="19" t="str">
        <f>"R-SC_Apt"&amp;"_"&amp;RIGHT(F36,3)&amp;"_N1"</f>
        <v>R-SC_Apt_ELC_N1</v>
      </c>
      <c r="D36" s="20" t="s">
        <v>544</v>
      </c>
      <c r="E36" s="20"/>
      <c r="F36" s="89" t="s">
        <v>156</v>
      </c>
      <c r="G36" s="89"/>
      <c r="H36" s="21" t="s">
        <v>134</v>
      </c>
      <c r="I36" s="246"/>
      <c r="J36" s="247"/>
      <c r="K36" s="247"/>
      <c r="L36" s="248"/>
      <c r="M36" s="19">
        <v>1</v>
      </c>
      <c r="N36" s="20">
        <f>JRC_Data!AD16/JRC_Data!$AC$16</f>
        <v>1.0666666666666667</v>
      </c>
      <c r="O36" s="20">
        <f>JRC_Data!AE16/JRC_Data!$AC$16</f>
        <v>1.2333333333333334</v>
      </c>
      <c r="P36" s="56">
        <f>JRC_Data!AF16/JRC_Data!$AC$16</f>
        <v>1.3333333333333333</v>
      </c>
      <c r="Q36" s="246"/>
      <c r="R36" s="247"/>
      <c r="S36" s="247"/>
      <c r="T36" s="248"/>
      <c r="U36" s="52">
        <v>20</v>
      </c>
      <c r="V36" s="48"/>
      <c r="W36" s="19">
        <f>(JRC_Data!BB16/1000)*($V$146/$V$152)</f>
        <v>1.8396671215443359</v>
      </c>
      <c r="X36" s="19">
        <f>(JRC_Data!BC16/1000)*($V$146/$V$152)</f>
        <v>1.756045888746866</v>
      </c>
      <c r="Y36" s="19">
        <f>(JRC_Data!BD16/1000)*($V$146/$V$152)</f>
        <v>1.5888034231519261</v>
      </c>
      <c r="Z36" s="19">
        <f>(JRC_Data!BE16/1000)*($V$146/$V$152)</f>
        <v>1.5051821903544564</v>
      </c>
      <c r="AA36" s="85">
        <f>JRC_Data!BL16/1000</f>
        <v>3.4000000000000002E-2</v>
      </c>
      <c r="AB36" s="85"/>
      <c r="AC36" s="85"/>
      <c r="AD36" s="85"/>
      <c r="AE36" s="85"/>
      <c r="AF36" s="85"/>
      <c r="AG36" s="85"/>
      <c r="AH36" s="85">
        <f t="shared" ref="AH36:AH37" si="25">31.536*(AK36/1000)</f>
        <v>0.15768000000000001</v>
      </c>
      <c r="AI36" s="88"/>
      <c r="AJ36" s="88">
        <v>2019</v>
      </c>
      <c r="AK36" s="88">
        <v>5</v>
      </c>
    </row>
    <row r="37" spans="3:46" ht="15" x14ac:dyDescent="0.25">
      <c r="C37" s="252" t="str">
        <f>"R-SC_Apt"&amp;"_"&amp;RIGHT(F37,3)&amp;"_N2"</f>
        <v>R-SC_Apt_ELC_N2</v>
      </c>
      <c r="D37" s="26" t="s">
        <v>545</v>
      </c>
      <c r="E37" s="26"/>
      <c r="F37" s="27" t="s">
        <v>156</v>
      </c>
      <c r="G37" s="27"/>
      <c r="H37" s="28" t="s">
        <v>134</v>
      </c>
      <c r="I37" s="253"/>
      <c r="J37" s="254"/>
      <c r="K37" s="254"/>
      <c r="L37" s="255"/>
      <c r="M37" s="252">
        <v>1</v>
      </c>
      <c r="N37" s="26">
        <f>JRC_Data!AI26/JRC_Data!$AH$26</f>
        <v>1.0333333333333334</v>
      </c>
      <c r="O37" s="26">
        <f>JRC_Data!AJ26/JRC_Data!$AH$26</f>
        <v>1.1333333333333333</v>
      </c>
      <c r="P37" s="59">
        <f>JRC_Data!AK26/JRC_Data!$AH$26</f>
        <v>1.1666666666666667</v>
      </c>
      <c r="Q37" s="253"/>
      <c r="R37" s="254"/>
      <c r="S37" s="254"/>
      <c r="T37" s="255"/>
      <c r="U37" s="55">
        <v>20</v>
      </c>
      <c r="V37" s="51"/>
      <c r="W37" s="252">
        <f>(JRC_Data!BB26/1000)</f>
        <v>1.875</v>
      </c>
      <c r="X37" s="252">
        <f>(JRC_Data!BC26/1000)</f>
        <v>1.78125</v>
      </c>
      <c r="Y37" s="252">
        <f>(JRC_Data!BD26/1000)</f>
        <v>1.59375</v>
      </c>
      <c r="Z37" s="252">
        <f>(JRC_Data!BE26/1000)</f>
        <v>1.5</v>
      </c>
      <c r="AA37" s="63">
        <f>JRC_Data!BL26/1000</f>
        <v>0.29443999999999998</v>
      </c>
      <c r="AB37" s="63"/>
      <c r="AC37" s="63"/>
      <c r="AD37" s="63"/>
      <c r="AE37" s="63"/>
      <c r="AF37" s="63"/>
      <c r="AG37" s="63"/>
      <c r="AH37" s="64">
        <f t="shared" si="25"/>
        <v>0.15768000000000001</v>
      </c>
      <c r="AI37" s="67"/>
      <c r="AJ37" s="67">
        <v>2019</v>
      </c>
      <c r="AK37" s="67">
        <v>5</v>
      </c>
      <c r="AM37" s="484" t="s">
        <v>669</v>
      </c>
      <c r="AN37" s="485"/>
      <c r="AO37" s="485"/>
      <c r="AP37" s="485"/>
      <c r="AQ37" s="485"/>
      <c r="AR37" s="485"/>
      <c r="AS37" s="485"/>
      <c r="AT37" s="486"/>
    </row>
    <row r="38" spans="3:46" ht="15.75" thickBot="1" x14ac:dyDescent="0.25">
      <c r="AM38" s="128" t="s">
        <v>670</v>
      </c>
      <c r="AN38" s="128" t="s">
        <v>671</v>
      </c>
      <c r="AO38" s="128" t="s">
        <v>672</v>
      </c>
      <c r="AP38" s="128" t="s">
        <v>673</v>
      </c>
      <c r="AQ38" s="128" t="s">
        <v>674</v>
      </c>
      <c r="AR38" s="128" t="s">
        <v>675</v>
      </c>
      <c r="AS38" s="128" t="s">
        <v>676</v>
      </c>
      <c r="AT38" s="128" t="s">
        <v>677</v>
      </c>
    </row>
    <row r="39" spans="3:46" ht="48.75" thickBot="1" x14ac:dyDescent="0.25">
      <c r="AM39" s="487" t="s">
        <v>678</v>
      </c>
      <c r="AN39" s="487" t="s">
        <v>679</v>
      </c>
      <c r="AO39" s="487" t="s">
        <v>680</v>
      </c>
      <c r="AP39" s="488" t="s">
        <v>673</v>
      </c>
      <c r="AQ39" s="488" t="s">
        <v>681</v>
      </c>
      <c r="AR39" s="488" t="s">
        <v>682</v>
      </c>
      <c r="AS39" s="488" t="s">
        <v>683</v>
      </c>
      <c r="AT39" s="488" t="s">
        <v>684</v>
      </c>
    </row>
    <row r="40" spans="3:46" x14ac:dyDescent="0.2">
      <c r="I40" s="5" t="s">
        <v>19</v>
      </c>
      <c r="AM40" s="489" t="str">
        <f>AK40&amp;"NRG"</f>
        <v>NRG</v>
      </c>
      <c r="AN40" s="489" t="s">
        <v>685</v>
      </c>
      <c r="AO40" s="489" t="s">
        <v>686</v>
      </c>
      <c r="AP40" s="490" t="s">
        <v>13</v>
      </c>
      <c r="AQ40" s="489" t="s">
        <v>472</v>
      </c>
      <c r="AR40" s="489"/>
      <c r="AS40" s="489" t="s">
        <v>472</v>
      </c>
      <c r="AT40" s="489" t="s">
        <v>472</v>
      </c>
    </row>
    <row r="41" spans="3:46" ht="45.75" thickBot="1" x14ac:dyDescent="0.25">
      <c r="C41" s="14" t="s">
        <v>21</v>
      </c>
      <c r="D41" s="15" t="s">
        <v>32</v>
      </c>
      <c r="E41" s="15" t="s">
        <v>725</v>
      </c>
      <c r="F41" s="14" t="s">
        <v>23</v>
      </c>
      <c r="G41" s="14" t="s">
        <v>582</v>
      </c>
      <c r="H41" s="14" t="s">
        <v>24</v>
      </c>
      <c r="I41" s="17" t="s">
        <v>238</v>
      </c>
      <c r="J41" s="17" t="s">
        <v>239</v>
      </c>
      <c r="K41" s="17" t="s">
        <v>240</v>
      </c>
      <c r="L41" s="17" t="s">
        <v>241</v>
      </c>
      <c r="M41" s="17" t="s">
        <v>242</v>
      </c>
      <c r="N41" s="17" t="s">
        <v>243</v>
      </c>
      <c r="O41" s="17" t="s">
        <v>244</v>
      </c>
      <c r="P41" s="17" t="s">
        <v>245</v>
      </c>
      <c r="Q41" s="17" t="s">
        <v>246</v>
      </c>
      <c r="R41" s="17" t="s">
        <v>247</v>
      </c>
      <c r="S41" s="17" t="s">
        <v>248</v>
      </c>
      <c r="T41" s="17" t="s">
        <v>249</v>
      </c>
      <c r="U41" s="18" t="s">
        <v>26</v>
      </c>
      <c r="V41" s="18" t="s">
        <v>76</v>
      </c>
      <c r="W41" s="17" t="s">
        <v>252</v>
      </c>
      <c r="X41" s="17" t="s">
        <v>88</v>
      </c>
      <c r="Y41" s="17" t="s">
        <v>89</v>
      </c>
      <c r="Z41" s="17" t="s">
        <v>90</v>
      </c>
      <c r="AA41" s="17" t="s">
        <v>61</v>
      </c>
      <c r="AB41" s="17" t="s">
        <v>62</v>
      </c>
      <c r="AC41" s="17" t="s">
        <v>302</v>
      </c>
      <c r="AD41" s="17" t="s">
        <v>303</v>
      </c>
      <c r="AE41" s="17" t="s">
        <v>304</v>
      </c>
      <c r="AF41" s="17" t="s">
        <v>720</v>
      </c>
      <c r="AG41" s="17" t="s">
        <v>254</v>
      </c>
      <c r="AH41" s="17" t="s">
        <v>77</v>
      </c>
      <c r="AI41" s="17" t="s">
        <v>289</v>
      </c>
      <c r="AJ41" s="17" t="s">
        <v>78</v>
      </c>
      <c r="AK41" s="17" t="s">
        <v>580</v>
      </c>
    </row>
    <row r="42" spans="3:46" ht="38.25" x14ac:dyDescent="0.2">
      <c r="C42" s="16" t="s">
        <v>79</v>
      </c>
      <c r="D42" s="16" t="s">
        <v>33</v>
      </c>
      <c r="E42" s="16"/>
      <c r="F42" s="16" t="s">
        <v>80</v>
      </c>
      <c r="G42" s="16" t="s">
        <v>583</v>
      </c>
      <c r="H42" s="16" t="s">
        <v>81</v>
      </c>
      <c r="I42" s="533" t="s">
        <v>82</v>
      </c>
      <c r="J42" s="534"/>
      <c r="K42" s="534"/>
      <c r="L42" s="535"/>
      <c r="M42" s="533" t="s">
        <v>83</v>
      </c>
      <c r="N42" s="534"/>
      <c r="O42" s="534"/>
      <c r="P42" s="535"/>
      <c r="Q42" s="533" t="s">
        <v>84</v>
      </c>
      <c r="R42" s="534"/>
      <c r="S42" s="534"/>
      <c r="T42" s="535"/>
      <c r="U42" s="533" t="s">
        <v>85</v>
      </c>
      <c r="V42" s="535"/>
      <c r="W42" s="527" t="s">
        <v>86</v>
      </c>
      <c r="X42" s="528"/>
      <c r="Y42" s="528"/>
      <c r="Z42" s="529"/>
      <c r="AA42" s="60"/>
      <c r="AB42" s="60"/>
      <c r="AC42" s="68" t="s">
        <v>215</v>
      </c>
      <c r="AD42" s="71" t="s">
        <v>215</v>
      </c>
      <c r="AE42" s="71" t="s">
        <v>215</v>
      </c>
      <c r="AF42" s="71" t="s">
        <v>215</v>
      </c>
      <c r="AG42" s="71" t="s">
        <v>253</v>
      </c>
      <c r="AH42" s="60" t="s">
        <v>66</v>
      </c>
      <c r="AI42" s="60" t="s">
        <v>87</v>
      </c>
      <c r="AJ42" s="60"/>
      <c r="AK42" s="60"/>
      <c r="AM42" s="10" t="s">
        <v>20</v>
      </c>
      <c r="AN42" s="11"/>
      <c r="AO42" s="11"/>
      <c r="AP42" s="11"/>
      <c r="AQ42" s="11"/>
      <c r="AR42" s="11"/>
      <c r="AS42" s="11"/>
    </row>
    <row r="43" spans="3:46" ht="15.75" thickBot="1" x14ac:dyDescent="0.25">
      <c r="C43" s="14" t="s">
        <v>301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372"/>
      <c r="V43" s="372"/>
      <c r="W43" s="372"/>
      <c r="X43" s="372"/>
      <c r="Y43" s="372"/>
      <c r="Z43" s="372"/>
      <c r="AA43" s="372"/>
      <c r="AB43" s="372"/>
      <c r="AC43" s="372"/>
      <c r="AD43" s="372"/>
      <c r="AE43" s="372"/>
      <c r="AF43" s="372"/>
      <c r="AG43" s="372"/>
      <c r="AH43" s="372"/>
      <c r="AI43" s="372"/>
      <c r="AJ43" s="372"/>
      <c r="AK43" s="372"/>
      <c r="AM43" s="12" t="s">
        <v>27</v>
      </c>
      <c r="AN43" s="12" t="s">
        <v>21</v>
      </c>
      <c r="AO43" s="12" t="s">
        <v>22</v>
      </c>
      <c r="AP43" s="12" t="s">
        <v>28</v>
      </c>
      <c r="AQ43" s="12" t="s">
        <v>29</v>
      </c>
      <c r="AR43" s="12" t="s">
        <v>30</v>
      </c>
      <c r="AS43" s="12" t="s">
        <v>67</v>
      </c>
    </row>
    <row r="44" spans="3:46" ht="33.75" x14ac:dyDescent="0.2">
      <c r="C44" s="37" t="s">
        <v>291</v>
      </c>
      <c r="D44" s="38"/>
      <c r="E44" s="38"/>
      <c r="F44" s="38"/>
      <c r="G44" s="38"/>
      <c r="H44" s="39"/>
      <c r="I44" s="530" t="s">
        <v>34</v>
      </c>
      <c r="J44" s="531"/>
      <c r="K44" s="531"/>
      <c r="L44" s="532"/>
      <c r="M44" s="531" t="s">
        <v>34</v>
      </c>
      <c r="N44" s="531"/>
      <c r="O44" s="531"/>
      <c r="P44" s="532"/>
      <c r="Q44" s="530" t="s">
        <v>34</v>
      </c>
      <c r="R44" s="531"/>
      <c r="S44" s="531"/>
      <c r="T44" s="532"/>
      <c r="U44" s="536" t="s">
        <v>68</v>
      </c>
      <c r="V44" s="537"/>
      <c r="W44" s="536" t="s">
        <v>525</v>
      </c>
      <c r="X44" s="538"/>
      <c r="Y44" s="538"/>
      <c r="Z44" s="537"/>
      <c r="AA44" s="373" t="s">
        <v>537</v>
      </c>
      <c r="AB44" s="373" t="s">
        <v>93</v>
      </c>
      <c r="AC44" s="374" t="s">
        <v>34</v>
      </c>
      <c r="AD44" s="373" t="s">
        <v>34</v>
      </c>
      <c r="AE44" s="373" t="s">
        <v>34</v>
      </c>
      <c r="AF44" s="373"/>
      <c r="AG44" s="373"/>
      <c r="AH44" s="375" t="s">
        <v>305</v>
      </c>
      <c r="AI44" s="373" t="s">
        <v>34</v>
      </c>
      <c r="AJ44" s="373" t="s">
        <v>94</v>
      </c>
      <c r="AK44" s="373" t="s">
        <v>581</v>
      </c>
      <c r="AM44" s="211" t="s">
        <v>69</v>
      </c>
      <c r="AN44" s="211" t="s">
        <v>70</v>
      </c>
      <c r="AO44" s="211" t="s">
        <v>33</v>
      </c>
      <c r="AP44" s="211" t="s">
        <v>71</v>
      </c>
      <c r="AQ44" s="211" t="s">
        <v>72</v>
      </c>
      <c r="AR44" s="211" t="s">
        <v>73</v>
      </c>
      <c r="AS44" s="211" t="s">
        <v>74</v>
      </c>
    </row>
    <row r="45" spans="3:46" ht="15" x14ac:dyDescent="0.25">
      <c r="C45" s="19" t="str">
        <f>"R-SH_Att"&amp;"_"&amp;RIGHT(F45,3)&amp;"_N1"</f>
        <v>R-SH_Att_KER_N1</v>
      </c>
      <c r="D45" s="20" t="s">
        <v>96</v>
      </c>
      <c r="E45" s="20"/>
      <c r="F45" s="89" t="s">
        <v>281</v>
      </c>
      <c r="G45" s="89"/>
      <c r="H45" s="56" t="s">
        <v>142</v>
      </c>
      <c r="I45" s="19">
        <v>1</v>
      </c>
      <c r="J45" s="20">
        <v>1</v>
      </c>
      <c r="K45" s="20">
        <v>1</v>
      </c>
      <c r="L45" s="56">
        <v>1</v>
      </c>
      <c r="M45" s="46"/>
      <c r="N45" s="47"/>
      <c r="O45" s="47"/>
      <c r="P45" s="48"/>
      <c r="Q45" s="19"/>
      <c r="R45" s="20"/>
      <c r="S45" s="20"/>
      <c r="T45" s="56"/>
      <c r="U45" s="54">
        <v>20</v>
      </c>
      <c r="V45" s="41"/>
      <c r="W45" s="379">
        <f>W49*1.3</f>
        <v>4.2250000000000005</v>
      </c>
      <c r="X45" s="379">
        <f t="shared" ref="X45:Z45" si="26">X49*1.3</f>
        <v>4.2250000000000005</v>
      </c>
      <c r="Y45" s="379">
        <f t="shared" si="26"/>
        <v>4.2250000000000005</v>
      </c>
      <c r="Z45" s="379">
        <f t="shared" si="26"/>
        <v>4.2250000000000005</v>
      </c>
      <c r="AA45" s="379">
        <v>0.12</v>
      </c>
      <c r="AB45" s="65"/>
      <c r="AC45" s="42"/>
      <c r="AD45" s="72"/>
      <c r="AE45" s="72"/>
      <c r="AF45" s="72"/>
      <c r="AG45" s="72"/>
      <c r="AH45" s="62">
        <f t="shared" ref="AH45:AH83" si="27">31.536*(AK45/1000)</f>
        <v>0.63072000000000006</v>
      </c>
      <c r="AI45" s="65"/>
      <c r="AJ45" s="65">
        <v>2019</v>
      </c>
      <c r="AK45" s="65">
        <v>20</v>
      </c>
      <c r="AM45" s="106" t="s">
        <v>31</v>
      </c>
      <c r="AN45" s="105" t="str">
        <f t="shared" ref="AN45:AN60" si="28">C45</f>
        <v>R-SH_Att_KER_N1</v>
      </c>
      <c r="AO45" s="105" t="str">
        <f t="shared" ref="AO45:AO60" si="29">D45</f>
        <v>Residential Kerosene Heating Oil - New 1 SH</v>
      </c>
      <c r="AP45" s="106" t="s">
        <v>13</v>
      </c>
      <c r="AQ45" s="106" t="s">
        <v>183</v>
      </c>
      <c r="AR45" s="106"/>
      <c r="AS45" s="106" t="s">
        <v>75</v>
      </c>
    </row>
    <row r="46" spans="3:46" ht="15" x14ac:dyDescent="0.25">
      <c r="C46" s="22" t="str">
        <f>"R-SW_Att"&amp;"_"&amp;RIGHT(F46,3)&amp;"_N1"</f>
        <v>R-SW_Att_KER_N1</v>
      </c>
      <c r="D46" s="23" t="s">
        <v>97</v>
      </c>
      <c r="E46" s="23"/>
      <c r="F46" s="24" t="s">
        <v>281</v>
      </c>
      <c r="G46" s="24"/>
      <c r="H46" s="57" t="s">
        <v>276</v>
      </c>
      <c r="I46" s="22">
        <v>1</v>
      </c>
      <c r="J46" s="23">
        <v>1</v>
      </c>
      <c r="K46" s="23">
        <v>1</v>
      </c>
      <c r="L46" s="57">
        <v>1</v>
      </c>
      <c r="M46" s="44"/>
      <c r="N46" s="32"/>
      <c r="O46" s="32"/>
      <c r="P46" s="45"/>
      <c r="Q46" s="22">
        <f>I46*0.7</f>
        <v>0.7</v>
      </c>
      <c r="R46" s="23">
        <f t="shared" ref="R46:R48" si="30">J46*0.7</f>
        <v>0.7</v>
      </c>
      <c r="S46" s="23">
        <f t="shared" ref="S46:S48" si="31">K46*0.7</f>
        <v>0.7</v>
      </c>
      <c r="T46" s="57">
        <f t="shared" ref="T46:T48" si="32">L46*0.7</f>
        <v>0.7</v>
      </c>
      <c r="U46" s="53">
        <v>20</v>
      </c>
      <c r="V46" s="25"/>
      <c r="W46" s="380">
        <f>W50*1.3</f>
        <v>4.2773760330578519</v>
      </c>
      <c r="X46" s="380">
        <f t="shared" ref="X46:Z46" si="33">X50*1.3</f>
        <v>4.2773760330578519</v>
      </c>
      <c r="Y46" s="380">
        <f t="shared" si="33"/>
        <v>4.2773760330578519</v>
      </c>
      <c r="Z46" s="380">
        <f t="shared" si="33"/>
        <v>4.2773760330578519</v>
      </c>
      <c r="AA46" s="380">
        <v>0.12</v>
      </c>
      <c r="AB46" s="66"/>
      <c r="AC46" s="44"/>
      <c r="AD46" s="73"/>
      <c r="AE46" s="73"/>
      <c r="AF46" s="73"/>
      <c r="AG46" s="73"/>
      <c r="AH46" s="63">
        <f t="shared" si="27"/>
        <v>0.7884000000000001</v>
      </c>
      <c r="AI46" s="66"/>
      <c r="AJ46" s="66">
        <v>2019</v>
      </c>
      <c r="AK46" s="66">
        <v>25</v>
      </c>
      <c r="AM46" s="106"/>
      <c r="AN46" s="105" t="str">
        <f t="shared" si="28"/>
        <v>R-SW_Att_KER_N1</v>
      </c>
      <c r="AO46" s="105" t="str">
        <f t="shared" si="29"/>
        <v>Residential Kerosene Heating Oil - New 2 SH + WH</v>
      </c>
      <c r="AP46" s="106" t="s">
        <v>13</v>
      </c>
      <c r="AQ46" s="106" t="s">
        <v>183</v>
      </c>
      <c r="AR46" s="106"/>
      <c r="AS46" s="106" t="s">
        <v>75</v>
      </c>
    </row>
    <row r="47" spans="3:46" ht="15" x14ac:dyDescent="0.25">
      <c r="C47" s="40" t="str">
        <f>"R-SW_Att"&amp;"_"&amp;RIGHT(F47,3)&amp;"_N2"</f>
        <v>R-SW_Att_KER_N2</v>
      </c>
      <c r="D47" s="29" t="s">
        <v>98</v>
      </c>
      <c r="E47" s="29"/>
      <c r="F47" s="30" t="s">
        <v>283</v>
      </c>
      <c r="G47" s="30"/>
      <c r="H47" s="58" t="s">
        <v>276</v>
      </c>
      <c r="I47" s="40">
        <v>1</v>
      </c>
      <c r="J47" s="29">
        <v>1</v>
      </c>
      <c r="K47" s="29">
        <v>1</v>
      </c>
      <c r="L47" s="58">
        <v>1</v>
      </c>
      <c r="M47" s="42"/>
      <c r="N47" s="31"/>
      <c r="O47" s="31"/>
      <c r="P47" s="43"/>
      <c r="Q47" s="40">
        <f>I47*0.7</f>
        <v>0.7</v>
      </c>
      <c r="R47" s="29">
        <f t="shared" si="30"/>
        <v>0.7</v>
      </c>
      <c r="S47" s="29">
        <f t="shared" si="31"/>
        <v>0.7</v>
      </c>
      <c r="T47" s="58">
        <f t="shared" si="32"/>
        <v>0.7</v>
      </c>
      <c r="U47" s="54">
        <v>20</v>
      </c>
      <c r="V47" s="41"/>
      <c r="W47" s="62">
        <f>((JRC_Data!BB7+JRC_Data!BB45)*0.8/1000)*$V$152</f>
        <v>9.0810810810810807</v>
      </c>
      <c r="X47" s="62">
        <f>((JRC_Data!BC7+JRC_Data!BC45)*0.8/1000)*$V$152</f>
        <v>8.8540540540540533</v>
      </c>
      <c r="Y47" s="62">
        <f>((JRC_Data!BD7+JRC_Data!BD45)*0.8/1000)*$V$152</f>
        <v>8.4756756756756761</v>
      </c>
      <c r="Z47" s="62">
        <f>((JRC_Data!BE7+JRC_Data!BE45)*0.8/1000)*$V$152</f>
        <v>7.7945945945945949</v>
      </c>
      <c r="AA47" s="58">
        <f>((JRC_Data!BL7+JRC_Data!BL45)*0.8)/1000</f>
        <v>0.2656</v>
      </c>
      <c r="AB47" s="65"/>
      <c r="AC47" s="42">
        <v>0.25</v>
      </c>
      <c r="AD47" s="72"/>
      <c r="AE47" s="72"/>
      <c r="AF47" s="72"/>
      <c r="AG47" s="216">
        <v>5</v>
      </c>
      <c r="AH47" s="62">
        <f t="shared" si="27"/>
        <v>0.7884000000000001</v>
      </c>
      <c r="AI47" s="65"/>
      <c r="AJ47" s="65">
        <v>2019</v>
      </c>
      <c r="AK47" s="65">
        <v>25</v>
      </c>
      <c r="AM47" s="106"/>
      <c r="AN47" s="105" t="str">
        <f t="shared" si="28"/>
        <v>R-SW_Att_KER_N2</v>
      </c>
      <c r="AO47" s="105" t="str">
        <f t="shared" si="29"/>
        <v>Residential Kerosene Heating Oil - New 3 SH+WH + Solar</v>
      </c>
      <c r="AP47" s="106" t="s">
        <v>13</v>
      </c>
      <c r="AQ47" s="106" t="s">
        <v>183</v>
      </c>
      <c r="AR47" s="106"/>
      <c r="AS47" s="106" t="s">
        <v>75</v>
      </c>
    </row>
    <row r="48" spans="3:46" ht="15" x14ac:dyDescent="0.25">
      <c r="C48" s="22" t="str">
        <f>"R-SW_Att"&amp;"_"&amp;RIGHT(F48,3)&amp;"_N3"</f>
        <v>R-SW_Att_KER_N3</v>
      </c>
      <c r="D48" s="23" t="s">
        <v>102</v>
      </c>
      <c r="E48" s="23"/>
      <c r="F48" s="24" t="s">
        <v>284</v>
      </c>
      <c r="G48" s="24"/>
      <c r="H48" s="57" t="s">
        <v>276</v>
      </c>
      <c r="I48" s="22">
        <v>1</v>
      </c>
      <c r="J48" s="23">
        <v>1.0249999999999999</v>
      </c>
      <c r="K48" s="23">
        <v>1.0249999999999999</v>
      </c>
      <c r="L48" s="57">
        <v>1.0249999999999999</v>
      </c>
      <c r="M48" s="44"/>
      <c r="N48" s="32"/>
      <c r="O48" s="32"/>
      <c r="P48" s="45"/>
      <c r="Q48" s="22">
        <f>I48*0.7</f>
        <v>0.7</v>
      </c>
      <c r="R48" s="23">
        <f t="shared" si="30"/>
        <v>0.71749999999999992</v>
      </c>
      <c r="S48" s="23">
        <f t="shared" si="31"/>
        <v>0.71749999999999992</v>
      </c>
      <c r="T48" s="57">
        <f t="shared" si="32"/>
        <v>0.71749999999999992</v>
      </c>
      <c r="U48" s="53">
        <v>20</v>
      </c>
      <c r="V48" s="25"/>
      <c r="W48" s="63">
        <f>((JRC_Data!BB7+JRC_Data!BB11)*0.8/1000)*$V$152</f>
        <v>10.102702702702702</v>
      </c>
      <c r="X48" s="63">
        <f>((JRC_Data!BC7+JRC_Data!BC11)*0.8/1000)*$V$152</f>
        <v>10.102702702702702</v>
      </c>
      <c r="Y48" s="63">
        <f>((JRC_Data!BD7+JRC_Data!BD11)*0.8/1000)*$V$152</f>
        <v>10.670270270270269</v>
      </c>
      <c r="Z48" s="63">
        <f>((JRC_Data!BE7+JRC_Data!BE11)*0.8/1000)*$V$152</f>
        <v>10.670270270270269</v>
      </c>
      <c r="AA48" s="58">
        <f>((JRC_Data!BL7+JRC_Data!BL11)*0.8)/1000</f>
        <v>0.23680000000000001</v>
      </c>
      <c r="AB48" s="66"/>
      <c r="AC48" s="44"/>
      <c r="AD48" s="73">
        <v>0.47</v>
      </c>
      <c r="AE48" s="73"/>
      <c r="AF48" s="73"/>
      <c r="AG48" s="66">
        <v>5</v>
      </c>
      <c r="AH48" s="63">
        <f>31.536*(AK48/1000)</f>
        <v>0.7884000000000001</v>
      </c>
      <c r="AI48" s="66"/>
      <c r="AJ48" s="66">
        <v>2019</v>
      </c>
      <c r="AK48" s="66">
        <v>25</v>
      </c>
      <c r="AM48" s="106"/>
      <c r="AN48" s="105" t="str">
        <f t="shared" si="28"/>
        <v>R-SW_Att_KER_N3</v>
      </c>
      <c r="AO48" s="105" t="str">
        <f t="shared" si="29"/>
        <v>Residential Kerosene Heating Oil - New 3 SH+WH + Wood Stove</v>
      </c>
      <c r="AP48" s="107" t="s">
        <v>13</v>
      </c>
      <c r="AQ48" s="107" t="s">
        <v>183</v>
      </c>
      <c r="AR48" s="106"/>
      <c r="AS48" s="106"/>
    </row>
    <row r="49" spans="3:45" ht="15" x14ac:dyDescent="0.25">
      <c r="C49" s="40" t="str">
        <f>"R-SH_Att"&amp;"_"&amp;RIGHT(F49,3)&amp;"_N1"</f>
        <v>R-SH_Att_GAS_N1</v>
      </c>
      <c r="D49" s="29" t="s">
        <v>95</v>
      </c>
      <c r="E49" s="29"/>
      <c r="F49" s="30" t="s">
        <v>721</v>
      </c>
      <c r="G49" s="30"/>
      <c r="H49" s="58" t="s">
        <v>142</v>
      </c>
      <c r="I49" s="40">
        <v>1</v>
      </c>
      <c r="J49" s="29">
        <v>1</v>
      </c>
      <c r="K49" s="29">
        <v>1</v>
      </c>
      <c r="L49" s="58">
        <v>1</v>
      </c>
      <c r="M49" s="42"/>
      <c r="N49" s="31"/>
      <c r="O49" s="31"/>
      <c r="P49" s="43"/>
      <c r="Q49" s="40"/>
      <c r="R49" s="29"/>
      <c r="S49" s="29"/>
      <c r="T49" s="58"/>
      <c r="U49" s="54">
        <v>20</v>
      </c>
      <c r="V49" s="41"/>
      <c r="W49" s="379">
        <f>3.25</f>
        <v>3.25</v>
      </c>
      <c r="X49" s="379">
        <f t="shared" ref="X49:Z49" si="34">3.25</f>
        <v>3.25</v>
      </c>
      <c r="Y49" s="379">
        <f t="shared" si="34"/>
        <v>3.25</v>
      </c>
      <c r="Z49" s="379">
        <f t="shared" si="34"/>
        <v>3.25</v>
      </c>
      <c r="AA49" s="379">
        <v>0.12</v>
      </c>
      <c r="AB49" s="65"/>
      <c r="AC49" s="42"/>
      <c r="AD49" s="72"/>
      <c r="AE49" s="72"/>
      <c r="AF49" s="72"/>
      <c r="AG49" s="72"/>
      <c r="AH49" s="62">
        <f t="shared" si="27"/>
        <v>0.63072000000000006</v>
      </c>
      <c r="AI49" s="65"/>
      <c r="AJ49" s="65">
        <v>2019</v>
      </c>
      <c r="AK49" s="65">
        <v>20</v>
      </c>
      <c r="AM49" s="106"/>
      <c r="AN49" s="105" t="str">
        <f t="shared" si="28"/>
        <v>R-SH_Att_GAS_N1</v>
      </c>
      <c r="AO49" s="105" t="str">
        <f t="shared" si="29"/>
        <v>Residential Natural Gas Heating - New 1 SH</v>
      </c>
      <c r="AP49" s="106" t="s">
        <v>13</v>
      </c>
      <c r="AQ49" s="106" t="s">
        <v>183</v>
      </c>
      <c r="AR49" s="106"/>
      <c r="AS49" s="106" t="s">
        <v>75</v>
      </c>
    </row>
    <row r="50" spans="3:45" ht="15" x14ac:dyDescent="0.25">
      <c r="C50" s="22" t="str">
        <f>"R-SW_Att"&amp;"_"&amp;RIGHT(F50,3)&amp;"_N1"</f>
        <v>R-SW_Att_GAS_N1</v>
      </c>
      <c r="D50" s="23" t="s">
        <v>99</v>
      </c>
      <c r="E50" s="23"/>
      <c r="F50" s="24" t="s">
        <v>721</v>
      </c>
      <c r="G50" s="24"/>
      <c r="H50" s="57" t="s">
        <v>276</v>
      </c>
      <c r="I50" s="22">
        <v>1</v>
      </c>
      <c r="J50" s="23">
        <v>1</v>
      </c>
      <c r="K50" s="23">
        <v>1</v>
      </c>
      <c r="L50" s="57">
        <v>1</v>
      </c>
      <c r="M50" s="44"/>
      <c r="N50" s="32"/>
      <c r="O50" s="32"/>
      <c r="P50" s="45"/>
      <c r="Q50" s="22">
        <f>I50*0.7</f>
        <v>0.7</v>
      </c>
      <c r="R50" s="23">
        <f t="shared" ref="R50:R52" si="35">J50*0.7</f>
        <v>0.7</v>
      </c>
      <c r="S50" s="23">
        <f t="shared" ref="S50:S52" si="36">K50*0.7</f>
        <v>0.7</v>
      </c>
      <c r="T50" s="57">
        <f t="shared" ref="T50:T52" si="37">L50*0.7</f>
        <v>0.7</v>
      </c>
      <c r="U50" s="53">
        <v>20</v>
      </c>
      <c r="V50" s="25"/>
      <c r="W50" s="380">
        <f>W49*($V$152/$V$151)</f>
        <v>3.2902892561983474</v>
      </c>
      <c r="X50" s="380">
        <f>X49*($V$152/$V$151)</f>
        <v>3.2902892561983474</v>
      </c>
      <c r="Y50" s="380">
        <f>Y49*($V$152/$V$151)</f>
        <v>3.2902892561983474</v>
      </c>
      <c r="Z50" s="380">
        <f>Z49*($V$152/$V$151)</f>
        <v>3.2902892561983474</v>
      </c>
      <c r="AA50" s="380">
        <v>0.12</v>
      </c>
      <c r="AB50" s="66"/>
      <c r="AC50" s="44"/>
      <c r="AD50" s="73"/>
      <c r="AE50" s="73"/>
      <c r="AF50" s="73"/>
      <c r="AG50" s="73"/>
      <c r="AH50" s="63">
        <f t="shared" si="27"/>
        <v>0.7884000000000001</v>
      </c>
      <c r="AI50" s="66"/>
      <c r="AJ50" s="66">
        <v>2019</v>
      </c>
      <c r="AK50" s="66">
        <v>25</v>
      </c>
      <c r="AM50" s="106"/>
      <c r="AN50" s="105" t="str">
        <f t="shared" si="28"/>
        <v>R-SW_Att_GAS_N1</v>
      </c>
      <c r="AO50" s="105" t="str">
        <f t="shared" si="29"/>
        <v>Residential Natural Gas Heating - New 2 SH + WH</v>
      </c>
      <c r="AP50" s="106" t="s">
        <v>13</v>
      </c>
      <c r="AQ50" s="106" t="s">
        <v>183</v>
      </c>
      <c r="AR50" s="106"/>
      <c r="AS50" s="106" t="s">
        <v>75</v>
      </c>
    </row>
    <row r="51" spans="3:45" ht="15" x14ac:dyDescent="0.25">
      <c r="C51" s="40" t="str">
        <f>"R-SW_Att"&amp;"_"&amp;RIGHT(F51,3)&amp;"_N2"</f>
        <v>R-SW_Att_GAS_N2</v>
      </c>
      <c r="D51" s="29" t="s">
        <v>100</v>
      </c>
      <c r="E51" s="29"/>
      <c r="F51" s="30" t="s">
        <v>723</v>
      </c>
      <c r="G51" s="30"/>
      <c r="H51" s="58" t="s">
        <v>276</v>
      </c>
      <c r="I51" s="40">
        <v>1</v>
      </c>
      <c r="J51" s="29">
        <v>1</v>
      </c>
      <c r="K51" s="29">
        <v>1</v>
      </c>
      <c r="L51" s="58">
        <v>1</v>
      </c>
      <c r="M51" s="42"/>
      <c r="N51" s="31"/>
      <c r="O51" s="31"/>
      <c r="P51" s="43"/>
      <c r="Q51" s="40">
        <f>I51*0.7</f>
        <v>0.7</v>
      </c>
      <c r="R51" s="29">
        <f t="shared" si="35"/>
        <v>0.7</v>
      </c>
      <c r="S51" s="29">
        <f t="shared" si="36"/>
        <v>0.7</v>
      </c>
      <c r="T51" s="58">
        <f t="shared" si="37"/>
        <v>0.7</v>
      </c>
      <c r="U51" s="54">
        <v>20</v>
      </c>
      <c r="V51" s="41"/>
      <c r="W51" s="379">
        <v>12.75</v>
      </c>
      <c r="X51" s="379">
        <f>W51*0.9685</f>
        <v>12.348375000000001</v>
      </c>
      <c r="Y51" s="379">
        <f>W51*0.916</f>
        <v>11.679</v>
      </c>
      <c r="Z51" s="379">
        <f>W51*0.812</f>
        <v>10.353000000000002</v>
      </c>
      <c r="AA51" s="379">
        <v>0.19</v>
      </c>
      <c r="AB51" s="65"/>
      <c r="AC51" s="42">
        <v>0.25</v>
      </c>
      <c r="AD51" s="72"/>
      <c r="AE51" s="72"/>
      <c r="AF51" s="72"/>
      <c r="AG51" s="216">
        <v>5</v>
      </c>
      <c r="AH51" s="62">
        <f t="shared" si="27"/>
        <v>0.7884000000000001</v>
      </c>
      <c r="AI51" s="65"/>
      <c r="AJ51" s="65">
        <v>2019</v>
      </c>
      <c r="AK51" s="65">
        <v>25</v>
      </c>
      <c r="AM51" s="106"/>
      <c r="AN51" s="105" t="str">
        <f t="shared" si="28"/>
        <v>R-SW_Att_GAS_N2</v>
      </c>
      <c r="AO51" s="105" t="str">
        <f t="shared" si="29"/>
        <v>Residential Natural Gas Heating - New 3 SH + WH + Solar</v>
      </c>
      <c r="AP51" s="106" t="s">
        <v>13</v>
      </c>
      <c r="AQ51" s="106" t="s">
        <v>183</v>
      </c>
      <c r="AR51" s="106"/>
      <c r="AS51" s="106" t="s">
        <v>75</v>
      </c>
    </row>
    <row r="52" spans="3:45" ht="15" x14ac:dyDescent="0.25">
      <c r="C52" s="22" t="str">
        <f>"R-SW_Att"&amp;"_"&amp;RIGHT(F52,3)&amp;"_N3"</f>
        <v>R-SW_Att_GAS_N3</v>
      </c>
      <c r="D52" s="23" t="s">
        <v>101</v>
      </c>
      <c r="E52" s="23"/>
      <c r="F52" s="24" t="s">
        <v>724</v>
      </c>
      <c r="G52" s="24"/>
      <c r="H52" s="57" t="s">
        <v>276</v>
      </c>
      <c r="I52" s="22">
        <v>1</v>
      </c>
      <c r="J52" s="23">
        <v>1.0249999999999999</v>
      </c>
      <c r="K52" s="23">
        <v>1.0249999999999999</v>
      </c>
      <c r="L52" s="57">
        <v>1.0249999999999999</v>
      </c>
      <c r="M52" s="44"/>
      <c r="N52" s="32"/>
      <c r="O52" s="32"/>
      <c r="P52" s="45"/>
      <c r="Q52" s="22">
        <f>I52*0.7</f>
        <v>0.7</v>
      </c>
      <c r="R52" s="23">
        <f t="shared" si="35"/>
        <v>0.71749999999999992</v>
      </c>
      <c r="S52" s="23">
        <f t="shared" si="36"/>
        <v>0.71749999999999992</v>
      </c>
      <c r="T52" s="57">
        <f t="shared" si="37"/>
        <v>0.71749999999999992</v>
      </c>
      <c r="U52" s="53">
        <v>20</v>
      </c>
      <c r="V52" s="25"/>
      <c r="W52" s="63">
        <f>((JRC_Data!BB9+JRC_Data!BB11)*0.8/1000)*($V$152/$V$151)</f>
        <v>8.7066115702479348</v>
      </c>
      <c r="X52" s="63">
        <f>((JRC_Data!BC9+JRC_Data!BC11)*0.8/1000)*($V$152/$V$151)</f>
        <v>8.7066115702479348</v>
      </c>
      <c r="Y52" s="63">
        <f>((JRC_Data!BD9+JRC_Data!BD11)*0.8/1000)*($V$152/$V$151)</f>
        <v>9.3140495867768589</v>
      </c>
      <c r="Z52" s="63">
        <f>((JRC_Data!BE9+JRC_Data!BE11)*0.8/1000)*($V$152/$V$151)</f>
        <v>9.3140495867768589</v>
      </c>
      <c r="AA52" s="58">
        <f>((JRC_Data!BL9+JRC_Data!BL11)*0.8)/1000</f>
        <v>0.20880000000000001</v>
      </c>
      <c r="AB52" s="66"/>
      <c r="AC52" s="44"/>
      <c r="AD52" s="73">
        <v>0.47</v>
      </c>
      <c r="AE52" s="73"/>
      <c r="AF52" s="73"/>
      <c r="AG52" s="66">
        <v>5</v>
      </c>
      <c r="AH52" s="63">
        <f t="shared" si="27"/>
        <v>0.7884000000000001</v>
      </c>
      <c r="AI52" s="66"/>
      <c r="AJ52" s="66">
        <v>2019</v>
      </c>
      <c r="AK52" s="66">
        <v>25</v>
      </c>
      <c r="AM52" s="106"/>
      <c r="AN52" s="105" t="str">
        <f t="shared" si="28"/>
        <v>R-SW_Att_GAS_N3</v>
      </c>
      <c r="AO52" s="105" t="str">
        <f t="shared" si="29"/>
        <v>Residential Natural Gas Heating - New 4 SH + WH + Wood Stove</v>
      </c>
      <c r="AP52" s="106" t="s">
        <v>13</v>
      </c>
      <c r="AQ52" s="106" t="s">
        <v>183</v>
      </c>
      <c r="AR52" s="106"/>
      <c r="AS52" s="106" t="s">
        <v>75</v>
      </c>
    </row>
    <row r="53" spans="3:45" ht="15" x14ac:dyDescent="0.25">
      <c r="C53" s="40" t="str">
        <f>"R-SH_Att"&amp;"_"&amp;RIGHT(F53,3)&amp;"_N1"</f>
        <v>R-SH_Att_LPG_N1</v>
      </c>
      <c r="D53" s="29" t="s">
        <v>103</v>
      </c>
      <c r="E53" s="29"/>
      <c r="F53" s="30" t="s">
        <v>282</v>
      </c>
      <c r="G53" s="30"/>
      <c r="H53" s="58" t="s">
        <v>142</v>
      </c>
      <c r="I53" s="40">
        <v>1</v>
      </c>
      <c r="J53" s="29">
        <v>1</v>
      </c>
      <c r="K53" s="29">
        <v>1</v>
      </c>
      <c r="L53" s="58">
        <v>1</v>
      </c>
      <c r="M53" s="42"/>
      <c r="N53" s="31"/>
      <c r="O53" s="31"/>
      <c r="P53" s="43"/>
      <c r="Q53" s="40"/>
      <c r="R53" s="29"/>
      <c r="S53" s="29"/>
      <c r="T53" s="58"/>
      <c r="U53" s="54">
        <v>20</v>
      </c>
      <c r="V53" s="41"/>
      <c r="W53" s="379">
        <f>SUM(W49+0.3)</f>
        <v>3.55</v>
      </c>
      <c r="X53" s="379">
        <f>SUM(X49+0.3)</f>
        <v>3.55</v>
      </c>
      <c r="Y53" s="379">
        <f>SUM(Y49+0.3)</f>
        <v>3.55</v>
      </c>
      <c r="Z53" s="379">
        <f>SUM(Z49+0.3)</f>
        <v>3.55</v>
      </c>
      <c r="AA53" s="379">
        <f>SUM(0.12+0.15)</f>
        <v>0.27</v>
      </c>
      <c r="AB53" s="65"/>
      <c r="AC53" s="42"/>
      <c r="AD53" s="72"/>
      <c r="AE53" s="72"/>
      <c r="AF53" s="72"/>
      <c r="AG53" s="72"/>
      <c r="AH53" s="62">
        <f t="shared" si="27"/>
        <v>0.63072000000000006</v>
      </c>
      <c r="AI53" s="65"/>
      <c r="AJ53" s="65">
        <v>2019</v>
      </c>
      <c r="AK53" s="65">
        <v>20</v>
      </c>
      <c r="AM53" s="106"/>
      <c r="AN53" s="105" t="str">
        <f t="shared" si="28"/>
        <v>R-SH_Att_LPG_N1</v>
      </c>
      <c r="AO53" s="105" t="str">
        <f t="shared" si="29"/>
        <v>Residential Liquid Petroleum Gas- New 1 SH</v>
      </c>
      <c r="AP53" s="106" t="s">
        <v>13</v>
      </c>
      <c r="AQ53" s="106" t="s">
        <v>183</v>
      </c>
      <c r="AR53" s="106"/>
      <c r="AS53" s="106" t="s">
        <v>75</v>
      </c>
    </row>
    <row r="54" spans="3:45" ht="15" x14ac:dyDescent="0.25">
      <c r="C54" s="22" t="str">
        <f>"R-SW_Att"&amp;"_"&amp;RIGHT(F54,3)&amp;"_N1"</f>
        <v>R-SW_Att_LPG_N1</v>
      </c>
      <c r="D54" s="23" t="s">
        <v>104</v>
      </c>
      <c r="E54" s="23"/>
      <c r="F54" s="24" t="s">
        <v>282</v>
      </c>
      <c r="G54" s="24"/>
      <c r="H54" s="57" t="s">
        <v>276</v>
      </c>
      <c r="I54" s="22">
        <v>1</v>
      </c>
      <c r="J54" s="23">
        <v>1</v>
      </c>
      <c r="K54" s="23">
        <v>1</v>
      </c>
      <c r="L54" s="57">
        <v>1</v>
      </c>
      <c r="M54" s="44"/>
      <c r="N54" s="32"/>
      <c r="O54" s="32"/>
      <c r="P54" s="45"/>
      <c r="Q54" s="22">
        <f>I54*0.7</f>
        <v>0.7</v>
      </c>
      <c r="R54" s="23">
        <f t="shared" ref="R54" si="38">J54*0.7</f>
        <v>0.7</v>
      </c>
      <c r="S54" s="23">
        <f t="shared" ref="S54" si="39">K54*0.7</f>
        <v>0.7</v>
      </c>
      <c r="T54" s="57">
        <f t="shared" ref="T54" si="40">L54*0.7</f>
        <v>0.7</v>
      </c>
      <c r="U54" s="53">
        <v>20</v>
      </c>
      <c r="V54" s="25"/>
      <c r="W54" s="380">
        <f>W49*($V$152/$V$151)+0.3</f>
        <v>3.5902892561983473</v>
      </c>
      <c r="X54" s="380">
        <f>X49*($V$152/$V$151)+0.3</f>
        <v>3.5902892561983473</v>
      </c>
      <c r="Y54" s="380">
        <f>Y49*($V$152/$V$151)+0.3</f>
        <v>3.5902892561983473</v>
      </c>
      <c r="Z54" s="380">
        <f>Z49*($V$152/$V$151)+0.3</f>
        <v>3.5902892561983473</v>
      </c>
      <c r="AA54" s="379">
        <f>SUM(0.12+0.15)</f>
        <v>0.27</v>
      </c>
      <c r="AB54" s="66"/>
      <c r="AC54" s="44"/>
      <c r="AD54" s="73"/>
      <c r="AE54" s="73"/>
      <c r="AF54" s="73"/>
      <c r="AG54" s="73"/>
      <c r="AH54" s="63">
        <f t="shared" si="27"/>
        <v>0.7884000000000001</v>
      </c>
      <c r="AI54" s="66"/>
      <c r="AJ54" s="66">
        <v>2019</v>
      </c>
      <c r="AK54" s="66">
        <v>25</v>
      </c>
      <c r="AM54" s="106"/>
      <c r="AN54" s="105" t="str">
        <f t="shared" si="28"/>
        <v>R-SW_Att_LPG_N1</v>
      </c>
      <c r="AO54" s="105" t="str">
        <f t="shared" si="29"/>
        <v>Residential Liquid Petroleum Gas- New 2 SH + WH</v>
      </c>
      <c r="AP54" s="106" t="s">
        <v>13</v>
      </c>
      <c r="AQ54" s="106" t="s">
        <v>183</v>
      </c>
      <c r="AR54" s="106"/>
      <c r="AS54" s="106" t="s">
        <v>75</v>
      </c>
    </row>
    <row r="55" spans="3:45" ht="15" x14ac:dyDescent="0.25">
      <c r="C55" s="40" t="str">
        <f>"R-SH_Att"&amp;"_"&amp;RIGHT(F55,3)&amp;"_N1"</f>
        <v>R-SH_Att_WOO_N1</v>
      </c>
      <c r="D55" s="29" t="s">
        <v>105</v>
      </c>
      <c r="E55" s="29"/>
      <c r="F55" s="30" t="s">
        <v>285</v>
      </c>
      <c r="G55" s="30"/>
      <c r="H55" s="58" t="s">
        <v>142</v>
      </c>
      <c r="I55" s="40">
        <v>1</v>
      </c>
      <c r="J55" s="29">
        <v>1</v>
      </c>
      <c r="K55" s="29">
        <v>1</v>
      </c>
      <c r="L55" s="58">
        <v>1</v>
      </c>
      <c r="M55" s="42"/>
      <c r="N55" s="31"/>
      <c r="O55" s="31"/>
      <c r="P55" s="43"/>
      <c r="Q55" s="40"/>
      <c r="R55" s="29"/>
      <c r="S55" s="29"/>
      <c r="T55" s="58"/>
      <c r="U55" s="54">
        <v>20</v>
      </c>
      <c r="V55" s="41"/>
      <c r="W55" s="379">
        <v>20.48</v>
      </c>
      <c r="X55" s="379">
        <f>W55*0.96777</f>
        <v>19.819929600000002</v>
      </c>
      <c r="Y55" s="379">
        <f>W55*0.914844</f>
        <v>18.736005120000002</v>
      </c>
      <c r="Z55" s="379">
        <f>W55*0.8181</f>
        <v>16.754688000000002</v>
      </c>
      <c r="AA55" s="379">
        <v>0.25</v>
      </c>
      <c r="AB55" s="65"/>
      <c r="AC55" s="40"/>
      <c r="AD55" s="72"/>
      <c r="AE55" s="72"/>
      <c r="AF55" s="72"/>
      <c r="AG55" s="72"/>
      <c r="AH55" s="62">
        <f t="shared" si="27"/>
        <v>0.63072000000000006</v>
      </c>
      <c r="AI55" s="65"/>
      <c r="AJ55" s="65">
        <v>2019</v>
      </c>
      <c r="AK55" s="65">
        <v>20</v>
      </c>
      <c r="AM55" s="106"/>
      <c r="AN55" s="105" t="str">
        <f t="shared" si="28"/>
        <v>R-SH_Att_WOO_N1</v>
      </c>
      <c r="AO55" s="105" t="str">
        <f t="shared" si="29"/>
        <v>Residential Biomass Boiler - New 1 SH</v>
      </c>
      <c r="AP55" s="106" t="s">
        <v>13</v>
      </c>
      <c r="AQ55" s="106" t="s">
        <v>183</v>
      </c>
      <c r="AR55" s="106"/>
      <c r="AS55" s="106" t="s">
        <v>75</v>
      </c>
    </row>
    <row r="56" spans="3:45" ht="15.75" thickBot="1" x14ac:dyDescent="0.3">
      <c r="C56" s="22" t="str">
        <f>"R-SW_Att"&amp;"_"&amp;RIGHT(F56,3)&amp;"_N1"</f>
        <v>R-SW_Att_WOO_N1</v>
      </c>
      <c r="D56" s="23" t="s">
        <v>106</v>
      </c>
      <c r="E56" s="23"/>
      <c r="F56" s="24" t="s">
        <v>285</v>
      </c>
      <c r="G56" s="24"/>
      <c r="H56" s="57" t="s">
        <v>276</v>
      </c>
      <c r="I56" s="22">
        <v>1</v>
      </c>
      <c r="J56" s="23">
        <v>1</v>
      </c>
      <c r="K56" s="23">
        <v>1</v>
      </c>
      <c r="L56" s="57">
        <v>1</v>
      </c>
      <c r="M56" s="44"/>
      <c r="N56" s="32"/>
      <c r="O56" s="32"/>
      <c r="P56" s="45"/>
      <c r="Q56" s="22">
        <f t="shared" ref="Q56:T60" si="41">I56*0.7</f>
        <v>0.7</v>
      </c>
      <c r="R56" s="23">
        <f t="shared" si="41"/>
        <v>0.7</v>
      </c>
      <c r="S56" s="23">
        <f t="shared" si="41"/>
        <v>0.7</v>
      </c>
      <c r="T56" s="57">
        <f t="shared" si="41"/>
        <v>0.7</v>
      </c>
      <c r="U56" s="53">
        <v>20</v>
      </c>
      <c r="V56" s="25"/>
      <c r="W56" s="380">
        <f>W55*($V$152/$V$151)</f>
        <v>20.733884297520664</v>
      </c>
      <c r="X56" s="380">
        <f>X55*($V$152/$V$151)</f>
        <v>20.065631206611574</v>
      </c>
      <c r="Y56" s="380">
        <f>Y55*($V$152/$V$151)</f>
        <v>18.968269646280994</v>
      </c>
      <c r="Z56" s="380">
        <f>Z55*($V$152/$V$151)</f>
        <v>16.962390743801656</v>
      </c>
      <c r="AA56" s="380">
        <v>0.25</v>
      </c>
      <c r="AB56" s="66"/>
      <c r="AC56" s="44"/>
      <c r="AD56" s="73"/>
      <c r="AE56" s="73"/>
      <c r="AF56" s="73"/>
      <c r="AG56" s="73"/>
      <c r="AH56" s="63">
        <f t="shared" si="27"/>
        <v>0.7884000000000001</v>
      </c>
      <c r="AI56" s="66"/>
      <c r="AJ56" s="66">
        <v>2019</v>
      </c>
      <c r="AK56" s="66">
        <v>25</v>
      </c>
      <c r="AM56" s="109"/>
      <c r="AN56" s="108" t="str">
        <f t="shared" si="28"/>
        <v>R-SW_Att_WOO_N1</v>
      </c>
      <c r="AO56" s="108" t="str">
        <f t="shared" si="29"/>
        <v>Residential Biomass Boiler - New 2 SH + WH</v>
      </c>
      <c r="AP56" s="109" t="s">
        <v>13</v>
      </c>
      <c r="AQ56" s="109" t="s">
        <v>183</v>
      </c>
      <c r="AR56" s="109"/>
      <c r="AS56" s="109" t="s">
        <v>75</v>
      </c>
    </row>
    <row r="57" spans="3:45" ht="15.75" thickBot="1" x14ac:dyDescent="0.3">
      <c r="C57" s="40" t="str">
        <f>"R-SH_Att"&amp;"_"&amp;"FPL"&amp;"_N1"</f>
        <v>R-SH_Att_FPL_N1</v>
      </c>
      <c r="D57" s="29" t="s">
        <v>589</v>
      </c>
      <c r="E57" s="29"/>
      <c r="F57" s="30" t="s">
        <v>586</v>
      </c>
      <c r="G57" s="30"/>
      <c r="H57" s="58" t="s">
        <v>142</v>
      </c>
      <c r="I57" s="40">
        <v>0.55000000000000004</v>
      </c>
      <c r="J57" s="40">
        <v>0.55000000000000004</v>
      </c>
      <c r="K57" s="40">
        <v>0.55000000000000004</v>
      </c>
      <c r="L57" s="40">
        <v>0.55000000000000004</v>
      </c>
      <c r="M57" s="44"/>
      <c r="N57" s="32"/>
      <c r="O57" s="32"/>
      <c r="P57" s="45"/>
      <c r="Q57" s="22"/>
      <c r="R57" s="23"/>
      <c r="S57" s="23"/>
      <c r="T57" s="57"/>
      <c r="U57" s="54">
        <v>20</v>
      </c>
      <c r="V57" s="25"/>
      <c r="W57" s="380">
        <f>((JRC_Data!BB13)/1000)*$V$151</f>
        <v>2.4293436293436295</v>
      </c>
      <c r="X57" s="380">
        <f>((JRC_Data!BC13)/1000)*$V$151</f>
        <v>2.4293436293436295</v>
      </c>
      <c r="Y57" s="380">
        <f>((JRC_Data!BD13)/1000)*$V$151</f>
        <v>3.2702702702702702</v>
      </c>
      <c r="Z57" s="380">
        <f>((JRC_Data!BE13)/1000)*$V$151</f>
        <v>3.2702702702702702</v>
      </c>
      <c r="AA57" s="380">
        <v>0.12</v>
      </c>
      <c r="AB57" s="66"/>
      <c r="AC57" s="44"/>
      <c r="AD57" s="73"/>
      <c r="AE57" s="73"/>
      <c r="AF57" s="73"/>
      <c r="AG57" s="73"/>
      <c r="AH57" s="63">
        <f t="shared" si="27"/>
        <v>0.63072000000000006</v>
      </c>
      <c r="AI57" s="66"/>
      <c r="AJ57" s="65">
        <v>2019</v>
      </c>
      <c r="AK57" s="66">
        <v>20</v>
      </c>
      <c r="AM57" s="109"/>
      <c r="AN57" s="108" t="s">
        <v>587</v>
      </c>
      <c r="AO57" s="108" t="str">
        <f t="shared" si="29"/>
        <v>Residential  Stove New 1 - SH</v>
      </c>
      <c r="AP57" s="106" t="s">
        <v>13</v>
      </c>
      <c r="AQ57" s="106" t="s">
        <v>183</v>
      </c>
      <c r="AR57" s="109"/>
      <c r="AS57" s="109"/>
    </row>
    <row r="58" spans="3:45" ht="15.75" thickBot="1" x14ac:dyDescent="0.3">
      <c r="C58" s="22" t="str">
        <f>"R-SW_Att"&amp;"_"&amp;"FPL"&amp;"_N1"</f>
        <v>R-SW_Att_FPL_N1</v>
      </c>
      <c r="D58" s="23" t="s">
        <v>590</v>
      </c>
      <c r="E58" s="23"/>
      <c r="F58" s="24" t="s">
        <v>586</v>
      </c>
      <c r="G58" s="24"/>
      <c r="H58" s="57" t="s">
        <v>276</v>
      </c>
      <c r="I58" s="40">
        <v>0.55000000000000004</v>
      </c>
      <c r="J58" s="40">
        <v>0.55000000000000004</v>
      </c>
      <c r="K58" s="40">
        <v>0.55000000000000004</v>
      </c>
      <c r="L58" s="40">
        <v>0.55000000000000004</v>
      </c>
      <c r="M58" s="44"/>
      <c r="N58" s="32"/>
      <c r="O58" s="32"/>
      <c r="P58" s="45"/>
      <c r="Q58" s="22">
        <f t="shared" ref="Q58" si="42">I58*0.7</f>
        <v>0.38500000000000001</v>
      </c>
      <c r="R58" s="23">
        <f t="shared" ref="R58" si="43">J58*0.7</f>
        <v>0.38500000000000001</v>
      </c>
      <c r="S58" s="23">
        <f t="shared" ref="S58" si="44">K58*0.7</f>
        <v>0.38500000000000001</v>
      </c>
      <c r="T58" s="57">
        <f t="shared" ref="T58" si="45">L58*0.7</f>
        <v>0.38500000000000001</v>
      </c>
      <c r="U58" s="53">
        <v>20</v>
      </c>
      <c r="V58" s="25"/>
      <c r="W58" s="380">
        <f>((JRC_Data!BB13)/1000)*$V$152</f>
        <v>2.4594594594594597</v>
      </c>
      <c r="X58" s="380">
        <f>((JRC_Data!BC13)/1000)*$V$152</f>
        <v>2.4594594594594597</v>
      </c>
      <c r="Y58" s="380">
        <f>((JRC_Data!BD13)/1000)*$V$152</f>
        <v>3.310810810810811</v>
      </c>
      <c r="Z58" s="380">
        <f>((JRC_Data!BE13)/1000)*$V$152</f>
        <v>3.310810810810811</v>
      </c>
      <c r="AA58" s="442">
        <v>0.12</v>
      </c>
      <c r="AB58" s="66"/>
      <c r="AC58" s="44"/>
      <c r="AD58" s="73"/>
      <c r="AE58" s="73"/>
      <c r="AF58" s="73"/>
      <c r="AG58" s="73"/>
      <c r="AH58" s="63">
        <f t="shared" si="27"/>
        <v>0.63072000000000006</v>
      </c>
      <c r="AI58" s="66"/>
      <c r="AJ58" s="66">
        <v>2019</v>
      </c>
      <c r="AK58" s="66">
        <v>20</v>
      </c>
      <c r="AM58" s="109"/>
      <c r="AN58" s="108" t="s">
        <v>588</v>
      </c>
      <c r="AO58" s="108" t="str">
        <f t="shared" si="29"/>
        <v>Residential  Stove with back boiler New 1 - SH +WH</v>
      </c>
      <c r="AP58" s="109" t="s">
        <v>13</v>
      </c>
      <c r="AQ58" s="109" t="s">
        <v>183</v>
      </c>
      <c r="AR58" s="109"/>
      <c r="AS58" s="109"/>
    </row>
    <row r="59" spans="3:45" ht="15.75" thickBot="1" x14ac:dyDescent="0.3">
      <c r="C59" s="40" t="s">
        <v>591</v>
      </c>
      <c r="D59" s="29" t="s">
        <v>272</v>
      </c>
      <c r="E59" s="29"/>
      <c r="F59" s="30" t="s">
        <v>287</v>
      </c>
      <c r="G59" s="30"/>
      <c r="H59" s="58" t="s">
        <v>142</v>
      </c>
      <c r="I59" s="40">
        <v>0.82</v>
      </c>
      <c r="J59" s="40">
        <v>0.82</v>
      </c>
      <c r="K59" s="40">
        <v>0.82</v>
      </c>
      <c r="L59" s="40">
        <v>0.82</v>
      </c>
      <c r="M59" s="42"/>
      <c r="N59" s="31"/>
      <c r="O59" s="31"/>
      <c r="P59" s="43"/>
      <c r="Q59" s="40"/>
      <c r="R59" s="29"/>
      <c r="S59" s="29"/>
      <c r="T59" s="58"/>
      <c r="U59" s="54">
        <v>20</v>
      </c>
      <c r="V59" s="41"/>
      <c r="W59" s="62">
        <f>W45</f>
        <v>4.2250000000000005</v>
      </c>
      <c r="X59" s="62">
        <f t="shared" ref="X59:AA60" si="46">X45</f>
        <v>4.2250000000000005</v>
      </c>
      <c r="Y59" s="62">
        <f t="shared" si="46"/>
        <v>4.2250000000000005</v>
      </c>
      <c r="Z59" s="62">
        <f t="shared" si="46"/>
        <v>4.2250000000000005</v>
      </c>
      <c r="AA59" s="62">
        <f t="shared" si="46"/>
        <v>0.12</v>
      </c>
      <c r="AB59" s="65"/>
      <c r="AC59" s="42"/>
      <c r="AD59" s="72"/>
      <c r="AE59" s="72"/>
      <c r="AF59" s="72"/>
      <c r="AG59" s="72"/>
      <c r="AH59" s="62">
        <f>31.536*(AK59/1000)</f>
        <v>0.63072000000000006</v>
      </c>
      <c r="AI59" s="65"/>
      <c r="AJ59" s="65">
        <v>2019</v>
      </c>
      <c r="AK59" s="65">
        <v>20</v>
      </c>
      <c r="AM59" s="109"/>
      <c r="AN59" s="108" t="str">
        <f t="shared" si="28"/>
        <v>R-SH_Att_HVO_N1</v>
      </c>
      <c r="AO59" s="108" t="str">
        <f t="shared" si="29"/>
        <v>Residential  Hydrotreated vegetable oil - New 1 SH</v>
      </c>
      <c r="AP59" s="109" t="s">
        <v>13</v>
      </c>
      <c r="AQ59" s="109" t="s">
        <v>183</v>
      </c>
      <c r="AR59" s="109"/>
      <c r="AS59" s="109" t="s">
        <v>75</v>
      </c>
    </row>
    <row r="60" spans="3:45" ht="15.75" thickBot="1" x14ac:dyDescent="0.3">
      <c r="C60" s="22" t="s">
        <v>592</v>
      </c>
      <c r="D60" s="23" t="s">
        <v>548</v>
      </c>
      <c r="E60" s="23"/>
      <c r="F60" s="24" t="s">
        <v>287</v>
      </c>
      <c r="G60" s="24"/>
      <c r="H60" s="57" t="s">
        <v>276</v>
      </c>
      <c r="I60" s="22">
        <v>0.82</v>
      </c>
      <c r="J60" s="22">
        <v>0.82</v>
      </c>
      <c r="K60" s="22">
        <v>0.82</v>
      </c>
      <c r="L60" s="22">
        <v>0.82</v>
      </c>
      <c r="M60" s="49"/>
      <c r="N60" s="50"/>
      <c r="O60" s="50"/>
      <c r="P60" s="51"/>
      <c r="Q60" s="252">
        <f t="shared" si="41"/>
        <v>0.57399999999999995</v>
      </c>
      <c r="R60" s="26">
        <f t="shared" si="41"/>
        <v>0.57399999999999995</v>
      </c>
      <c r="S60" s="26">
        <f t="shared" si="41"/>
        <v>0.57399999999999995</v>
      </c>
      <c r="T60" s="59">
        <f t="shared" si="41"/>
        <v>0.57399999999999995</v>
      </c>
      <c r="U60" s="55">
        <v>20</v>
      </c>
      <c r="V60" s="28"/>
      <c r="W60" s="62">
        <f>W46</f>
        <v>4.2773760330578519</v>
      </c>
      <c r="X60" s="62">
        <f t="shared" ref="X60:Z60" si="47">X46</f>
        <v>4.2773760330578519</v>
      </c>
      <c r="Y60" s="62">
        <f t="shared" si="47"/>
        <v>4.2773760330578519</v>
      </c>
      <c r="Z60" s="62">
        <f t="shared" si="47"/>
        <v>4.2773760330578519</v>
      </c>
      <c r="AA60" s="62">
        <f t="shared" si="46"/>
        <v>0.12</v>
      </c>
      <c r="AB60" s="66"/>
      <c r="AC60" s="44"/>
      <c r="AD60" s="73"/>
      <c r="AE60" s="73"/>
      <c r="AF60" s="73"/>
      <c r="AG60" s="73"/>
      <c r="AH60" s="63">
        <f t="shared" si="27"/>
        <v>0.7884000000000001</v>
      </c>
      <c r="AI60" s="67"/>
      <c r="AJ60" s="67">
        <v>2019</v>
      </c>
      <c r="AK60" s="67">
        <v>25</v>
      </c>
      <c r="AM60" s="109"/>
      <c r="AN60" s="108" t="str">
        <f t="shared" si="28"/>
        <v>R-SW_Att_HVO_N1</v>
      </c>
      <c r="AO60" s="108" t="str">
        <f t="shared" si="29"/>
        <v>Residential  Hydrotreated vegetable oil - New 1 SH + WH</v>
      </c>
      <c r="AP60" s="109" t="s">
        <v>13</v>
      </c>
      <c r="AQ60" s="109" t="s">
        <v>183</v>
      </c>
      <c r="AR60" s="109"/>
      <c r="AS60" s="109" t="s">
        <v>75</v>
      </c>
    </row>
    <row r="61" spans="3:45" ht="15.75" thickBot="1" x14ac:dyDescent="0.3">
      <c r="C61" s="33" t="s">
        <v>292</v>
      </c>
      <c r="D61" s="33"/>
      <c r="E61" s="33"/>
      <c r="F61" s="34"/>
      <c r="G61" s="34"/>
      <c r="H61" s="34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4"/>
      <c r="V61" s="34"/>
      <c r="W61" s="33"/>
      <c r="X61" s="33"/>
      <c r="Y61" s="33"/>
      <c r="Z61" s="33"/>
      <c r="AA61" s="33"/>
      <c r="AB61" s="34"/>
      <c r="AC61" s="36"/>
      <c r="AD61" s="36"/>
      <c r="AE61" s="36"/>
      <c r="AF61" s="36"/>
      <c r="AG61" s="36"/>
      <c r="AH61" s="33"/>
      <c r="AI61" s="34"/>
      <c r="AJ61" s="34"/>
      <c r="AK61" s="34"/>
      <c r="AM61" s="110"/>
      <c r="AN61" s="111" t="str">
        <f>C62</f>
        <v>R-SH_Att_ELC_N1</v>
      </c>
      <c r="AO61" s="111" t="str">
        <f>D62</f>
        <v>Residential Electric Heater - New 1 SH</v>
      </c>
      <c r="AP61" s="110" t="s">
        <v>13</v>
      </c>
      <c r="AQ61" s="110" t="s">
        <v>183</v>
      </c>
      <c r="AR61" s="110"/>
      <c r="AS61" s="110" t="s">
        <v>75</v>
      </c>
    </row>
    <row r="62" spans="3:45" ht="15" x14ac:dyDescent="0.25">
      <c r="C62" s="96" t="str">
        <f>"R-SH_Att"&amp;"_"&amp;RIGHT(F62,3)&amp;"_N1"</f>
        <v>R-SH_Att_ELC_N1</v>
      </c>
      <c r="D62" s="80" t="s">
        <v>107</v>
      </c>
      <c r="E62" s="80"/>
      <c r="F62" s="121" t="s">
        <v>156</v>
      </c>
      <c r="G62" s="121"/>
      <c r="H62" s="81" t="s">
        <v>142</v>
      </c>
      <c r="I62" s="249">
        <v>1</v>
      </c>
      <c r="J62" s="250">
        <v>1</v>
      </c>
      <c r="K62" s="250">
        <v>1</v>
      </c>
      <c r="L62" s="251">
        <v>1</v>
      </c>
      <c r="M62" s="74"/>
      <c r="N62" s="75"/>
      <c r="O62" s="75"/>
      <c r="P62" s="76"/>
      <c r="Q62" s="74"/>
      <c r="R62" s="75"/>
      <c r="S62" s="75"/>
      <c r="T62" s="76"/>
      <c r="U62" s="77">
        <v>20</v>
      </c>
      <c r="V62" s="78"/>
      <c r="W62" s="79">
        <f>(JRC_Data!BB48/1000)*($V$152/$V$151)</f>
        <v>4.0495867768595044</v>
      </c>
      <c r="X62" s="79">
        <f>(JRC_Data!BC48/1000)*($V$152/$V$151)</f>
        <v>4.0495867768595044</v>
      </c>
      <c r="Y62" s="79">
        <f>(JRC_Data!BD48/1000)*($V$152/$V$151)</f>
        <v>4.0495867768595044</v>
      </c>
      <c r="Z62" s="79">
        <f>(JRC_Data!BE48/1000)*($V$152/$V$151)</f>
        <v>4.0495867768595044</v>
      </c>
      <c r="AA62" s="82">
        <f>JRC_Data!BL48/1000</f>
        <v>0.05</v>
      </c>
      <c r="AB62" s="83"/>
      <c r="AC62" s="84"/>
      <c r="AD62" s="84"/>
      <c r="AE62" s="84"/>
      <c r="AF62" s="84"/>
      <c r="AG62" s="84"/>
      <c r="AH62" s="82">
        <f t="shared" si="27"/>
        <v>0.63072000000000006</v>
      </c>
      <c r="AI62" s="83"/>
      <c r="AJ62" s="83">
        <v>2019</v>
      </c>
      <c r="AK62" s="83">
        <v>20</v>
      </c>
      <c r="AM62" s="104"/>
      <c r="AN62" s="103" t="str">
        <f>C64</f>
        <v>R-SH_Att_ELC_HPN1</v>
      </c>
      <c r="AO62" s="103" t="str">
        <f>D64</f>
        <v>Residential Electric Heat Pump - Air to Air - SH</v>
      </c>
      <c r="AP62" s="104" t="s">
        <v>13</v>
      </c>
      <c r="AQ62" s="104" t="s">
        <v>183</v>
      </c>
      <c r="AR62" s="104"/>
      <c r="AS62" s="104" t="s">
        <v>75</v>
      </c>
    </row>
    <row r="63" spans="3:45" ht="15" x14ac:dyDescent="0.25">
      <c r="C63" s="33" t="s">
        <v>293</v>
      </c>
      <c r="D63" s="33"/>
      <c r="E63" s="33"/>
      <c r="F63" s="34"/>
      <c r="G63" s="34"/>
      <c r="H63" s="34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4"/>
      <c r="V63" s="34"/>
      <c r="W63" s="33"/>
      <c r="X63" s="33"/>
      <c r="Y63" s="33"/>
      <c r="Z63" s="33"/>
      <c r="AA63" s="33"/>
      <c r="AB63" s="34"/>
      <c r="AC63" s="36"/>
      <c r="AD63" s="36"/>
      <c r="AE63" s="36"/>
      <c r="AF63" s="36"/>
      <c r="AG63" s="36"/>
      <c r="AH63" s="33"/>
      <c r="AI63" s="34"/>
      <c r="AJ63" s="34"/>
      <c r="AK63" s="34"/>
      <c r="AM63" s="106"/>
      <c r="AN63" s="105" t="str">
        <f>C65</f>
        <v>R-HC_Att_ELC_HPN1</v>
      </c>
      <c r="AO63" s="105" t="str">
        <f>D65</f>
        <v>Residential Electric Heat Pump - Air to Air - SH + SC</v>
      </c>
      <c r="AP63" s="106" t="s">
        <v>13</v>
      </c>
      <c r="AQ63" s="106" t="s">
        <v>183</v>
      </c>
      <c r="AR63" s="106"/>
      <c r="AS63" s="106" t="s">
        <v>75</v>
      </c>
    </row>
    <row r="64" spans="3:45" ht="15" x14ac:dyDescent="0.25">
      <c r="C64" s="19" t="str">
        <f>"R-SH_Att"&amp;"_"&amp;RIGHT(F64,3)&amp;"_HPN1"</f>
        <v>R-SH_Att_ELC_HPN1</v>
      </c>
      <c r="D64" s="20" t="s">
        <v>109</v>
      </c>
      <c r="E64" s="20"/>
      <c r="F64" s="89" t="s">
        <v>156</v>
      </c>
      <c r="G64" s="89" t="s">
        <v>584</v>
      </c>
      <c r="H64" s="56" t="s">
        <v>142</v>
      </c>
      <c r="I64" s="19">
        <v>1</v>
      </c>
      <c r="J64" s="20">
        <f>JRC_Data!AD16/JRC_Data!$AC$16</f>
        <v>1.0666666666666667</v>
      </c>
      <c r="K64" s="20">
        <f>JRC_Data!AE16/JRC_Data!$AC$16</f>
        <v>1.2333333333333334</v>
      </c>
      <c r="L64" s="56">
        <f>JRC_Data!AF16/JRC_Data!$AC$16</f>
        <v>1.3333333333333333</v>
      </c>
      <c r="M64" s="19"/>
      <c r="N64" s="20"/>
      <c r="O64" s="20"/>
      <c r="P64" s="56"/>
      <c r="Q64" s="19"/>
      <c r="R64" s="20"/>
      <c r="S64" s="20"/>
      <c r="T64" s="56"/>
      <c r="U64" s="52">
        <v>20</v>
      </c>
      <c r="V64" s="48"/>
      <c r="W64" s="19">
        <f>(JRC_Data!BB16/1000)*($V$151/$V$152)</f>
        <v>2.1730612244897962</v>
      </c>
      <c r="X64" s="19">
        <f>(JRC_Data!BC16/1000)*($V$151/$V$152)</f>
        <v>2.0742857142857147</v>
      </c>
      <c r="Y64" s="19">
        <f>(JRC_Data!BD16/1000)*($V$151/$V$152)</f>
        <v>1.8767346938775511</v>
      </c>
      <c r="Z64" s="85">
        <f>(JRC_Data!BE16/1000)*($V$151/$V$152)</f>
        <v>1.7779591836734696</v>
      </c>
      <c r="AA64" s="85">
        <f>JRC_Data!BL16/1000</f>
        <v>3.4000000000000002E-2</v>
      </c>
      <c r="AB64" s="85"/>
      <c r="AC64" s="85"/>
      <c r="AD64" s="85"/>
      <c r="AE64" s="85"/>
      <c r="AF64" s="85"/>
      <c r="AG64" s="85"/>
      <c r="AH64" s="85">
        <f t="shared" si="27"/>
        <v>0.220752</v>
      </c>
      <c r="AI64" s="88"/>
      <c r="AJ64" s="88">
        <v>2100</v>
      </c>
      <c r="AK64" s="88">
        <v>7</v>
      </c>
      <c r="AM64" s="106"/>
      <c r="AN64" s="105" t="str">
        <f>C66</f>
        <v>R-SH_Att_ELC_HPN2</v>
      </c>
      <c r="AO64" s="105" t="str">
        <f>D66</f>
        <v>Residential Electric Heat Pump - Air to Water - SH</v>
      </c>
      <c r="AP64" s="106" t="s">
        <v>13</v>
      </c>
      <c r="AQ64" s="106" t="s">
        <v>183</v>
      </c>
      <c r="AR64" s="106"/>
      <c r="AS64" s="106" t="s">
        <v>75</v>
      </c>
    </row>
    <row r="65" spans="3:45" ht="15" x14ac:dyDescent="0.25">
      <c r="C65" s="22" t="str">
        <f>"R-HC_Att"&amp;"_"&amp;RIGHT(F65,3)&amp;"_HPN1"</f>
        <v>R-HC_Att_ELC_HPN1</v>
      </c>
      <c r="D65" s="23" t="s">
        <v>110</v>
      </c>
      <c r="E65" s="23"/>
      <c r="F65" s="24" t="s">
        <v>156</v>
      </c>
      <c r="G65" s="24" t="s">
        <v>584</v>
      </c>
      <c r="H65" s="57" t="s">
        <v>277</v>
      </c>
      <c r="I65" s="22">
        <v>1</v>
      </c>
      <c r="J65" s="23">
        <f>JRC_Data!AD16/JRC_Data!$AC$16</f>
        <v>1.0666666666666667</v>
      </c>
      <c r="K65" s="23">
        <f>JRC_Data!AE16/JRC_Data!$AC$16</f>
        <v>1.2333333333333334</v>
      </c>
      <c r="L65" s="57">
        <f>JRC_Data!AF16/JRC_Data!$AC$16</f>
        <v>1.3333333333333333</v>
      </c>
      <c r="M65" s="22">
        <v>1</v>
      </c>
      <c r="N65" s="23">
        <f>JRC_Data!AD16/JRC_Data!$AC$16</f>
        <v>1.0666666666666667</v>
      </c>
      <c r="O65" s="23">
        <f>JRC_Data!AE16/JRC_Data!$AC$16</f>
        <v>1.2333333333333334</v>
      </c>
      <c r="P65" s="57">
        <f>JRC_Data!AF16/JRC_Data!$AC$16</f>
        <v>1.3333333333333333</v>
      </c>
      <c r="Q65" s="22"/>
      <c r="R65" s="23"/>
      <c r="S65" s="23"/>
      <c r="T65" s="57"/>
      <c r="U65" s="53">
        <v>20</v>
      </c>
      <c r="V65" s="45"/>
      <c r="W65" s="22">
        <f>(JRC_Data!BB16/1000)*($V$152/$V$152)</f>
        <v>2.2000000000000002</v>
      </c>
      <c r="X65" s="22">
        <f>(JRC_Data!BC16/1000)*($V$152/$V$152)</f>
        <v>2.1</v>
      </c>
      <c r="Y65" s="22">
        <f>(JRC_Data!BD16/1000)*($V$152/$V$152)</f>
        <v>1.9</v>
      </c>
      <c r="Z65" s="63">
        <f>(JRC_Data!BE16/1000)*($V$152/$V$152)</f>
        <v>1.8</v>
      </c>
      <c r="AA65" s="63">
        <f>JRC_Data!BL16/1000</f>
        <v>3.4000000000000002E-2</v>
      </c>
      <c r="AB65" s="63"/>
      <c r="AC65" s="63"/>
      <c r="AD65" s="63"/>
      <c r="AE65" s="63"/>
      <c r="AF65" s="63"/>
      <c r="AG65" s="63"/>
      <c r="AH65" s="63">
        <f t="shared" si="27"/>
        <v>0.26805600000000002</v>
      </c>
      <c r="AI65" s="66"/>
      <c r="AJ65" s="66">
        <v>2100</v>
      </c>
      <c r="AK65" s="66">
        <v>8.5</v>
      </c>
      <c r="AM65" s="106"/>
      <c r="AN65" s="105" t="str">
        <f>C67</f>
        <v>R-SW_Att_ELC_HPN1</v>
      </c>
      <c r="AO65" s="105" t="str">
        <f>D67</f>
        <v>Residential Electric Heat Pump - Air to Water - SH + WH</v>
      </c>
      <c r="AP65" s="106" t="s">
        <v>13</v>
      </c>
      <c r="AQ65" s="106" t="s">
        <v>183</v>
      </c>
      <c r="AR65" s="106"/>
      <c r="AS65" s="106" t="s">
        <v>75</v>
      </c>
    </row>
    <row r="66" spans="3:45" ht="15" x14ac:dyDescent="0.25">
      <c r="C66" s="40" t="str">
        <f>"R-SH_Att"&amp;"_"&amp;RIGHT(F66,3)&amp;"_HPN2"</f>
        <v>R-SH_Att_ELC_HPN2</v>
      </c>
      <c r="D66" s="29" t="s">
        <v>111</v>
      </c>
      <c r="E66" s="29"/>
      <c r="F66" s="30" t="s">
        <v>156</v>
      </c>
      <c r="G66" s="30" t="s">
        <v>584</v>
      </c>
      <c r="H66" s="58" t="s">
        <v>142</v>
      </c>
      <c r="I66" s="40">
        <v>1</v>
      </c>
      <c r="J66" s="29">
        <f>JRC_Data!AD18/JRC_Data!$AC$16</f>
        <v>1.0999999999999999</v>
      </c>
      <c r="K66" s="29">
        <f>JRC_Data!AE18/JRC_Data!$AC$16</f>
        <v>1.2333333333333334</v>
      </c>
      <c r="L66" s="58">
        <f>JRC_Data!AF18/JRC_Data!$AC$16</f>
        <v>1.3333333333333333</v>
      </c>
      <c r="M66" s="40"/>
      <c r="N66" s="29"/>
      <c r="O66" s="29"/>
      <c r="P66" s="58"/>
      <c r="Q66" s="40"/>
      <c r="R66" s="29"/>
      <c r="S66" s="29"/>
      <c r="T66" s="58"/>
      <c r="U66" s="54">
        <v>20</v>
      </c>
      <c r="V66" s="43"/>
      <c r="W66" s="379">
        <v>8.5299999999999994</v>
      </c>
      <c r="X66" s="379">
        <f>W66*0.91</f>
        <v>7.7622999999999998</v>
      </c>
      <c r="Y66" s="379">
        <f>X66*0.91</f>
        <v>7.0636929999999998</v>
      </c>
      <c r="Z66" s="379">
        <f>W66*0.82</f>
        <v>6.9945999999999993</v>
      </c>
      <c r="AA66" s="379">
        <v>0.1</v>
      </c>
      <c r="AB66" s="62"/>
      <c r="AC66" s="62"/>
      <c r="AD66" s="62"/>
      <c r="AE66" s="62"/>
      <c r="AF66" s="62"/>
      <c r="AG66" s="62"/>
      <c r="AH66" s="62">
        <f t="shared" si="27"/>
        <v>0.220752</v>
      </c>
      <c r="AI66" s="65"/>
      <c r="AJ66" s="65">
        <v>2019</v>
      </c>
      <c r="AK66" s="65">
        <v>7</v>
      </c>
      <c r="AM66" s="212"/>
      <c r="AN66" s="105" t="str">
        <f>C68</f>
        <v>R-SW_Att_ELC_HPN2</v>
      </c>
      <c r="AO66" s="105" t="str">
        <f>D68</f>
        <v>Residential Electric Heat Pump - Air to Water - SH + WH + Solar</v>
      </c>
      <c r="AP66" s="106" t="s">
        <v>13</v>
      </c>
      <c r="AQ66" s="106" t="s">
        <v>183</v>
      </c>
      <c r="AR66" s="106"/>
      <c r="AS66" s="106" t="s">
        <v>75</v>
      </c>
    </row>
    <row r="67" spans="3:45" ht="15" x14ac:dyDescent="0.25">
      <c r="C67" s="22" t="str">
        <f>"R-SW_Att"&amp;"_"&amp;RIGHT(F67,3)&amp;"_HPN1"</f>
        <v>R-SW_Att_ELC_HPN1</v>
      </c>
      <c r="D67" s="23" t="s">
        <v>112</v>
      </c>
      <c r="E67" s="23"/>
      <c r="F67" s="24" t="s">
        <v>156</v>
      </c>
      <c r="G67" s="24" t="s">
        <v>687</v>
      </c>
      <c r="H67" s="57" t="s">
        <v>276</v>
      </c>
      <c r="I67" s="22">
        <v>1</v>
      </c>
      <c r="J67" s="23">
        <f>JRC_Data!AD18/JRC_Data!$AC$16</f>
        <v>1.0999999999999999</v>
      </c>
      <c r="K67" s="23">
        <f>JRC_Data!AE18/JRC_Data!$AC$16</f>
        <v>1.2333333333333334</v>
      </c>
      <c r="L67" s="57">
        <f>JRC_Data!AF18/JRC_Data!$AC$16</f>
        <v>1.3333333333333333</v>
      </c>
      <c r="M67" s="22"/>
      <c r="N67" s="23"/>
      <c r="O67" s="23"/>
      <c r="P67" s="57"/>
      <c r="Q67" s="22">
        <f>I67*0.7</f>
        <v>0.7</v>
      </c>
      <c r="R67" s="23">
        <f t="shared" ref="R67:R68" si="48">J67*0.7</f>
        <v>0.76999999999999991</v>
      </c>
      <c r="S67" s="23">
        <f t="shared" ref="S67:S68" si="49">K67*0.7</f>
        <v>0.86333333333333329</v>
      </c>
      <c r="T67" s="57">
        <f t="shared" ref="T67:T68" si="50">L67*0.7</f>
        <v>0.93333333333333324</v>
      </c>
      <c r="U67" s="53">
        <v>20</v>
      </c>
      <c r="V67" s="45"/>
      <c r="W67" s="380">
        <f>W66*($V$150/$V$149)</f>
        <v>8.6019831223628689</v>
      </c>
      <c r="X67" s="380">
        <f>X66*($V$150/$V$149)</f>
        <v>7.8278046413502116</v>
      </c>
      <c r="Y67" s="380">
        <f>Y66*($V$150/$V$149)</f>
        <v>7.1233022236286923</v>
      </c>
      <c r="Z67" s="380">
        <f>Z66*($V$150/$V$149)</f>
        <v>7.0536261603375525</v>
      </c>
      <c r="AA67" s="380">
        <v>0.1</v>
      </c>
      <c r="AB67" s="63"/>
      <c r="AC67" s="63"/>
      <c r="AD67" s="63"/>
      <c r="AE67" s="63"/>
      <c r="AF67" s="63"/>
      <c r="AG67" s="63"/>
      <c r="AH67" s="63">
        <f t="shared" si="27"/>
        <v>0.26805600000000002</v>
      </c>
      <c r="AI67" s="66"/>
      <c r="AJ67" s="66">
        <v>2019</v>
      </c>
      <c r="AK67" s="66">
        <v>8.5</v>
      </c>
      <c r="AM67" s="212"/>
      <c r="AN67" s="105" t="str">
        <f>C69</f>
        <v>R-SH_Att_ELC_HPN3</v>
      </c>
      <c r="AO67" s="105" t="str">
        <f>D69</f>
        <v>Residential Electric Heat Pump - Ground to Water - SH</v>
      </c>
      <c r="AP67" s="106" t="s">
        <v>13</v>
      </c>
      <c r="AQ67" s="106" t="s">
        <v>183</v>
      </c>
      <c r="AR67" s="106"/>
      <c r="AS67" s="106" t="s">
        <v>75</v>
      </c>
    </row>
    <row r="68" spans="3:45" ht="15.75" thickBot="1" x14ac:dyDescent="0.3">
      <c r="C68" s="40" t="str">
        <f>"R-SW_Att"&amp;"_"&amp;RIGHT(F68,3)&amp;"_HPN2"</f>
        <v>R-SW_Att_ELC_HPN2</v>
      </c>
      <c r="D68" s="29" t="s">
        <v>113</v>
      </c>
      <c r="E68" s="29"/>
      <c r="F68" s="30" t="s">
        <v>576</v>
      </c>
      <c r="G68" s="30" t="s">
        <v>687</v>
      </c>
      <c r="H68" s="58" t="s">
        <v>276</v>
      </c>
      <c r="I68" s="40">
        <v>1</v>
      </c>
      <c r="J68" s="29">
        <v>1.1100000000000001</v>
      </c>
      <c r="K68" s="29">
        <v>1.19</v>
      </c>
      <c r="L68" s="58">
        <v>1.19</v>
      </c>
      <c r="M68" s="40"/>
      <c r="N68" s="29"/>
      <c r="O68" s="29"/>
      <c r="P68" s="58"/>
      <c r="Q68" s="40">
        <f>I68*0.7</f>
        <v>0.7</v>
      </c>
      <c r="R68" s="29">
        <f t="shared" si="48"/>
        <v>0.77700000000000002</v>
      </c>
      <c r="S68" s="29">
        <f t="shared" si="49"/>
        <v>0.83299999999999996</v>
      </c>
      <c r="T68" s="58">
        <f t="shared" si="50"/>
        <v>0.83299999999999996</v>
      </c>
      <c r="U68" s="54">
        <v>20</v>
      </c>
      <c r="V68" s="43"/>
      <c r="W68" s="40">
        <f>((JRC_Data!BB18+JRC_Data!BB45)*0.8/1000)*($V$152/$V$151)</f>
        <v>13.282644628099174</v>
      </c>
      <c r="X68" s="40">
        <f>((JRC_Data!BC18+JRC_Data!BC45)*0.8/1000)*($V$152/$V$151)</f>
        <v>12.229752066115703</v>
      </c>
      <c r="Y68" s="40">
        <f>((JRC_Data!BD18+JRC_Data!BD45)*0.8/1000)*($V$152/$V$151)</f>
        <v>11.824793388429752</v>
      </c>
      <c r="Z68" s="62">
        <f>((JRC_Data!BE18+JRC_Data!BE45)*0.8/1000)*($V$152/$V$151)</f>
        <v>10.285950413223141</v>
      </c>
      <c r="AA68" s="62">
        <f>((JRC_Data!BL18+JRC_Data!BL45)*0.8)/1000</f>
        <v>0.16960000000000003</v>
      </c>
      <c r="AB68" s="62"/>
      <c r="AC68" s="72">
        <v>0.66</v>
      </c>
      <c r="AD68" s="62"/>
      <c r="AE68" s="62"/>
      <c r="AF68" s="62"/>
      <c r="AG68" s="216">
        <v>5</v>
      </c>
      <c r="AH68" s="62">
        <f t="shared" si="27"/>
        <v>0.26805600000000002</v>
      </c>
      <c r="AI68" s="65"/>
      <c r="AJ68" s="65">
        <v>2019</v>
      </c>
      <c r="AK68" s="65">
        <v>8.5</v>
      </c>
      <c r="AM68" s="112"/>
      <c r="AN68" s="108" t="str">
        <f>C70</f>
        <v>R-HC_Att_ELC_HPN2</v>
      </c>
      <c r="AO68" s="108" t="str">
        <f>D70</f>
        <v>Residential Electric Heat Pump - Ground to Water - SH + SC</v>
      </c>
      <c r="AP68" s="109" t="s">
        <v>13</v>
      </c>
      <c r="AQ68" s="109" t="s">
        <v>183</v>
      </c>
      <c r="AR68" s="109"/>
      <c r="AS68" s="109" t="s">
        <v>75</v>
      </c>
    </row>
    <row r="69" spans="3:45" ht="15" x14ac:dyDescent="0.25">
      <c r="C69" s="22" t="str">
        <f>"R-SH_Att"&amp;"_"&amp;RIGHT(F69,3)&amp;"_HPN3"</f>
        <v>R-SH_Att_ELC_HPN3</v>
      </c>
      <c r="D69" s="23" t="s">
        <v>114</v>
      </c>
      <c r="E69" s="23"/>
      <c r="F69" s="24" t="s">
        <v>156</v>
      </c>
      <c r="G69" s="24" t="s">
        <v>584</v>
      </c>
      <c r="H69" s="57" t="s">
        <v>142</v>
      </c>
      <c r="I69" s="22">
        <f>JRC_Data!AC20/JRC_Data!$AC$16</f>
        <v>1.0999999999999999</v>
      </c>
      <c r="J69" s="23">
        <f>JRC_Data!AD20/JRC_Data!$AC$16</f>
        <v>1.1666666666666667</v>
      </c>
      <c r="K69" s="23">
        <f>JRC_Data!AE20/JRC_Data!$AC$16</f>
        <v>1.3333333333333333</v>
      </c>
      <c r="L69" s="57">
        <f>JRC_Data!AF20/JRC_Data!$AC$16</f>
        <v>1.5</v>
      </c>
      <c r="M69" s="22"/>
      <c r="N69" s="23"/>
      <c r="O69" s="23"/>
      <c r="P69" s="57"/>
      <c r="Q69" s="22"/>
      <c r="R69" s="23"/>
      <c r="S69" s="23"/>
      <c r="T69" s="57"/>
      <c r="U69" s="53">
        <v>20</v>
      </c>
      <c r="V69" s="45"/>
      <c r="W69" s="22">
        <f>(JRC_Data!BB20/1000)*($V$151/$V$152)</f>
        <v>13.828571428571429</v>
      </c>
      <c r="X69" s="22">
        <f>(JRC_Data!BC20/1000)*($V$151/$V$152)</f>
        <v>12.840816326530613</v>
      </c>
      <c r="Y69" s="22">
        <f>(JRC_Data!BD20/1000)*($V$151/$V$152)</f>
        <v>11.853061224489796</v>
      </c>
      <c r="Z69" s="63">
        <f>(JRC_Data!BE20/1000)*($V$151/$V$152)</f>
        <v>10.865306122448981</v>
      </c>
      <c r="AA69" s="63">
        <f>JRC_Data!BL20/1000</f>
        <v>0.2</v>
      </c>
      <c r="AB69" s="63"/>
      <c r="AC69" s="63"/>
      <c r="AD69" s="63"/>
      <c r="AE69" s="63"/>
      <c r="AF69" s="63"/>
      <c r="AG69" s="63"/>
      <c r="AH69" s="63">
        <f t="shared" si="27"/>
        <v>0.220752</v>
      </c>
      <c r="AI69" s="66"/>
      <c r="AJ69" s="66">
        <v>2019</v>
      </c>
      <c r="AK69" s="66">
        <v>7</v>
      </c>
      <c r="AM69" s="113"/>
      <c r="AN69" s="103" t="str">
        <f>C72</f>
        <v>R-SW_Att_GAS_HPN1</v>
      </c>
      <c r="AO69" s="103" t="str">
        <f>D72</f>
        <v>Residential Gas Absorption Heat Pump - Air to Water - SH + WH</v>
      </c>
      <c r="AP69" s="104" t="s">
        <v>13</v>
      </c>
      <c r="AQ69" s="104" t="s">
        <v>183</v>
      </c>
      <c r="AR69" s="104"/>
      <c r="AS69" s="104" t="s">
        <v>75</v>
      </c>
    </row>
    <row r="70" spans="3:45" ht="15.75" thickBot="1" x14ac:dyDescent="0.3">
      <c r="C70" s="94" t="str">
        <f>"R-HC_Att"&amp;"_"&amp;RIGHT(F70,3)&amp;"_HPN2"</f>
        <v>R-HC_Att_ELC_HPN2</v>
      </c>
      <c r="D70" s="90" t="s">
        <v>115</v>
      </c>
      <c r="E70" s="90"/>
      <c r="F70" s="119" t="s">
        <v>156</v>
      </c>
      <c r="G70" s="119" t="s">
        <v>584</v>
      </c>
      <c r="H70" s="95" t="s">
        <v>277</v>
      </c>
      <c r="I70" s="94">
        <f>JRC_Data!AC20/JRC_Data!$AC$16</f>
        <v>1.0999999999999999</v>
      </c>
      <c r="J70" s="90">
        <f>JRC_Data!AD20/JRC_Data!$AC$16</f>
        <v>1.1666666666666667</v>
      </c>
      <c r="K70" s="90">
        <f>JRC_Data!AE20/JRC_Data!$AC$16</f>
        <v>1.3333333333333333</v>
      </c>
      <c r="L70" s="95">
        <f>JRC_Data!AF20/JRC_Data!$AC$16</f>
        <v>1.5</v>
      </c>
      <c r="M70" s="94">
        <f>JRC_Data!AC20/JRC_Data!$AC$16</f>
        <v>1.0999999999999999</v>
      </c>
      <c r="N70" s="90">
        <f>JRC_Data!AD20/JRC_Data!$AC$16</f>
        <v>1.1666666666666667</v>
      </c>
      <c r="O70" s="90">
        <f>JRC_Data!AE20/JRC_Data!$AC$16</f>
        <v>1.3333333333333333</v>
      </c>
      <c r="P70" s="95">
        <f>JRC_Data!AF20/JRC_Data!$AC$16</f>
        <v>1.5</v>
      </c>
      <c r="Q70" s="94"/>
      <c r="R70" s="90"/>
      <c r="S70" s="90"/>
      <c r="T70" s="95"/>
      <c r="U70" s="101">
        <v>20</v>
      </c>
      <c r="V70" s="102"/>
      <c r="W70" s="94">
        <f>(JRC_Data!BB20/1000)*($V$152/$V$152)</f>
        <v>14</v>
      </c>
      <c r="X70" s="94">
        <f>(JRC_Data!BC20/1000)*($V$152/$V$152)</f>
        <v>13</v>
      </c>
      <c r="Y70" s="94">
        <f>(JRC_Data!BD20/1000)*($V$152/$V$152)</f>
        <v>12</v>
      </c>
      <c r="Z70" s="86">
        <f>(JRC_Data!BE20/1000)*($V$152/$V$152)</f>
        <v>11</v>
      </c>
      <c r="AA70" s="86">
        <f>JRC_Data!BL20/1000</f>
        <v>0.2</v>
      </c>
      <c r="AB70" s="86"/>
      <c r="AC70" s="86"/>
      <c r="AD70" s="86"/>
      <c r="AE70" s="86"/>
      <c r="AF70" s="86"/>
      <c r="AG70" s="86"/>
      <c r="AH70" s="86">
        <f t="shared" si="27"/>
        <v>0.26805600000000002</v>
      </c>
      <c r="AI70" s="91"/>
      <c r="AJ70" s="91">
        <v>2019</v>
      </c>
      <c r="AK70" s="91">
        <v>8.5</v>
      </c>
      <c r="AM70" s="213"/>
      <c r="AN70" s="108" t="str">
        <f>C73</f>
        <v>R-SW_Att_GAS_HPN2</v>
      </c>
      <c r="AO70" s="108" t="str">
        <f>D73</f>
        <v>Residential Gas Engine Heat Pump - Air to Water - SH + WH</v>
      </c>
      <c r="AP70" s="109" t="s">
        <v>13</v>
      </c>
      <c r="AQ70" s="109" t="s">
        <v>183</v>
      </c>
      <c r="AR70" s="109"/>
      <c r="AS70" s="109" t="s">
        <v>75</v>
      </c>
    </row>
    <row r="71" spans="3:45" ht="15.75" thickBot="1" x14ac:dyDescent="0.3">
      <c r="C71" s="33" t="s">
        <v>294</v>
      </c>
      <c r="D71" s="33"/>
      <c r="E71" s="33"/>
      <c r="F71" s="34"/>
      <c r="G71" s="34"/>
      <c r="H71" s="34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4"/>
      <c r="V71" s="34"/>
      <c r="W71" s="33"/>
      <c r="X71" s="33"/>
      <c r="Y71" s="33"/>
      <c r="Z71" s="33"/>
      <c r="AA71" s="33"/>
      <c r="AB71" s="87"/>
      <c r="AC71" s="36"/>
      <c r="AD71" s="36"/>
      <c r="AE71" s="36"/>
      <c r="AF71" s="36"/>
      <c r="AG71" s="36"/>
      <c r="AH71" s="33"/>
      <c r="AI71" s="34"/>
      <c r="AJ71" s="34"/>
      <c r="AK71" s="34"/>
      <c r="AM71" s="214"/>
      <c r="AN71" s="111" t="str">
        <f>C75</f>
        <v>R-SW_Att_GAS_HHPN1</v>
      </c>
      <c r="AO71" s="111" t="str">
        <f>D75</f>
        <v>Residential Gas Hybrid Heat Pump - Air to Water - SH + WH</v>
      </c>
      <c r="AP71" s="110" t="s">
        <v>13</v>
      </c>
      <c r="AQ71" s="110" t="s">
        <v>183</v>
      </c>
      <c r="AR71" s="110"/>
      <c r="AS71" s="110" t="s">
        <v>75</v>
      </c>
    </row>
    <row r="72" spans="3:45" ht="15" x14ac:dyDescent="0.25">
      <c r="C72" s="19" t="str">
        <f>"R-SW_Att"&amp;"_"&amp;RIGHT(F72,3)&amp;"_HPN1"</f>
        <v>R-SW_Att_GAS_HPN1</v>
      </c>
      <c r="D72" s="20" t="s">
        <v>116</v>
      </c>
      <c r="E72" s="20"/>
      <c r="F72" s="89" t="s">
        <v>721</v>
      </c>
      <c r="G72" s="89" t="s">
        <v>687</v>
      </c>
      <c r="H72" s="89" t="s">
        <v>276</v>
      </c>
      <c r="I72" s="379">
        <f>JRC_Data!AC28/0.81</f>
        <v>1.6666666666666667</v>
      </c>
      <c r="J72" s="379">
        <f>JRC_Data!AD28/0.81</f>
        <v>1.7901234567901232</v>
      </c>
      <c r="K72" s="379">
        <f>JRC_Data!AE28/0.81</f>
        <v>2.0987654320987654</v>
      </c>
      <c r="L72" s="379">
        <f>JRC_Data!AF28/0.81</f>
        <v>2.0987654320987654</v>
      </c>
      <c r="M72" s="46"/>
      <c r="N72" s="47"/>
      <c r="O72" s="47"/>
      <c r="P72" s="48"/>
      <c r="Q72" s="19">
        <f>I72*0.7</f>
        <v>1.1666666666666667</v>
      </c>
      <c r="R72" s="20">
        <f t="shared" ref="R72:R73" si="51">J72*0.7</f>
        <v>1.2530864197530862</v>
      </c>
      <c r="S72" s="20">
        <f t="shared" ref="S72:S73" si="52">K72*0.7</f>
        <v>1.4691358024691357</v>
      </c>
      <c r="T72" s="56">
        <f t="shared" ref="T72:T73" si="53">L72*0.7</f>
        <v>1.4691358024691357</v>
      </c>
      <c r="U72" s="89">
        <v>20</v>
      </c>
      <c r="V72" s="48"/>
      <c r="W72" s="19">
        <f>(JRC_Data!BB28/1000)*($V$152/$V$153)</f>
        <v>14.756756756756756</v>
      </c>
      <c r="X72" s="19">
        <f>(JRC_Data!BC28/1000)*($V$152/$V$153)</f>
        <v>13.810810810810811</v>
      </c>
      <c r="Y72" s="19">
        <f>(JRC_Data!BD28/1000)*($V$152/$V$153)</f>
        <v>11.918918918918919</v>
      </c>
      <c r="Z72" s="85">
        <f>(JRC_Data!BE28/1000)*($V$152/$V$153)</f>
        <v>11.918918918918919</v>
      </c>
      <c r="AA72" s="85">
        <f>JRC_Data!BL28/1000</f>
        <v>0.23499999999999999</v>
      </c>
      <c r="AB72" s="85"/>
      <c r="AC72" s="56"/>
      <c r="AD72" s="85"/>
      <c r="AE72" s="85"/>
      <c r="AF72" s="85"/>
      <c r="AG72" s="85"/>
      <c r="AH72" s="85">
        <f t="shared" si="27"/>
        <v>0.7884000000000001</v>
      </c>
      <c r="AI72" s="88"/>
      <c r="AJ72" s="88">
        <v>2019</v>
      </c>
      <c r="AK72" s="88">
        <v>25</v>
      </c>
      <c r="AM72" s="215"/>
      <c r="AN72" s="103" t="str">
        <f>C77</f>
        <v>R-SW_Att_HET_N1</v>
      </c>
      <c r="AO72" s="103" t="str">
        <f>D77</f>
        <v>Residential District Heating Centralized - SH + WH</v>
      </c>
      <c r="AP72" s="104" t="s">
        <v>13</v>
      </c>
      <c r="AQ72" s="104" t="s">
        <v>183</v>
      </c>
      <c r="AR72" s="104"/>
      <c r="AS72" s="104" t="s">
        <v>75</v>
      </c>
    </row>
    <row r="73" spans="3:45" ht="15.75" thickBot="1" x14ac:dyDescent="0.3">
      <c r="C73" s="252" t="str">
        <f>"R-SW_Att"&amp;"_"&amp;RIGHT(F73,3)&amp;"_HPN2"</f>
        <v>R-SW_Att_GAS_HPN2</v>
      </c>
      <c r="D73" s="26" t="s">
        <v>117</v>
      </c>
      <c r="E73" s="26"/>
      <c r="F73" s="27" t="s">
        <v>721</v>
      </c>
      <c r="G73" s="27" t="s">
        <v>687</v>
      </c>
      <c r="H73" s="27" t="s">
        <v>276</v>
      </c>
      <c r="I73" s="380">
        <f>JRC_Data!AC30/0.9</f>
        <v>1.6666666666666665</v>
      </c>
      <c r="J73" s="380">
        <f>JRC_Data!AD30/0.9</f>
        <v>1.7222222222222223</v>
      </c>
      <c r="K73" s="380">
        <f>JRC_Data!AE30/0.9</f>
        <v>1.7222222222222223</v>
      </c>
      <c r="L73" s="380">
        <f>JRC_Data!AF30/0.9</f>
        <v>1.7777777777777779</v>
      </c>
      <c r="M73" s="49"/>
      <c r="N73" s="50"/>
      <c r="O73" s="50"/>
      <c r="P73" s="51"/>
      <c r="Q73" s="252">
        <f>I73*0.7</f>
        <v>1.1666666666666665</v>
      </c>
      <c r="R73" s="26">
        <f t="shared" si="51"/>
        <v>1.2055555555555555</v>
      </c>
      <c r="S73" s="26">
        <f t="shared" si="52"/>
        <v>1.2055555555555555</v>
      </c>
      <c r="T73" s="59">
        <f t="shared" si="53"/>
        <v>1.2444444444444445</v>
      </c>
      <c r="U73" s="27">
        <v>15</v>
      </c>
      <c r="V73" s="51"/>
      <c r="W73" s="252">
        <f>(JRC_Data!BB30/1000)*($V$152/$V$153)</f>
        <v>44.932432432432435</v>
      </c>
      <c r="X73" s="252">
        <f>(JRC_Data!BC30/1000)*($V$152/$V$153)</f>
        <v>44.932432432432435</v>
      </c>
      <c r="Y73" s="252">
        <f>(JRC_Data!BD30/1000)*($V$152/$V$153)</f>
        <v>44.932432432432435</v>
      </c>
      <c r="Z73" s="64">
        <f>(JRC_Data!BE30/1000)*($V$152/$V$153)</f>
        <v>44.932432432432435</v>
      </c>
      <c r="AA73" s="64">
        <f>JRC_Data!BL28/1000</f>
        <v>0.23499999999999999</v>
      </c>
      <c r="AB73" s="64"/>
      <c r="AC73" s="59"/>
      <c r="AD73" s="64"/>
      <c r="AE73" s="64"/>
      <c r="AF73" s="64"/>
      <c r="AG73" s="64"/>
      <c r="AH73" s="64">
        <f>31.536*(AK73/1000)</f>
        <v>0.7884000000000001</v>
      </c>
      <c r="AI73" s="67"/>
      <c r="AJ73" s="67">
        <v>2019</v>
      </c>
      <c r="AK73" s="67">
        <v>25</v>
      </c>
      <c r="AM73" s="114"/>
      <c r="AN73" s="108" t="str">
        <f>C78</f>
        <v>R-SW_Att_HET_N2</v>
      </c>
      <c r="AO73" s="108" t="str">
        <f>D78</f>
        <v>Residential District Heating Decentralized - SH + WH</v>
      </c>
      <c r="AP73" s="109" t="s">
        <v>13</v>
      </c>
      <c r="AQ73" s="109" t="s">
        <v>183</v>
      </c>
      <c r="AR73" s="109"/>
      <c r="AS73" s="109" t="s">
        <v>75</v>
      </c>
    </row>
    <row r="74" spans="3:45" ht="15" x14ac:dyDescent="0.25">
      <c r="C74" s="33" t="s">
        <v>108</v>
      </c>
      <c r="D74" s="33"/>
      <c r="E74" s="33"/>
      <c r="F74" s="34"/>
      <c r="G74" s="34"/>
      <c r="H74" s="34"/>
      <c r="I74" s="34"/>
      <c r="J74" s="34"/>
      <c r="K74" s="34"/>
      <c r="L74" s="34"/>
      <c r="M74" s="35"/>
      <c r="N74" s="35"/>
      <c r="O74" s="35"/>
      <c r="P74" s="35"/>
      <c r="Q74" s="33"/>
      <c r="R74" s="33"/>
      <c r="S74" s="33"/>
      <c r="T74" s="33"/>
      <c r="U74" s="34"/>
      <c r="V74" s="34"/>
      <c r="W74" s="33"/>
      <c r="X74" s="33"/>
      <c r="Y74" s="33"/>
      <c r="Z74" s="33"/>
      <c r="AA74" s="33"/>
      <c r="AB74" s="34"/>
      <c r="AC74" s="36"/>
      <c r="AD74" s="36"/>
      <c r="AE74" s="36"/>
      <c r="AF74" s="36"/>
      <c r="AG74" s="36"/>
      <c r="AH74" s="33"/>
      <c r="AI74" s="34"/>
      <c r="AJ74" s="34"/>
      <c r="AK74" s="34"/>
      <c r="AM74" s="215"/>
      <c r="AN74" s="103" t="str">
        <f>C80</f>
        <v>R-WH_Att_ELC_N1</v>
      </c>
      <c r="AO74" s="103" t="str">
        <f>D80</f>
        <v xml:space="preserve">Residential Electric Water Heater </v>
      </c>
      <c r="AP74" s="104" t="s">
        <v>13</v>
      </c>
      <c r="AQ74" s="104" t="s">
        <v>183</v>
      </c>
      <c r="AR74" s="104"/>
      <c r="AS74" s="104" t="s">
        <v>75</v>
      </c>
    </row>
    <row r="75" spans="3:45" ht="15.75" thickBot="1" x14ac:dyDescent="0.3">
      <c r="C75" s="96" t="str">
        <f>"R-SW_Att"&amp;"_"&amp;RIGHT(F75,3)&amp;"_HHPN1"</f>
        <v>R-SW_Att_GAS_HHPN1</v>
      </c>
      <c r="D75" s="80" t="s">
        <v>125</v>
      </c>
      <c r="E75" s="80"/>
      <c r="F75" s="121" t="s">
        <v>722</v>
      </c>
      <c r="G75" s="121" t="s">
        <v>687</v>
      </c>
      <c r="H75" s="98" t="s">
        <v>276</v>
      </c>
      <c r="I75" s="379">
        <f>1*$AE$28+JRC_Data!AD18*(1.2-$AE$28)</f>
        <v>3.1549999999999998</v>
      </c>
      <c r="J75" s="379">
        <f>1*$AE$28+JRC_Data!AE18*(1.2-$AE$28)</f>
        <v>3.4950000000000001</v>
      </c>
      <c r="K75" s="379">
        <f>1*$AE$28+JRC_Data!AF18*(1.2-$AE$28)</f>
        <v>3.75</v>
      </c>
      <c r="L75" s="379">
        <f>1*$AE$28+JRC_Data!AG18*(1.2-$AE$28)</f>
        <v>3.75</v>
      </c>
      <c r="M75" s="49"/>
      <c r="N75" s="50"/>
      <c r="O75" s="50"/>
      <c r="P75" s="51"/>
      <c r="Q75" s="252">
        <f>I75*0.7</f>
        <v>2.2084999999999999</v>
      </c>
      <c r="R75" s="26">
        <f t="shared" ref="R75" si="54">J75*0.7</f>
        <v>2.4464999999999999</v>
      </c>
      <c r="S75" s="26">
        <f t="shared" ref="S75" si="55">K75*0.7</f>
        <v>2.625</v>
      </c>
      <c r="T75" s="59">
        <f t="shared" ref="T75" si="56">L75*0.7</f>
        <v>2.625</v>
      </c>
      <c r="U75" s="3">
        <v>20</v>
      </c>
      <c r="W75" s="79">
        <f>(W67+W50)*0.8</f>
        <v>9.5138179028489738</v>
      </c>
      <c r="X75" s="79">
        <f t="shared" ref="X75:Z75" si="57">(X67+X50)*0.8</f>
        <v>8.8944751180388462</v>
      </c>
      <c r="Y75" s="79">
        <f t="shared" si="57"/>
        <v>8.3308731838616321</v>
      </c>
      <c r="Z75" s="79">
        <f t="shared" si="57"/>
        <v>8.2751323332287203</v>
      </c>
      <c r="AA75" s="371">
        <f>(JRC_Data!BL9+JRC_Data!BL18)*0.8/1000</f>
        <v>0.308</v>
      </c>
      <c r="AB75" s="83"/>
      <c r="AC75" s="84"/>
      <c r="AD75" s="84"/>
      <c r="AE75" s="84">
        <v>0.35</v>
      </c>
      <c r="AF75" s="73">
        <f>AE75</f>
        <v>0.35</v>
      </c>
      <c r="AG75" s="83">
        <v>5</v>
      </c>
      <c r="AH75" s="82">
        <f t="shared" si="27"/>
        <v>0.45017639999999998</v>
      </c>
      <c r="AI75" s="83"/>
      <c r="AJ75" s="83">
        <v>2019</v>
      </c>
      <c r="AK75" s="83">
        <f>AK50*AE75+AK68*(1-AE75)</f>
        <v>14.275</v>
      </c>
      <c r="AM75" s="2"/>
      <c r="AN75" s="105" t="str">
        <f>C81</f>
        <v>R-WH_Att_SOL_N1</v>
      </c>
      <c r="AO75" s="105" t="str">
        <f>D81</f>
        <v xml:space="preserve">Residential Solar Water Heater </v>
      </c>
      <c r="AP75" s="106" t="s">
        <v>13</v>
      </c>
      <c r="AQ75" s="106" t="s">
        <v>183</v>
      </c>
      <c r="AR75" s="106"/>
      <c r="AS75" s="106" t="s">
        <v>75</v>
      </c>
    </row>
    <row r="76" spans="3:45" ht="15" x14ac:dyDescent="0.25">
      <c r="C76" s="33" t="s">
        <v>118</v>
      </c>
      <c r="D76" s="33"/>
      <c r="E76" s="33"/>
      <c r="F76" s="34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4"/>
      <c r="V76" s="34"/>
      <c r="W76" s="33"/>
      <c r="X76" s="33"/>
      <c r="Y76" s="33"/>
      <c r="Z76" s="33"/>
      <c r="AA76" s="33"/>
      <c r="AB76" s="34"/>
      <c r="AC76" s="36"/>
      <c r="AD76" s="36"/>
      <c r="AE76" s="36"/>
      <c r="AF76" s="36"/>
      <c r="AG76" s="36"/>
      <c r="AH76" s="33"/>
      <c r="AI76" s="34"/>
      <c r="AJ76" s="34"/>
      <c r="AK76" s="34"/>
      <c r="AM76" s="2"/>
      <c r="AN76" s="105" t="str">
        <f>C83</f>
        <v>R-SC_Att_ELC_N1</v>
      </c>
      <c r="AO76" s="105" t="str">
        <f>D83</f>
        <v>Residential Electric Air Conditioning</v>
      </c>
      <c r="AP76" s="104" t="s">
        <v>13</v>
      </c>
      <c r="AQ76" s="104" t="s">
        <v>183</v>
      </c>
      <c r="AR76" s="104"/>
      <c r="AS76" s="104" t="s">
        <v>75</v>
      </c>
    </row>
    <row r="77" spans="3:45" x14ac:dyDescent="0.2">
      <c r="C77" s="19" t="str">
        <f>"R-SW_Att"&amp;"_"&amp;RIGHT(F77,3)&amp;"_N1"</f>
        <v>R-SW_Att_HET_N1</v>
      </c>
      <c r="D77" s="20" t="s">
        <v>119</v>
      </c>
      <c r="E77" s="20"/>
      <c r="F77" s="89" t="s">
        <v>273</v>
      </c>
      <c r="G77" s="89"/>
      <c r="H77" s="89" t="s">
        <v>276</v>
      </c>
      <c r="I77" s="19">
        <v>1</v>
      </c>
      <c r="J77" s="20">
        <v>1</v>
      </c>
      <c r="K77" s="20">
        <v>1</v>
      </c>
      <c r="L77" s="56">
        <v>1</v>
      </c>
      <c r="M77" s="46"/>
      <c r="N77" s="47"/>
      <c r="O77" s="47"/>
      <c r="P77" s="48"/>
      <c r="Q77" s="246">
        <v>1</v>
      </c>
      <c r="R77" s="247">
        <v>1</v>
      </c>
      <c r="S77" s="247">
        <v>1</v>
      </c>
      <c r="T77" s="248">
        <v>1</v>
      </c>
      <c r="U77" s="52">
        <v>20</v>
      </c>
      <c r="V77" s="48"/>
      <c r="W77" s="19">
        <f>(JRC_Data!BB62/1000)*($V$152/$V$148)</f>
        <v>2.7222222222222219</v>
      </c>
      <c r="X77" s="19">
        <f>(JRC_Data!BC62/1000)*($V$152/$V$148)</f>
        <v>2.7222222222222219</v>
      </c>
      <c r="Y77" s="19">
        <f>(JRC_Data!BD62/1000)*($V$152/$V$148)</f>
        <v>2.7222222222222219</v>
      </c>
      <c r="Z77" s="19">
        <f>(JRC_Data!BE62/1000)*($V$152/$V$148)</f>
        <v>2.7222222222222219</v>
      </c>
      <c r="AA77" s="85">
        <f>JRC_Data!BL62/1000</f>
        <v>0.15</v>
      </c>
      <c r="AB77" s="85"/>
      <c r="AC77" s="85"/>
      <c r="AD77" s="85"/>
      <c r="AE77" s="85"/>
      <c r="AF77" s="85"/>
      <c r="AG77" s="85"/>
      <c r="AH77" s="85">
        <f t="shared" si="27"/>
        <v>0.7884000000000001</v>
      </c>
      <c r="AI77" s="88"/>
      <c r="AJ77" s="88">
        <v>2019</v>
      </c>
      <c r="AK77" s="88">
        <v>25</v>
      </c>
    </row>
    <row r="78" spans="3:45" x14ac:dyDescent="0.2">
      <c r="C78" s="252" t="str">
        <f>"R-SW_Att"&amp;"_"&amp;RIGHT(F78,3)&amp;"_N2"</f>
        <v>R-SW_Att_HET_N2</v>
      </c>
      <c r="D78" s="26" t="s">
        <v>120</v>
      </c>
      <c r="E78" s="26"/>
      <c r="F78" s="27" t="s">
        <v>273</v>
      </c>
      <c r="G78" s="27"/>
      <c r="H78" s="27" t="s">
        <v>276</v>
      </c>
      <c r="I78" s="252">
        <v>1</v>
      </c>
      <c r="J78" s="26">
        <v>1</v>
      </c>
      <c r="K78" s="26">
        <v>1</v>
      </c>
      <c r="L78" s="59">
        <v>1</v>
      </c>
      <c r="M78" s="49"/>
      <c r="N78" s="50"/>
      <c r="O78" s="50"/>
      <c r="P78" s="51"/>
      <c r="Q78" s="253">
        <v>1</v>
      </c>
      <c r="R78" s="254">
        <v>1</v>
      </c>
      <c r="S78" s="254">
        <v>1</v>
      </c>
      <c r="T78" s="255">
        <v>1</v>
      </c>
      <c r="U78" s="55">
        <v>20</v>
      </c>
      <c r="V78" s="51"/>
      <c r="W78" s="252">
        <f>(JRC_Data!BB62/1000)*($V$152/$V$148)</f>
        <v>2.7222222222222219</v>
      </c>
      <c r="X78" s="252">
        <f>(JRC_Data!BC62/1000)*($V$152/$V$148)</f>
        <v>2.7222222222222219</v>
      </c>
      <c r="Y78" s="252">
        <f>(JRC_Data!BD62/1000)*($V$152/$V$148)</f>
        <v>2.7222222222222219</v>
      </c>
      <c r="Z78" s="252">
        <f>(JRC_Data!BE62/1000)*($V$152/$V$148)</f>
        <v>2.7222222222222219</v>
      </c>
      <c r="AA78" s="64">
        <f>JRC_Data!BL62/1000</f>
        <v>0.15</v>
      </c>
      <c r="AB78" s="64"/>
      <c r="AC78" s="64"/>
      <c r="AD78" s="64"/>
      <c r="AE78" s="64"/>
      <c r="AF78" s="64"/>
      <c r="AG78" s="64"/>
      <c r="AH78" s="64">
        <f t="shared" si="27"/>
        <v>0.7884000000000001</v>
      </c>
      <c r="AI78" s="67"/>
      <c r="AJ78" s="67">
        <v>2019</v>
      </c>
      <c r="AK78" s="67">
        <v>25</v>
      </c>
    </row>
    <row r="79" spans="3:45" x14ac:dyDescent="0.2">
      <c r="C79" s="33" t="s">
        <v>121</v>
      </c>
      <c r="D79" s="33"/>
      <c r="E79" s="33"/>
      <c r="F79" s="34"/>
      <c r="G79" s="34"/>
      <c r="H79" s="34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4"/>
      <c r="V79" s="34"/>
      <c r="W79" s="33"/>
      <c r="X79" s="33"/>
      <c r="Y79" s="33"/>
      <c r="Z79" s="33"/>
      <c r="AA79" s="33"/>
      <c r="AB79" s="34"/>
      <c r="AC79" s="36"/>
      <c r="AD79" s="36"/>
      <c r="AE79" s="36"/>
      <c r="AF79" s="36"/>
      <c r="AG79" s="36"/>
      <c r="AH79" s="33"/>
      <c r="AI79" s="34"/>
      <c r="AJ79" s="34"/>
      <c r="AK79" s="34"/>
    </row>
    <row r="80" spans="3:45" x14ac:dyDescent="0.2">
      <c r="C80" s="19" t="str">
        <f>"R-WH_Att"&amp;"_"&amp;RIGHT(F80,3)&amp;"_N1"</f>
        <v>R-WH_Att_ELC_N1</v>
      </c>
      <c r="D80" s="20" t="s">
        <v>122</v>
      </c>
      <c r="E80" s="20"/>
      <c r="F80" s="89" t="s">
        <v>156</v>
      </c>
      <c r="G80" s="89"/>
      <c r="H80" s="56" t="s">
        <v>145</v>
      </c>
      <c r="I80" s="46"/>
      <c r="J80" s="47"/>
      <c r="K80" s="47"/>
      <c r="L80" s="48"/>
      <c r="M80" s="46"/>
      <c r="N80" s="47"/>
      <c r="O80" s="47"/>
      <c r="P80" s="48"/>
      <c r="Q80" s="246">
        <v>1</v>
      </c>
      <c r="R80" s="247">
        <v>1</v>
      </c>
      <c r="S80" s="247">
        <v>1</v>
      </c>
      <c r="T80" s="248">
        <v>1</v>
      </c>
      <c r="U80" s="52">
        <v>20</v>
      </c>
      <c r="V80" s="48"/>
      <c r="W80" s="19">
        <f>(JRC_Data!BB48/1000)*($V$146/$V$146)</f>
        <v>4</v>
      </c>
      <c r="X80" s="19">
        <f>(JRC_Data!BC48/1000)*($V$146/$V$146)</f>
        <v>4</v>
      </c>
      <c r="Y80" s="19">
        <f>(JRC_Data!BD48/1000)*($V$146/$V$146)</f>
        <v>4</v>
      </c>
      <c r="Z80" s="19">
        <f>(JRC_Data!BE48/1000)*($V$146/$V$146)</f>
        <v>4</v>
      </c>
      <c r="AA80" s="85">
        <f>JRC_Data!BL48/1000</f>
        <v>0.05</v>
      </c>
      <c r="AB80" s="85"/>
      <c r="AC80" s="85"/>
      <c r="AD80" s="85"/>
      <c r="AE80" s="85"/>
      <c r="AF80" s="85"/>
      <c r="AG80" s="85"/>
      <c r="AH80" s="85">
        <f t="shared" si="27"/>
        <v>0.18921600000000002</v>
      </c>
      <c r="AI80" s="88"/>
      <c r="AJ80" s="88">
        <v>2019</v>
      </c>
      <c r="AK80" s="88">
        <v>6</v>
      </c>
    </row>
    <row r="81" spans="3:45" x14ac:dyDescent="0.2">
      <c r="C81" s="252" t="str">
        <f>"R-WH_Att"&amp;"_"&amp;RIGHT(F81,3)&amp;"_N1"</f>
        <v>R-WH_Att_SOL_N1</v>
      </c>
      <c r="D81" s="26" t="s">
        <v>123</v>
      </c>
      <c r="E81" s="26"/>
      <c r="F81" s="27" t="s">
        <v>288</v>
      </c>
      <c r="G81" s="27"/>
      <c r="H81" s="59" t="s">
        <v>145</v>
      </c>
      <c r="I81" s="49"/>
      <c r="J81" s="50"/>
      <c r="K81" s="50"/>
      <c r="L81" s="51"/>
      <c r="M81" s="49"/>
      <c r="N81" s="50"/>
      <c r="O81" s="50"/>
      <c r="P81" s="51"/>
      <c r="Q81" s="243">
        <v>1</v>
      </c>
      <c r="R81" s="244">
        <v>1</v>
      </c>
      <c r="S81" s="244">
        <v>1</v>
      </c>
      <c r="T81" s="245">
        <v>1</v>
      </c>
      <c r="U81" s="53">
        <v>25</v>
      </c>
      <c r="V81" s="22">
        <v>30</v>
      </c>
      <c r="W81" s="22">
        <f>(JRC_Data!BB45/1000)*($V$146/$V$146)</f>
        <v>5.4</v>
      </c>
      <c r="X81" s="22">
        <f>(JRC_Data!BC45/1000)*($V$146/$V$146)</f>
        <v>5.0999999999999996</v>
      </c>
      <c r="Y81" s="22">
        <f>(JRC_Data!BD45/1000)*($V$146/$V$146)</f>
        <v>4.5999999999999996</v>
      </c>
      <c r="Z81" s="22">
        <f>(JRC_Data!BE45/1000)*($V$146/$V$146)</f>
        <v>3.7</v>
      </c>
      <c r="AA81" s="63">
        <f>JRC_Data!BL45/1000</f>
        <v>6.2E-2</v>
      </c>
      <c r="AB81" s="63"/>
      <c r="AC81" s="63"/>
      <c r="AD81" s="63"/>
      <c r="AE81" s="63"/>
      <c r="AF81" s="63"/>
      <c r="AG81" s="63"/>
      <c r="AH81" s="63">
        <f t="shared" si="27"/>
        <v>0.18921600000000002</v>
      </c>
      <c r="AI81" s="67"/>
      <c r="AJ81" s="66">
        <v>2019</v>
      </c>
      <c r="AK81" s="66">
        <v>6</v>
      </c>
    </row>
    <row r="82" spans="3:45" x14ac:dyDescent="0.2">
      <c r="C82" s="33" t="s">
        <v>298</v>
      </c>
      <c r="D82" s="33"/>
      <c r="E82" s="33"/>
      <c r="F82" s="34"/>
      <c r="G82" s="34"/>
      <c r="H82" s="34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4"/>
      <c r="V82" s="34"/>
      <c r="W82" s="33"/>
      <c r="X82" s="33"/>
      <c r="Y82" s="33"/>
      <c r="Z82" s="33"/>
      <c r="AA82" s="33"/>
      <c r="AB82" s="34"/>
      <c r="AC82" s="36"/>
      <c r="AD82" s="36"/>
      <c r="AE82" s="36"/>
      <c r="AF82" s="36"/>
      <c r="AG82" s="36"/>
      <c r="AH82" s="33"/>
      <c r="AI82" s="34"/>
      <c r="AJ82" s="34"/>
      <c r="AK82" s="34"/>
    </row>
    <row r="83" spans="3:45" x14ac:dyDescent="0.2">
      <c r="C83" s="29" t="str">
        <f>"R-SC_Att"&amp;"_"&amp;RIGHT(F83,3)&amp;"_N1"</f>
        <v>R-SC_Att_ELC_N1</v>
      </c>
      <c r="D83" s="97" t="s">
        <v>124</v>
      </c>
      <c r="E83" s="97"/>
      <c r="F83" s="117" t="s">
        <v>156</v>
      </c>
      <c r="G83" s="117"/>
      <c r="H83" s="118" t="s">
        <v>144</v>
      </c>
      <c r="I83" s="115"/>
      <c r="J83" s="116"/>
      <c r="K83" s="116"/>
      <c r="L83" s="116"/>
      <c r="M83" s="258">
        <v>1</v>
      </c>
      <c r="N83" s="259">
        <f>JRC_Data!AD16/JRC_Data!$AC$16</f>
        <v>1.0666666666666667</v>
      </c>
      <c r="O83" s="259">
        <f>JRC_Data!AE16/JRC_Data!$AC$16</f>
        <v>1.2333333333333334</v>
      </c>
      <c r="P83" s="259">
        <f>JRC_Data!AF16/JRC_Data!$AC$16</f>
        <v>1.3333333333333333</v>
      </c>
      <c r="Q83" s="116"/>
      <c r="R83" s="116"/>
      <c r="S83" s="116"/>
      <c r="T83" s="100"/>
      <c r="U83" s="99">
        <v>20</v>
      </c>
      <c r="V83" s="100"/>
      <c r="W83" s="96">
        <f>(JRC_Data!BB16/1000)*($V$147/$V$152)</f>
        <v>1.9786641929499076</v>
      </c>
      <c r="X83" s="96">
        <f>(JRC_Data!BC16/1000)*($V$147/$V$152)</f>
        <v>1.8887249114521845</v>
      </c>
      <c r="Y83" s="96">
        <f>(JRC_Data!BD16/1000)*($V$147/$V$152)</f>
        <v>1.7088463484567382</v>
      </c>
      <c r="Z83" s="96">
        <f>(JRC_Data!BE16/1000)*($V$147/$V$152)</f>
        <v>1.6189070669590153</v>
      </c>
      <c r="AA83" s="93">
        <f>JRC_Data!BL16/1000</f>
        <v>3.4000000000000002E-2</v>
      </c>
      <c r="AB83" s="93"/>
      <c r="AC83" s="93"/>
      <c r="AD83" s="93"/>
      <c r="AE83" s="93"/>
      <c r="AF83" s="93"/>
      <c r="AG83" s="93"/>
      <c r="AH83" s="93">
        <f t="shared" si="27"/>
        <v>0.18921600000000002</v>
      </c>
      <c r="AI83" s="92"/>
      <c r="AJ83" s="92">
        <v>2019</v>
      </c>
      <c r="AK83" s="92">
        <v>6</v>
      </c>
    </row>
    <row r="87" spans="3:45" x14ac:dyDescent="0.2">
      <c r="AO87" s="11"/>
      <c r="AP87" s="11"/>
      <c r="AQ87" s="11"/>
      <c r="AR87" s="11"/>
      <c r="AS87" s="11"/>
    </row>
    <row r="88" spans="3:45" x14ac:dyDescent="0.2">
      <c r="I88" s="5" t="s">
        <v>19</v>
      </c>
    </row>
    <row r="89" spans="3:45" ht="45.75" thickBot="1" x14ac:dyDescent="0.25">
      <c r="C89" s="14" t="s">
        <v>21</v>
      </c>
      <c r="D89" s="15" t="s">
        <v>32</v>
      </c>
      <c r="E89" s="15" t="s">
        <v>725</v>
      </c>
      <c r="F89" s="14" t="s">
        <v>23</v>
      </c>
      <c r="G89" s="14" t="s">
        <v>582</v>
      </c>
      <c r="H89" s="14" t="s">
        <v>24</v>
      </c>
      <c r="I89" s="17" t="s">
        <v>552</v>
      </c>
      <c r="J89" s="17" t="s">
        <v>553</v>
      </c>
      <c r="K89" s="17" t="s">
        <v>554</v>
      </c>
      <c r="L89" s="17" t="s">
        <v>555</v>
      </c>
      <c r="M89" s="17" t="s">
        <v>556</v>
      </c>
      <c r="N89" s="17" t="s">
        <v>557</v>
      </c>
      <c r="O89" s="17" t="s">
        <v>558</v>
      </c>
      <c r="P89" s="17" t="s">
        <v>559</v>
      </c>
      <c r="Q89" s="17" t="s">
        <v>560</v>
      </c>
      <c r="R89" s="17" t="s">
        <v>561</v>
      </c>
      <c r="S89" s="17" t="s">
        <v>562</v>
      </c>
      <c r="T89" s="17" t="s">
        <v>563</v>
      </c>
      <c r="U89" s="18" t="s">
        <v>26</v>
      </c>
      <c r="V89" s="18" t="s">
        <v>76</v>
      </c>
      <c r="W89" s="17" t="s">
        <v>252</v>
      </c>
      <c r="X89" s="17" t="s">
        <v>88</v>
      </c>
      <c r="Y89" s="17" t="s">
        <v>89</v>
      </c>
      <c r="Z89" s="17" t="s">
        <v>90</v>
      </c>
      <c r="AA89" s="17" t="s">
        <v>61</v>
      </c>
      <c r="AB89" s="17" t="s">
        <v>62</v>
      </c>
      <c r="AC89" s="17" t="s">
        <v>302</v>
      </c>
      <c r="AD89" s="17" t="s">
        <v>303</v>
      </c>
      <c r="AE89" s="17" t="s">
        <v>304</v>
      </c>
      <c r="AF89" s="17" t="s">
        <v>720</v>
      </c>
      <c r="AG89" s="17" t="s">
        <v>254</v>
      </c>
      <c r="AH89" s="17" t="s">
        <v>77</v>
      </c>
      <c r="AI89" s="17" t="s">
        <v>289</v>
      </c>
      <c r="AJ89" s="17" t="s">
        <v>78</v>
      </c>
      <c r="AK89" s="17" t="s">
        <v>580</v>
      </c>
    </row>
    <row r="90" spans="3:45" ht="38.25" x14ac:dyDescent="0.2">
      <c r="C90" s="16" t="s">
        <v>79</v>
      </c>
      <c r="D90" s="16" t="s">
        <v>33</v>
      </c>
      <c r="E90" s="16"/>
      <c r="F90" s="16" t="s">
        <v>80</v>
      </c>
      <c r="G90" s="16" t="s">
        <v>583</v>
      </c>
      <c r="H90" s="16" t="s">
        <v>81</v>
      </c>
      <c r="I90" s="533" t="s">
        <v>82</v>
      </c>
      <c r="J90" s="534"/>
      <c r="K90" s="534"/>
      <c r="L90" s="535"/>
      <c r="M90" s="533" t="s">
        <v>83</v>
      </c>
      <c r="N90" s="534"/>
      <c r="O90" s="534"/>
      <c r="P90" s="535"/>
      <c r="Q90" s="533" t="s">
        <v>84</v>
      </c>
      <c r="R90" s="534"/>
      <c r="S90" s="534"/>
      <c r="T90" s="535"/>
      <c r="U90" s="533" t="s">
        <v>85</v>
      </c>
      <c r="V90" s="535"/>
      <c r="W90" s="527" t="s">
        <v>86</v>
      </c>
      <c r="X90" s="528"/>
      <c r="Y90" s="528"/>
      <c r="Z90" s="529"/>
      <c r="AA90" s="60"/>
      <c r="AB90" s="60"/>
      <c r="AC90" s="68" t="s">
        <v>215</v>
      </c>
      <c r="AD90" s="71" t="s">
        <v>215</v>
      </c>
      <c r="AE90" s="71" t="s">
        <v>215</v>
      </c>
      <c r="AF90" s="71" t="s">
        <v>215</v>
      </c>
      <c r="AG90" s="71" t="s">
        <v>253</v>
      </c>
      <c r="AH90" s="60" t="s">
        <v>66</v>
      </c>
      <c r="AI90" s="60" t="s">
        <v>87</v>
      </c>
      <c r="AJ90" s="60"/>
      <c r="AK90" s="60"/>
      <c r="AM90" s="10" t="s">
        <v>20</v>
      </c>
      <c r="AN90" s="11"/>
      <c r="AO90" s="11"/>
      <c r="AP90" s="11"/>
      <c r="AQ90" s="11"/>
      <c r="AR90" s="11"/>
      <c r="AS90" s="11"/>
    </row>
    <row r="91" spans="3:45" ht="15.75" thickBot="1" x14ac:dyDescent="0.25">
      <c r="C91" s="14" t="s">
        <v>577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372"/>
      <c r="V91" s="372"/>
      <c r="W91" s="372"/>
      <c r="X91" s="372"/>
      <c r="Y91" s="372"/>
      <c r="Z91" s="372"/>
      <c r="AA91" s="372"/>
      <c r="AB91" s="372"/>
      <c r="AC91" s="372"/>
      <c r="AD91" s="372"/>
      <c r="AE91" s="372"/>
      <c r="AF91" s="372"/>
      <c r="AG91" s="372"/>
      <c r="AH91" s="372"/>
      <c r="AI91" s="372"/>
      <c r="AJ91" s="372"/>
      <c r="AK91" s="372"/>
      <c r="AM91" s="12" t="s">
        <v>27</v>
      </c>
      <c r="AN91" s="12" t="s">
        <v>21</v>
      </c>
      <c r="AO91" s="12" t="s">
        <v>22</v>
      </c>
      <c r="AP91" s="12" t="s">
        <v>28</v>
      </c>
      <c r="AQ91" s="12" t="s">
        <v>29</v>
      </c>
      <c r="AR91" s="12" t="s">
        <v>30</v>
      </c>
      <c r="AS91" s="12" t="s">
        <v>67</v>
      </c>
    </row>
    <row r="92" spans="3:45" ht="33.75" x14ac:dyDescent="0.2">
      <c r="C92" s="37" t="s">
        <v>291</v>
      </c>
      <c r="D92" s="38"/>
      <c r="E92" s="38"/>
      <c r="F92" s="38"/>
      <c r="G92" s="38"/>
      <c r="H92" s="39"/>
      <c r="I92" s="530" t="s">
        <v>34</v>
      </c>
      <c r="J92" s="531"/>
      <c r="K92" s="531"/>
      <c r="L92" s="532"/>
      <c r="M92" s="531" t="s">
        <v>34</v>
      </c>
      <c r="N92" s="531"/>
      <c r="O92" s="531"/>
      <c r="P92" s="532"/>
      <c r="Q92" s="530" t="s">
        <v>34</v>
      </c>
      <c r="R92" s="531"/>
      <c r="S92" s="531"/>
      <c r="T92" s="532"/>
      <c r="U92" s="536" t="s">
        <v>68</v>
      </c>
      <c r="V92" s="537"/>
      <c r="W92" s="536" t="s">
        <v>525</v>
      </c>
      <c r="X92" s="538"/>
      <c r="Y92" s="538"/>
      <c r="Z92" s="537"/>
      <c r="AA92" s="373" t="s">
        <v>537</v>
      </c>
      <c r="AB92" s="373" t="s">
        <v>93</v>
      </c>
      <c r="AC92" s="374" t="s">
        <v>34</v>
      </c>
      <c r="AD92" s="373" t="s">
        <v>34</v>
      </c>
      <c r="AE92" s="373" t="s">
        <v>34</v>
      </c>
      <c r="AF92" s="373"/>
      <c r="AG92" s="373"/>
      <c r="AH92" s="375" t="s">
        <v>305</v>
      </c>
      <c r="AI92" s="373" t="s">
        <v>34</v>
      </c>
      <c r="AJ92" s="373" t="s">
        <v>94</v>
      </c>
      <c r="AK92" s="373" t="s">
        <v>581</v>
      </c>
      <c r="AM92" s="211" t="s">
        <v>69</v>
      </c>
      <c r="AN92" s="211" t="s">
        <v>70</v>
      </c>
      <c r="AO92" s="211" t="s">
        <v>33</v>
      </c>
      <c r="AP92" s="211" t="s">
        <v>71</v>
      </c>
      <c r="AQ92" s="211" t="s">
        <v>72</v>
      </c>
      <c r="AR92" s="211" t="s">
        <v>73</v>
      </c>
      <c r="AS92" s="211" t="s">
        <v>74</v>
      </c>
    </row>
    <row r="93" spans="3:45" ht="15" x14ac:dyDescent="0.25">
      <c r="C93" s="19" t="str">
        <f>"R-SH_Det"&amp;"_"&amp;RIGHT(F93,3)&amp;"_N1"</f>
        <v>R-SH_Det_KER_N1</v>
      </c>
      <c r="D93" s="20" t="s">
        <v>96</v>
      </c>
      <c r="E93" s="20"/>
      <c r="F93" s="89" t="s">
        <v>281</v>
      </c>
      <c r="G93" s="89"/>
      <c r="H93" s="56" t="s">
        <v>150</v>
      </c>
      <c r="I93" s="19">
        <v>1</v>
      </c>
      <c r="J93" s="20">
        <v>1</v>
      </c>
      <c r="K93" s="20">
        <v>1</v>
      </c>
      <c r="L93" s="56">
        <v>1</v>
      </c>
      <c r="M93" s="46"/>
      <c r="N93" s="47"/>
      <c r="O93" s="47"/>
      <c r="P93" s="48"/>
      <c r="Q93" s="19"/>
      <c r="R93" s="20"/>
      <c r="S93" s="20"/>
      <c r="T93" s="56"/>
      <c r="U93" s="54">
        <v>20</v>
      </c>
      <c r="V93" s="41"/>
      <c r="W93" s="379">
        <f>W97*1.3</f>
        <v>4.5825000000000005</v>
      </c>
      <c r="X93" s="379">
        <f t="shared" ref="X93:Z93" si="58">X97*1.3</f>
        <v>4.5825000000000005</v>
      </c>
      <c r="Y93" s="379">
        <f t="shared" si="58"/>
        <v>4.5825000000000005</v>
      </c>
      <c r="Z93" s="379">
        <f t="shared" si="58"/>
        <v>4.5825000000000005</v>
      </c>
      <c r="AA93" s="379">
        <v>0.12</v>
      </c>
      <c r="AB93" s="65"/>
      <c r="AC93" s="42"/>
      <c r="AD93" s="72"/>
      <c r="AE93" s="72"/>
      <c r="AF93" s="72"/>
      <c r="AG93" s="72"/>
      <c r="AH93" s="62">
        <f t="shared" ref="AH93:AH131" si="59">31.536*(AK93/1000)</f>
        <v>0.94608000000000003</v>
      </c>
      <c r="AI93" s="65"/>
      <c r="AJ93" s="65">
        <v>2019</v>
      </c>
      <c r="AK93" s="65">
        <v>30</v>
      </c>
      <c r="AM93" s="106" t="s">
        <v>31</v>
      </c>
      <c r="AN93" s="105" t="str">
        <f>C93</f>
        <v>R-SH_Det_KER_N1</v>
      </c>
      <c r="AO93" s="105" t="str">
        <f>D93</f>
        <v>Residential Kerosene Heating Oil - New 1 SH</v>
      </c>
      <c r="AP93" s="106" t="s">
        <v>13</v>
      </c>
      <c r="AQ93" s="106" t="s">
        <v>183</v>
      </c>
      <c r="AR93" s="106"/>
      <c r="AS93" s="106" t="s">
        <v>75</v>
      </c>
    </row>
    <row r="94" spans="3:45" ht="15" x14ac:dyDescent="0.25">
      <c r="C94" s="22" t="str">
        <f>"R-SW_Det"&amp;"_"&amp;RIGHT(F94,3)&amp;"_N1"</f>
        <v>R-SW_Det_KER_N1</v>
      </c>
      <c r="D94" s="23" t="s">
        <v>97</v>
      </c>
      <c r="E94" s="23"/>
      <c r="F94" s="24" t="s">
        <v>281</v>
      </c>
      <c r="G94" s="24"/>
      <c r="H94" s="57" t="s">
        <v>278</v>
      </c>
      <c r="I94" s="22">
        <v>1</v>
      </c>
      <c r="J94" s="23">
        <v>1</v>
      </c>
      <c r="K94" s="23">
        <v>1</v>
      </c>
      <c r="L94" s="57">
        <v>1</v>
      </c>
      <c r="M94" s="44"/>
      <c r="N94" s="32"/>
      <c r="O94" s="32"/>
      <c r="P94" s="45"/>
      <c r="Q94" s="22">
        <f>I94*0.7</f>
        <v>0.7</v>
      </c>
      <c r="R94" s="23">
        <f t="shared" ref="R94:R96" si="60">J94*0.7</f>
        <v>0.7</v>
      </c>
      <c r="S94" s="23">
        <f t="shared" ref="S94:S96" si="61">K94*0.7</f>
        <v>0.7</v>
      </c>
      <c r="T94" s="57">
        <f t="shared" ref="T94:T96" si="62">L94*0.7</f>
        <v>0.7</v>
      </c>
      <c r="U94" s="53">
        <v>20</v>
      </c>
      <c r="V94" s="25"/>
      <c r="W94" s="380">
        <f>W98*1.3</f>
        <v>4.9452075289575284</v>
      </c>
      <c r="X94" s="380">
        <f t="shared" ref="X94:Z94" si="63">X98*1.3</f>
        <v>4.9452075289575284</v>
      </c>
      <c r="Y94" s="380">
        <f t="shared" si="63"/>
        <v>4.9452075289575284</v>
      </c>
      <c r="Z94" s="380">
        <f t="shared" si="63"/>
        <v>4.9452075289575284</v>
      </c>
      <c r="AA94" s="380">
        <v>0.12</v>
      </c>
      <c r="AB94" s="66"/>
      <c r="AC94" s="44"/>
      <c r="AD94" s="73"/>
      <c r="AE94" s="73"/>
      <c r="AF94" s="73"/>
      <c r="AG94" s="73"/>
      <c r="AH94" s="63">
        <f t="shared" si="59"/>
        <v>1.1983680000000001</v>
      </c>
      <c r="AI94" s="66"/>
      <c r="AJ94" s="66">
        <v>2019</v>
      </c>
      <c r="AK94" s="66">
        <v>38</v>
      </c>
      <c r="AM94" s="106"/>
      <c r="AN94" s="105" t="str">
        <f t="shared" ref="AN94:AN108" si="64">C94</f>
        <v>R-SW_Det_KER_N1</v>
      </c>
      <c r="AO94" s="105" t="str">
        <f t="shared" ref="AO94:AO108" si="65">D94</f>
        <v>Residential Kerosene Heating Oil - New 2 SH + WH</v>
      </c>
      <c r="AP94" s="106" t="s">
        <v>13</v>
      </c>
      <c r="AQ94" s="106" t="s">
        <v>183</v>
      </c>
      <c r="AR94" s="106"/>
      <c r="AS94" s="106" t="s">
        <v>75</v>
      </c>
    </row>
    <row r="95" spans="3:45" ht="15" x14ac:dyDescent="0.25">
      <c r="C95" s="40" t="str">
        <f>"R-SW_Det"&amp;"_"&amp;RIGHT(F95,3)&amp;"_N2"</f>
        <v>R-SW_Det_KER_N2</v>
      </c>
      <c r="D95" s="29" t="s">
        <v>98</v>
      </c>
      <c r="E95" s="29"/>
      <c r="F95" s="30" t="s">
        <v>283</v>
      </c>
      <c r="G95" s="30"/>
      <c r="H95" s="58" t="s">
        <v>278</v>
      </c>
      <c r="I95" s="40">
        <v>1</v>
      </c>
      <c r="J95" s="29">
        <v>1</v>
      </c>
      <c r="K95" s="29">
        <v>1</v>
      </c>
      <c r="L95" s="58">
        <v>1</v>
      </c>
      <c r="M95" s="42"/>
      <c r="N95" s="31"/>
      <c r="O95" s="31"/>
      <c r="P95" s="43"/>
      <c r="Q95" s="40">
        <f>I95*0.7</f>
        <v>0.7</v>
      </c>
      <c r="R95" s="29">
        <f t="shared" si="60"/>
        <v>0.7</v>
      </c>
      <c r="S95" s="29">
        <f t="shared" si="61"/>
        <v>0.7</v>
      </c>
      <c r="T95" s="58">
        <f t="shared" si="62"/>
        <v>0.7</v>
      </c>
      <c r="U95" s="54">
        <v>20</v>
      </c>
      <c r="V95" s="41"/>
      <c r="W95" s="62">
        <f>((JRC_Data!BB7+JRC_Data!BB45)*0.8/1000)*$V$154</f>
        <v>10.359845559845558</v>
      </c>
      <c r="X95" s="62">
        <f>((JRC_Data!BC7+JRC_Data!BC45)*0.8/1000)*$V$154</f>
        <v>10.10084942084942</v>
      </c>
      <c r="Y95" s="62">
        <f>((JRC_Data!BD7+JRC_Data!BD45)*0.8/1000)*$V$154</f>
        <v>9.6691891891891899</v>
      </c>
      <c r="Z95" s="62">
        <f>((JRC_Data!BE7+JRC_Data!BE45)*0.8/1000)*$V$154</f>
        <v>8.8922007722007717</v>
      </c>
      <c r="AA95" s="58">
        <f>((JRC_Data!BL7+JRC_Data!BL45)*0.8)/1000</f>
        <v>0.2656</v>
      </c>
      <c r="AB95" s="65"/>
      <c r="AC95" s="42">
        <v>0.25</v>
      </c>
      <c r="AD95" s="72"/>
      <c r="AE95" s="72"/>
      <c r="AF95" s="72"/>
      <c r="AG95" s="216">
        <v>5</v>
      </c>
      <c r="AH95" s="62">
        <f t="shared" si="59"/>
        <v>1.1983680000000001</v>
      </c>
      <c r="AI95" s="65"/>
      <c r="AJ95" s="65">
        <v>2019</v>
      </c>
      <c r="AK95" s="65">
        <v>38</v>
      </c>
      <c r="AM95" s="106"/>
      <c r="AN95" s="105" t="str">
        <f t="shared" si="64"/>
        <v>R-SW_Det_KER_N2</v>
      </c>
      <c r="AO95" s="105" t="str">
        <f t="shared" si="65"/>
        <v>Residential Kerosene Heating Oil - New 3 SH+WH + Solar</v>
      </c>
      <c r="AP95" s="106" t="s">
        <v>13</v>
      </c>
      <c r="AQ95" s="106" t="s">
        <v>183</v>
      </c>
      <c r="AR95" s="106"/>
      <c r="AS95" s="106" t="s">
        <v>75</v>
      </c>
    </row>
    <row r="96" spans="3:45" ht="15" x14ac:dyDescent="0.25">
      <c r="C96" s="22" t="str">
        <f>"R-SW_Det"&amp;"_"&amp;RIGHT(F96,3)&amp;"_N3"</f>
        <v>R-SW_Det_KER_N3</v>
      </c>
      <c r="D96" s="23" t="s">
        <v>102</v>
      </c>
      <c r="E96" s="23"/>
      <c r="F96" s="24" t="s">
        <v>284</v>
      </c>
      <c r="G96" s="24"/>
      <c r="H96" s="57" t="s">
        <v>278</v>
      </c>
      <c r="I96" s="22">
        <v>1</v>
      </c>
      <c r="J96" s="23">
        <v>1.0249999999999999</v>
      </c>
      <c r="K96" s="23">
        <v>1.0249999999999999</v>
      </c>
      <c r="L96" s="57">
        <v>1.0249999999999999</v>
      </c>
      <c r="M96" s="44"/>
      <c r="N96" s="32"/>
      <c r="O96" s="32"/>
      <c r="P96" s="45"/>
      <c r="Q96" s="22">
        <f>I96*0.7</f>
        <v>0.7</v>
      </c>
      <c r="R96" s="23">
        <f t="shared" si="60"/>
        <v>0.71749999999999992</v>
      </c>
      <c r="S96" s="23">
        <f t="shared" si="61"/>
        <v>0.71749999999999992</v>
      </c>
      <c r="T96" s="57">
        <f t="shared" si="62"/>
        <v>0.71749999999999992</v>
      </c>
      <c r="U96" s="53">
        <v>20</v>
      </c>
      <c r="V96" s="25"/>
      <c r="W96" s="63">
        <f>((JRC_Data!BB7+JRC_Data!BB11)*0.8/1000)*$V$154</f>
        <v>11.525328185328185</v>
      </c>
      <c r="X96" s="63">
        <f>((JRC_Data!BC7+JRC_Data!BC11)*0.8/1000)*$V$154</f>
        <v>11.525328185328185</v>
      </c>
      <c r="Y96" s="63">
        <f>((JRC_Data!BD7+JRC_Data!BD11)*0.8/1000)*$V$154</f>
        <v>12.172818532818532</v>
      </c>
      <c r="Z96" s="63">
        <f>((JRC_Data!BE7+JRC_Data!BE11)*0.8/1000)*$V$154</f>
        <v>12.172818532818532</v>
      </c>
      <c r="AA96" s="58">
        <f>((JRC_Data!BL7+JRC_Data!BL11)*0.8)/1000</f>
        <v>0.23680000000000001</v>
      </c>
      <c r="AB96" s="66"/>
      <c r="AC96" s="44"/>
      <c r="AD96" s="73">
        <v>0.47</v>
      </c>
      <c r="AE96" s="73"/>
      <c r="AF96" s="73"/>
      <c r="AG96" s="66">
        <v>5</v>
      </c>
      <c r="AH96" s="63">
        <f t="shared" si="59"/>
        <v>1.1983680000000001</v>
      </c>
      <c r="AI96" s="66"/>
      <c r="AJ96" s="66">
        <v>2019</v>
      </c>
      <c r="AK96" s="66">
        <v>38</v>
      </c>
      <c r="AM96" s="106"/>
      <c r="AN96" s="105" t="str">
        <f t="shared" si="64"/>
        <v>R-SW_Det_KER_N3</v>
      </c>
      <c r="AO96" s="105" t="str">
        <f t="shared" si="65"/>
        <v>Residential Kerosene Heating Oil - New 3 SH+WH + Wood Stove</v>
      </c>
      <c r="AP96" s="107" t="s">
        <v>13</v>
      </c>
      <c r="AQ96" s="107" t="s">
        <v>183</v>
      </c>
      <c r="AR96" s="106"/>
      <c r="AS96" s="106"/>
    </row>
    <row r="97" spans="3:45" ht="15" x14ac:dyDescent="0.25">
      <c r="C97" s="40" t="str">
        <f>"R-SH_Det"&amp;"_"&amp;RIGHT(F97,3)&amp;"_N1"</f>
        <v>R-SH_Det_GAS_N1</v>
      </c>
      <c r="D97" s="29" t="s">
        <v>95</v>
      </c>
      <c r="E97" s="29"/>
      <c r="F97" s="30" t="s">
        <v>721</v>
      </c>
      <c r="G97" s="30"/>
      <c r="H97" s="58" t="s">
        <v>150</v>
      </c>
      <c r="I97" s="40">
        <v>1</v>
      </c>
      <c r="J97" s="29">
        <v>1</v>
      </c>
      <c r="K97" s="29">
        <v>1</v>
      </c>
      <c r="L97" s="58">
        <v>1</v>
      </c>
      <c r="M97" s="42"/>
      <c r="N97" s="31"/>
      <c r="O97" s="31"/>
      <c r="P97" s="43"/>
      <c r="Q97" s="40"/>
      <c r="R97" s="29"/>
      <c r="S97" s="29"/>
      <c r="T97" s="58"/>
      <c r="U97" s="54">
        <v>20</v>
      </c>
      <c r="V97" s="41"/>
      <c r="W97" s="379">
        <f>3.525</f>
        <v>3.5249999999999999</v>
      </c>
      <c r="X97" s="379">
        <f t="shared" ref="X97:Z97" si="66">3.525</f>
        <v>3.5249999999999999</v>
      </c>
      <c r="Y97" s="379">
        <f t="shared" si="66"/>
        <v>3.5249999999999999</v>
      </c>
      <c r="Z97" s="379">
        <f t="shared" si="66"/>
        <v>3.5249999999999999</v>
      </c>
      <c r="AA97" s="379">
        <v>0.12</v>
      </c>
      <c r="AB97" s="65"/>
      <c r="AC97" s="42"/>
      <c r="AD97" s="72"/>
      <c r="AE97" s="72"/>
      <c r="AF97" s="72"/>
      <c r="AG97" s="72"/>
      <c r="AH97" s="62">
        <f t="shared" si="59"/>
        <v>0.94608000000000003</v>
      </c>
      <c r="AI97" s="65"/>
      <c r="AJ97" s="65">
        <v>2019</v>
      </c>
      <c r="AK97" s="65">
        <v>30</v>
      </c>
      <c r="AM97" s="106"/>
      <c r="AN97" s="105" t="str">
        <f t="shared" si="64"/>
        <v>R-SH_Det_GAS_N1</v>
      </c>
      <c r="AO97" s="105" t="str">
        <f t="shared" si="65"/>
        <v>Residential Natural Gas Heating - New 1 SH</v>
      </c>
      <c r="AP97" s="106" t="s">
        <v>13</v>
      </c>
      <c r="AQ97" s="106" t="s">
        <v>183</v>
      </c>
      <c r="AR97" s="106"/>
      <c r="AS97" s="106" t="s">
        <v>75</v>
      </c>
    </row>
    <row r="98" spans="3:45" ht="15" x14ac:dyDescent="0.25">
      <c r="C98" s="22" t="str">
        <f>"R-SW_Det"&amp;"_"&amp;RIGHT(F98,3)&amp;"_N1"</f>
        <v>R-SW_Det_GAS_N1</v>
      </c>
      <c r="D98" s="23" t="s">
        <v>99</v>
      </c>
      <c r="E98" s="23"/>
      <c r="F98" s="24" t="s">
        <v>721</v>
      </c>
      <c r="G98" s="24"/>
      <c r="H98" s="57" t="s">
        <v>278</v>
      </c>
      <c r="I98" s="22">
        <v>1</v>
      </c>
      <c r="J98" s="23">
        <v>1</v>
      </c>
      <c r="K98" s="23">
        <v>1</v>
      </c>
      <c r="L98" s="57">
        <v>1</v>
      </c>
      <c r="M98" s="44"/>
      <c r="N98" s="32"/>
      <c r="O98" s="32"/>
      <c r="P98" s="45"/>
      <c r="Q98" s="22">
        <f>I98*0.7</f>
        <v>0.7</v>
      </c>
      <c r="R98" s="23">
        <f t="shared" ref="R98:R100" si="67">J98*0.7</f>
        <v>0.7</v>
      </c>
      <c r="S98" s="23">
        <f t="shared" ref="S98:S100" si="68">K98*0.7</f>
        <v>0.7</v>
      </c>
      <c r="T98" s="57">
        <f t="shared" ref="T98:T100" si="69">L98*0.7</f>
        <v>0.7</v>
      </c>
      <c r="U98" s="53">
        <v>20</v>
      </c>
      <c r="V98" s="25"/>
      <c r="W98" s="380">
        <f>W97*($V$154/$V$153)</f>
        <v>3.8040057915057912</v>
      </c>
      <c r="X98" s="380">
        <f>X97*($V$154/$V$153)</f>
        <v>3.8040057915057912</v>
      </c>
      <c r="Y98" s="380">
        <f>Y97*($V$154/$V$153)</f>
        <v>3.8040057915057912</v>
      </c>
      <c r="Z98" s="380">
        <f>Z97*($V$154/$V$153)</f>
        <v>3.8040057915057912</v>
      </c>
      <c r="AA98" s="380">
        <v>0.12</v>
      </c>
      <c r="AB98" s="66"/>
      <c r="AC98" s="44"/>
      <c r="AD98" s="73"/>
      <c r="AE98" s="73"/>
      <c r="AF98" s="73"/>
      <c r="AG98" s="73"/>
      <c r="AH98" s="63">
        <f t="shared" si="59"/>
        <v>1.1983680000000001</v>
      </c>
      <c r="AI98" s="66"/>
      <c r="AJ98" s="66">
        <v>2019</v>
      </c>
      <c r="AK98" s="66">
        <v>38</v>
      </c>
      <c r="AM98" s="106"/>
      <c r="AN98" s="105" t="str">
        <f t="shared" si="64"/>
        <v>R-SW_Det_GAS_N1</v>
      </c>
      <c r="AO98" s="105" t="str">
        <f t="shared" si="65"/>
        <v>Residential Natural Gas Heating - New 2 SH + WH</v>
      </c>
      <c r="AP98" s="106" t="s">
        <v>13</v>
      </c>
      <c r="AQ98" s="106" t="s">
        <v>183</v>
      </c>
      <c r="AR98" s="106"/>
      <c r="AS98" s="106" t="s">
        <v>75</v>
      </c>
    </row>
    <row r="99" spans="3:45" ht="15" x14ac:dyDescent="0.25">
      <c r="C99" s="40" t="str">
        <f>"R-SW_Det"&amp;"_"&amp;RIGHT(F99,3)&amp;"_N2"</f>
        <v>R-SW_Det_GAS_N2</v>
      </c>
      <c r="D99" s="29" t="s">
        <v>100</v>
      </c>
      <c r="E99" s="29"/>
      <c r="F99" s="30" t="s">
        <v>723</v>
      </c>
      <c r="G99" s="30"/>
      <c r="H99" s="58" t="s">
        <v>278</v>
      </c>
      <c r="I99" s="40">
        <v>1</v>
      </c>
      <c r="J99" s="29">
        <v>1</v>
      </c>
      <c r="K99" s="29">
        <v>1</v>
      </c>
      <c r="L99" s="58">
        <v>1</v>
      </c>
      <c r="M99" s="42"/>
      <c r="N99" s="31"/>
      <c r="O99" s="31"/>
      <c r="P99" s="43"/>
      <c r="Q99" s="40">
        <f>I99*0.7</f>
        <v>0.7</v>
      </c>
      <c r="R99" s="29">
        <f t="shared" si="67"/>
        <v>0.7</v>
      </c>
      <c r="S99" s="29">
        <f t="shared" si="68"/>
        <v>0.7</v>
      </c>
      <c r="T99" s="58">
        <f t="shared" si="69"/>
        <v>0.7</v>
      </c>
      <c r="U99" s="54">
        <v>20</v>
      </c>
      <c r="V99" s="41"/>
      <c r="W99" s="62">
        <v>13.025</v>
      </c>
      <c r="X99" s="379">
        <f>W99*0.9685</f>
        <v>12.614712500000001</v>
      </c>
      <c r="Y99" s="379">
        <f>W99*0.916</f>
        <v>11.930900000000001</v>
      </c>
      <c r="Z99" s="379">
        <f>W99*0.812</f>
        <v>10.576300000000002</v>
      </c>
      <c r="AA99" s="58">
        <v>0.19</v>
      </c>
      <c r="AB99" s="65"/>
      <c r="AC99" s="42">
        <v>0.25</v>
      </c>
      <c r="AD99" s="72"/>
      <c r="AE99" s="72"/>
      <c r="AF99" s="72"/>
      <c r="AG99" s="216">
        <v>5</v>
      </c>
      <c r="AH99" s="62">
        <f t="shared" si="59"/>
        <v>1.1983680000000001</v>
      </c>
      <c r="AI99" s="65"/>
      <c r="AJ99" s="65">
        <v>2019</v>
      </c>
      <c r="AK99" s="65">
        <v>38</v>
      </c>
      <c r="AM99" s="106"/>
      <c r="AN99" s="105" t="str">
        <f t="shared" si="64"/>
        <v>R-SW_Det_GAS_N2</v>
      </c>
      <c r="AO99" s="105" t="str">
        <f t="shared" si="65"/>
        <v>Residential Natural Gas Heating - New 3 SH + WH + Solar</v>
      </c>
      <c r="AP99" s="106" t="s">
        <v>13</v>
      </c>
      <c r="AQ99" s="106" t="s">
        <v>183</v>
      </c>
      <c r="AR99" s="106"/>
      <c r="AS99" s="106" t="s">
        <v>75</v>
      </c>
    </row>
    <row r="100" spans="3:45" ht="15" x14ac:dyDescent="0.25">
      <c r="C100" s="22" t="str">
        <f>"R-SW_Det"&amp;"_"&amp;RIGHT(F100,3)&amp;"_N3"</f>
        <v>R-SW_Det_GAS_N3</v>
      </c>
      <c r="D100" s="23" t="s">
        <v>101</v>
      </c>
      <c r="E100" s="23"/>
      <c r="F100" s="24" t="s">
        <v>724</v>
      </c>
      <c r="G100" s="24"/>
      <c r="H100" s="57" t="s">
        <v>278</v>
      </c>
      <c r="I100" s="22">
        <v>1</v>
      </c>
      <c r="J100" s="23">
        <v>1.0249999999999999</v>
      </c>
      <c r="K100" s="23">
        <v>1.0249999999999999</v>
      </c>
      <c r="L100" s="57">
        <v>1.0249999999999999</v>
      </c>
      <c r="M100" s="44"/>
      <c r="N100" s="32"/>
      <c r="O100" s="32"/>
      <c r="P100" s="45"/>
      <c r="Q100" s="22">
        <f>I100*0.7</f>
        <v>0.7</v>
      </c>
      <c r="R100" s="23">
        <f t="shared" si="67"/>
        <v>0.71749999999999992</v>
      </c>
      <c r="S100" s="23">
        <f t="shared" si="68"/>
        <v>0.71749999999999992</v>
      </c>
      <c r="T100" s="57">
        <f t="shared" si="69"/>
        <v>0.71749999999999992</v>
      </c>
      <c r="U100" s="53">
        <v>20</v>
      </c>
      <c r="V100" s="25"/>
      <c r="W100" s="63">
        <f>((JRC_Data!BB9+JRC_Data!BB11)*0.8/1000)*($V$154/$V$151)</f>
        <v>9.9326446280991725</v>
      </c>
      <c r="X100" s="63">
        <f>((JRC_Data!BC9+JRC_Data!BC11)*0.8/1000)*($V$154/$V$151)</f>
        <v>9.9326446280991725</v>
      </c>
      <c r="Y100" s="63">
        <f>((JRC_Data!BD9+JRC_Data!BD11)*0.8/1000)*($V$154/$V$151)</f>
        <v>10.625619834710744</v>
      </c>
      <c r="Z100" s="63">
        <f>((JRC_Data!BE9+JRC_Data!BE11)*0.8/1000)*($V$154/$V$151)</f>
        <v>10.625619834710744</v>
      </c>
      <c r="AA100" s="58">
        <f>((JRC_Data!BL9+JRC_Data!BL11)*0.8)/1000</f>
        <v>0.20880000000000001</v>
      </c>
      <c r="AB100" s="66"/>
      <c r="AC100" s="44"/>
      <c r="AD100" s="73">
        <v>0.47</v>
      </c>
      <c r="AE100" s="73"/>
      <c r="AF100" s="73"/>
      <c r="AG100" s="66">
        <v>5</v>
      </c>
      <c r="AH100" s="63">
        <f t="shared" si="59"/>
        <v>1.1983680000000001</v>
      </c>
      <c r="AI100" s="66"/>
      <c r="AJ100" s="66">
        <v>2019</v>
      </c>
      <c r="AK100" s="66">
        <v>38</v>
      </c>
      <c r="AM100" s="106"/>
      <c r="AN100" s="105" t="str">
        <f t="shared" si="64"/>
        <v>R-SW_Det_GAS_N3</v>
      </c>
      <c r="AO100" s="105" t="str">
        <f t="shared" si="65"/>
        <v>Residential Natural Gas Heating - New 4 SH + WH + Wood Stove</v>
      </c>
      <c r="AP100" s="106" t="s">
        <v>13</v>
      </c>
      <c r="AQ100" s="106" t="s">
        <v>183</v>
      </c>
      <c r="AR100" s="106"/>
      <c r="AS100" s="106" t="s">
        <v>75</v>
      </c>
    </row>
    <row r="101" spans="3:45" ht="15" x14ac:dyDescent="0.25">
      <c r="C101" s="40" t="str">
        <f>"R-SH_Det"&amp;"_"&amp;RIGHT(F101,3)&amp;"_N1"</f>
        <v>R-SH_Det_LPG_N1</v>
      </c>
      <c r="D101" s="29" t="s">
        <v>103</v>
      </c>
      <c r="E101" s="29"/>
      <c r="F101" s="30" t="s">
        <v>282</v>
      </c>
      <c r="G101" s="30"/>
      <c r="H101" s="58" t="s">
        <v>150</v>
      </c>
      <c r="I101" s="40">
        <v>1</v>
      </c>
      <c r="J101" s="29">
        <v>1</v>
      </c>
      <c r="K101" s="29">
        <v>1</v>
      </c>
      <c r="L101" s="58">
        <v>1</v>
      </c>
      <c r="M101" s="42"/>
      <c r="N101" s="31"/>
      <c r="O101" s="31"/>
      <c r="P101" s="43"/>
      <c r="Q101" s="40"/>
      <c r="R101" s="29"/>
      <c r="S101" s="29"/>
      <c r="T101" s="58"/>
      <c r="U101" s="54">
        <v>20</v>
      </c>
      <c r="V101" s="41"/>
      <c r="W101" s="379">
        <f t="shared" ref="W101:Z102" si="70">W97+0.3</f>
        <v>3.8249999999999997</v>
      </c>
      <c r="X101" s="379">
        <f t="shared" si="70"/>
        <v>3.8249999999999997</v>
      </c>
      <c r="Y101" s="379">
        <f t="shared" si="70"/>
        <v>3.8249999999999997</v>
      </c>
      <c r="Z101" s="379">
        <f t="shared" si="70"/>
        <v>3.8249999999999997</v>
      </c>
      <c r="AA101" s="379">
        <f>SUM(0.12+0.15)</f>
        <v>0.27</v>
      </c>
      <c r="AB101" s="65"/>
      <c r="AC101" s="42"/>
      <c r="AD101" s="72"/>
      <c r="AE101" s="72"/>
      <c r="AF101" s="72"/>
      <c r="AG101" s="72"/>
      <c r="AH101" s="62">
        <f t="shared" si="59"/>
        <v>0.94608000000000003</v>
      </c>
      <c r="AI101" s="65"/>
      <c r="AJ101" s="65">
        <v>2019</v>
      </c>
      <c r="AK101" s="65">
        <v>30</v>
      </c>
      <c r="AM101" s="106"/>
      <c r="AN101" s="105" t="str">
        <f t="shared" si="64"/>
        <v>R-SH_Det_LPG_N1</v>
      </c>
      <c r="AO101" s="105" t="str">
        <f t="shared" si="65"/>
        <v>Residential Liquid Petroleum Gas- New 1 SH</v>
      </c>
      <c r="AP101" s="106" t="s">
        <v>13</v>
      </c>
      <c r="AQ101" s="106" t="s">
        <v>183</v>
      </c>
      <c r="AR101" s="106"/>
      <c r="AS101" s="106" t="s">
        <v>75</v>
      </c>
    </row>
    <row r="102" spans="3:45" ht="15" x14ac:dyDescent="0.25">
      <c r="C102" s="22" t="str">
        <f>"R-SW_Det"&amp;"_"&amp;RIGHT(F102,3)&amp;"_N1"</f>
        <v>R-SW_Det_LPG_N1</v>
      </c>
      <c r="D102" s="23" t="s">
        <v>104</v>
      </c>
      <c r="E102" s="23"/>
      <c r="F102" s="24" t="s">
        <v>282</v>
      </c>
      <c r="G102" s="24"/>
      <c r="H102" s="57" t="s">
        <v>278</v>
      </c>
      <c r="I102" s="22">
        <v>1</v>
      </c>
      <c r="J102" s="23">
        <v>1</v>
      </c>
      <c r="K102" s="23">
        <v>1</v>
      </c>
      <c r="L102" s="57">
        <v>1</v>
      </c>
      <c r="M102" s="44"/>
      <c r="N102" s="32"/>
      <c r="O102" s="32"/>
      <c r="P102" s="45"/>
      <c r="Q102" s="22">
        <f>I102*0.7</f>
        <v>0.7</v>
      </c>
      <c r="R102" s="23">
        <f t="shared" ref="R102" si="71">J102*0.7</f>
        <v>0.7</v>
      </c>
      <c r="S102" s="23">
        <f t="shared" ref="S102" si="72">K102*0.7</f>
        <v>0.7</v>
      </c>
      <c r="T102" s="57">
        <f t="shared" ref="T102" si="73">L102*0.7</f>
        <v>0.7</v>
      </c>
      <c r="U102" s="53">
        <v>20</v>
      </c>
      <c r="V102" s="25"/>
      <c r="W102" s="380">
        <f t="shared" si="70"/>
        <v>4.1040057915057915</v>
      </c>
      <c r="X102" s="380">
        <f t="shared" si="70"/>
        <v>4.1040057915057915</v>
      </c>
      <c r="Y102" s="380">
        <f t="shared" si="70"/>
        <v>4.1040057915057915</v>
      </c>
      <c r="Z102" s="380">
        <f t="shared" si="70"/>
        <v>4.1040057915057915</v>
      </c>
      <c r="AA102" s="379">
        <f>SUM(0.12+0.15)</f>
        <v>0.27</v>
      </c>
      <c r="AB102" s="66"/>
      <c r="AC102" s="44"/>
      <c r="AD102" s="73"/>
      <c r="AE102" s="73"/>
      <c r="AF102" s="73"/>
      <c r="AG102" s="73"/>
      <c r="AH102" s="63">
        <f t="shared" si="59"/>
        <v>1.1983680000000001</v>
      </c>
      <c r="AI102" s="66"/>
      <c r="AJ102" s="66">
        <v>2019</v>
      </c>
      <c r="AK102" s="66">
        <v>38</v>
      </c>
      <c r="AM102" s="106"/>
      <c r="AN102" s="105" t="str">
        <f t="shared" si="64"/>
        <v>R-SW_Det_LPG_N1</v>
      </c>
      <c r="AO102" s="105" t="str">
        <f t="shared" si="65"/>
        <v>Residential Liquid Petroleum Gas- New 2 SH + WH</v>
      </c>
      <c r="AP102" s="106" t="s">
        <v>13</v>
      </c>
      <c r="AQ102" s="106" t="s">
        <v>183</v>
      </c>
      <c r="AR102" s="106"/>
      <c r="AS102" s="106" t="s">
        <v>75</v>
      </c>
    </row>
    <row r="103" spans="3:45" ht="15" x14ac:dyDescent="0.25">
      <c r="C103" s="40" t="str">
        <f>"R-SH_Det"&amp;"_"&amp;RIGHT(F103,3)&amp;"_N1"</f>
        <v>R-SH_Det_WOO_N1</v>
      </c>
      <c r="D103" s="29" t="s">
        <v>105</v>
      </c>
      <c r="E103" s="29"/>
      <c r="F103" s="30" t="s">
        <v>285</v>
      </c>
      <c r="G103" s="30"/>
      <c r="H103" s="58" t="s">
        <v>150</v>
      </c>
      <c r="I103" s="40">
        <v>1</v>
      </c>
      <c r="J103" s="29">
        <v>1</v>
      </c>
      <c r="K103" s="29">
        <v>1</v>
      </c>
      <c r="L103" s="58">
        <v>1</v>
      </c>
      <c r="M103" s="42"/>
      <c r="N103" s="31"/>
      <c r="O103" s="31"/>
      <c r="P103" s="43"/>
      <c r="Q103" s="40"/>
      <c r="R103" s="29"/>
      <c r="S103" s="29"/>
      <c r="T103" s="58"/>
      <c r="U103" s="54">
        <v>20</v>
      </c>
      <c r="V103" s="41"/>
      <c r="W103" s="379">
        <v>22.5</v>
      </c>
      <c r="X103" s="379">
        <f>W103*0.96777</f>
        <v>21.774825</v>
      </c>
      <c r="Y103" s="379">
        <f>W103*0.914844</f>
        <v>20.58399</v>
      </c>
      <c r="Z103" s="379">
        <f>W103*0.8181</f>
        <v>18.407250000000001</v>
      </c>
      <c r="AA103" s="379">
        <v>0.25</v>
      </c>
      <c r="AB103" s="65"/>
      <c r="AC103" s="42"/>
      <c r="AD103" s="72"/>
      <c r="AE103" s="72"/>
      <c r="AF103" s="72"/>
      <c r="AG103" s="72"/>
      <c r="AH103" s="62">
        <f t="shared" si="59"/>
        <v>0.94608000000000003</v>
      </c>
      <c r="AI103" s="65"/>
      <c r="AJ103" s="65">
        <v>2019</v>
      </c>
      <c r="AK103" s="65">
        <v>30</v>
      </c>
      <c r="AM103" s="106"/>
      <c r="AN103" s="105" t="str">
        <f t="shared" si="64"/>
        <v>R-SH_Det_WOO_N1</v>
      </c>
      <c r="AO103" s="105" t="str">
        <f t="shared" si="65"/>
        <v>Residential Biomass Boiler - New 1 SH</v>
      </c>
      <c r="AP103" s="106" t="s">
        <v>13</v>
      </c>
      <c r="AQ103" s="106" t="s">
        <v>183</v>
      </c>
      <c r="AR103" s="106"/>
      <c r="AS103" s="106" t="s">
        <v>75</v>
      </c>
    </row>
    <row r="104" spans="3:45" ht="15.75" thickBot="1" x14ac:dyDescent="0.3">
      <c r="C104" s="22" t="str">
        <f>"R-SW_Det"&amp;"_"&amp;RIGHT(F104,3)&amp;"_N1"</f>
        <v>R-SW_Det_WOO_N1</v>
      </c>
      <c r="D104" s="23" t="s">
        <v>106</v>
      </c>
      <c r="E104" s="23"/>
      <c r="F104" s="24" t="s">
        <v>285</v>
      </c>
      <c r="G104" s="24"/>
      <c r="H104" s="57" t="s">
        <v>278</v>
      </c>
      <c r="I104" s="22">
        <v>1</v>
      </c>
      <c r="J104" s="23">
        <v>1</v>
      </c>
      <c r="K104" s="23">
        <v>1</v>
      </c>
      <c r="L104" s="57">
        <v>1</v>
      </c>
      <c r="M104" s="44"/>
      <c r="N104" s="32"/>
      <c r="O104" s="32"/>
      <c r="P104" s="45"/>
      <c r="Q104" s="22">
        <f t="shared" ref="Q104:T104" si="74">I104*0.7</f>
        <v>0.7</v>
      </c>
      <c r="R104" s="23">
        <f t="shared" si="74"/>
        <v>0.7</v>
      </c>
      <c r="S104" s="23">
        <f t="shared" si="74"/>
        <v>0.7</v>
      </c>
      <c r="T104" s="57">
        <f t="shared" si="74"/>
        <v>0.7</v>
      </c>
      <c r="U104" s="53">
        <v>20</v>
      </c>
      <c r="V104" s="25"/>
      <c r="W104" s="380">
        <f>W103*($V$152/$V$151)</f>
        <v>22.778925619834713</v>
      </c>
      <c r="X104" s="380">
        <f t="shared" ref="X104" si="75">X103*($V$152/$V$151)</f>
        <v>22.04476084710744</v>
      </c>
      <c r="Y104" s="380">
        <f t="shared" ref="Y104" si="76">Y103*($V$152/$V$151)</f>
        <v>20.839163429752066</v>
      </c>
      <c r="Z104" s="380">
        <f t="shared" ref="Z104" si="77">Z103*($V$152/$V$151)</f>
        <v>18.635439049586779</v>
      </c>
      <c r="AA104" s="380">
        <v>0.25</v>
      </c>
      <c r="AB104" s="66"/>
      <c r="AC104" s="44"/>
      <c r="AD104" s="73"/>
      <c r="AE104" s="73"/>
      <c r="AF104" s="73"/>
      <c r="AG104" s="73"/>
      <c r="AH104" s="63">
        <f t="shared" si="59"/>
        <v>1.1983680000000001</v>
      </c>
      <c r="AI104" s="66"/>
      <c r="AJ104" s="66">
        <v>2019</v>
      </c>
      <c r="AK104" s="66">
        <v>38</v>
      </c>
      <c r="AM104" s="109"/>
      <c r="AN104" s="108" t="str">
        <f t="shared" si="64"/>
        <v>R-SW_Det_WOO_N1</v>
      </c>
      <c r="AO104" s="108" t="str">
        <f t="shared" si="65"/>
        <v>Residential Biomass Boiler - New 2 SH + WH</v>
      </c>
      <c r="AP104" s="109" t="s">
        <v>13</v>
      </c>
      <c r="AQ104" s="109" t="s">
        <v>183</v>
      </c>
      <c r="AR104" s="109"/>
      <c r="AS104" s="109" t="s">
        <v>75</v>
      </c>
    </row>
    <row r="105" spans="3:45" ht="15.75" thickBot="1" x14ac:dyDescent="0.3">
      <c r="C105" s="40" t="str">
        <f>"R-SH_Det"&amp;"_"&amp;"FPL"&amp;"_N1"</f>
        <v>R-SH_Det_FPL_N1</v>
      </c>
      <c r="D105" s="29" t="s">
        <v>589</v>
      </c>
      <c r="E105" s="29"/>
      <c r="F105" s="30" t="s">
        <v>586</v>
      </c>
      <c r="G105" s="30"/>
      <c r="H105" s="58" t="s">
        <v>150</v>
      </c>
      <c r="I105" s="40">
        <v>0.55000000000000004</v>
      </c>
      <c r="J105" s="40">
        <v>0.55000000000000004</v>
      </c>
      <c r="K105" s="40">
        <v>0.55000000000000004</v>
      </c>
      <c r="L105" s="40">
        <v>0.55000000000000004</v>
      </c>
      <c r="M105" s="44"/>
      <c r="N105" s="32"/>
      <c r="O105" s="32"/>
      <c r="P105" s="45"/>
      <c r="Q105" s="22"/>
      <c r="R105" s="23"/>
      <c r="S105" s="23"/>
      <c r="T105" s="57"/>
      <c r="U105" s="54">
        <v>20</v>
      </c>
      <c r="V105" s="25"/>
      <c r="W105" s="380">
        <f>((JRC_Data!BB13)/1000)*$V$153</f>
        <v>2.6</v>
      </c>
      <c r="X105" s="380">
        <f>((JRC_Data!BC13)/1000)*$V$153</f>
        <v>2.6</v>
      </c>
      <c r="Y105" s="380">
        <f>((JRC_Data!BD13)/1000)*$V$153</f>
        <v>3.5</v>
      </c>
      <c r="Z105" s="380">
        <f>((JRC_Data!BE13)/1000)*$V$153</f>
        <v>3.5</v>
      </c>
      <c r="AA105" s="380">
        <v>0.12</v>
      </c>
      <c r="AB105" s="66"/>
      <c r="AC105" s="44"/>
      <c r="AD105" s="73"/>
      <c r="AE105" s="73"/>
      <c r="AF105" s="73"/>
      <c r="AG105" s="73"/>
      <c r="AH105" s="63">
        <f t="shared" si="59"/>
        <v>0.94608000000000003</v>
      </c>
      <c r="AI105" s="66"/>
      <c r="AJ105" s="65">
        <v>2019</v>
      </c>
      <c r="AK105" s="66">
        <v>30</v>
      </c>
      <c r="AM105" s="109"/>
      <c r="AN105" s="443" t="s">
        <v>595</v>
      </c>
      <c r="AO105" s="108" t="str">
        <f t="shared" si="65"/>
        <v>Residential  Stove New 1 - SH</v>
      </c>
      <c r="AP105" s="106" t="s">
        <v>13</v>
      </c>
      <c r="AQ105" s="106" t="s">
        <v>183</v>
      </c>
      <c r="AR105" s="109"/>
      <c r="AS105" s="109"/>
    </row>
    <row r="106" spans="3:45" ht="15.75" thickBot="1" x14ac:dyDescent="0.3">
      <c r="C106" s="22" t="str">
        <f>"R-SW_Det"&amp;"_"&amp;"FPL"&amp;"_N1"</f>
        <v>R-SW_Det_FPL_N1</v>
      </c>
      <c r="D106" s="23" t="s">
        <v>590</v>
      </c>
      <c r="E106" s="23"/>
      <c r="F106" s="24" t="s">
        <v>586</v>
      </c>
      <c r="G106" s="24"/>
      <c r="H106" s="57" t="s">
        <v>278</v>
      </c>
      <c r="I106" s="40">
        <v>0.55000000000000004</v>
      </c>
      <c r="J106" s="40">
        <v>0.55000000000000004</v>
      </c>
      <c r="K106" s="40">
        <v>0.55000000000000004</v>
      </c>
      <c r="L106" s="40">
        <v>0.55000000000000004</v>
      </c>
      <c r="M106" s="44"/>
      <c r="N106" s="32"/>
      <c r="O106" s="32"/>
      <c r="P106" s="45"/>
      <c r="Q106" s="22">
        <f t="shared" ref="Q106:Q108" si="78">I106*0.7</f>
        <v>0.38500000000000001</v>
      </c>
      <c r="R106" s="23">
        <f t="shared" ref="R106:R108" si="79">J106*0.7</f>
        <v>0.38500000000000001</v>
      </c>
      <c r="S106" s="23">
        <f t="shared" ref="S106:S108" si="80">K106*0.7</f>
        <v>0.38500000000000001</v>
      </c>
      <c r="T106" s="57">
        <f t="shared" ref="T106:T108" si="81">L106*0.7</f>
        <v>0.38500000000000001</v>
      </c>
      <c r="U106" s="53">
        <v>20</v>
      </c>
      <c r="V106" s="25"/>
      <c r="W106" s="380">
        <f>((JRC_Data!BB13)/1000)*$V$154</f>
        <v>2.8057915057915057</v>
      </c>
      <c r="X106" s="380">
        <f>((JRC_Data!BC13)/1000)*$V$154</f>
        <v>2.8057915057915057</v>
      </c>
      <c r="Y106" s="380">
        <f>((JRC_Data!BD13)/1000)*$V$154</f>
        <v>3.7770270270270268</v>
      </c>
      <c r="Z106" s="380">
        <f>((JRC_Data!BE13)/1000)*$V$154</f>
        <v>3.7770270270270268</v>
      </c>
      <c r="AA106" s="442">
        <v>0.12</v>
      </c>
      <c r="AB106" s="66"/>
      <c r="AC106" s="44"/>
      <c r="AD106" s="73"/>
      <c r="AE106" s="73"/>
      <c r="AF106" s="73"/>
      <c r="AG106" s="73"/>
      <c r="AH106" s="63">
        <f t="shared" si="59"/>
        <v>1.1983680000000001</v>
      </c>
      <c r="AI106" s="66"/>
      <c r="AJ106" s="66">
        <v>2019</v>
      </c>
      <c r="AK106" s="66">
        <v>38</v>
      </c>
      <c r="AM106" s="109"/>
      <c r="AN106" s="443" t="s">
        <v>596</v>
      </c>
      <c r="AO106" s="108" t="str">
        <f t="shared" si="65"/>
        <v>Residential  Stove with back boiler New 1 - SH +WH</v>
      </c>
      <c r="AP106" s="109" t="s">
        <v>13</v>
      </c>
      <c r="AQ106" s="109" t="s">
        <v>183</v>
      </c>
      <c r="AR106" s="109"/>
      <c r="AS106" s="109"/>
    </row>
    <row r="107" spans="3:45" ht="15.75" thickBot="1" x14ac:dyDescent="0.3">
      <c r="C107" s="40" t="s">
        <v>593</v>
      </c>
      <c r="D107" s="29" t="s">
        <v>272</v>
      </c>
      <c r="E107" s="29"/>
      <c r="F107" s="30" t="s">
        <v>287</v>
      </c>
      <c r="G107" s="30"/>
      <c r="H107" s="58" t="s">
        <v>150</v>
      </c>
      <c r="I107" s="40">
        <v>0.82</v>
      </c>
      <c r="J107" s="40">
        <v>0.82</v>
      </c>
      <c r="K107" s="40">
        <v>0.82</v>
      </c>
      <c r="L107" s="40">
        <v>0.82</v>
      </c>
      <c r="M107" s="42"/>
      <c r="N107" s="31"/>
      <c r="O107" s="31"/>
      <c r="P107" s="43"/>
      <c r="Q107" s="40"/>
      <c r="R107" s="29"/>
      <c r="S107" s="29"/>
      <c r="T107" s="58"/>
      <c r="U107" s="54">
        <v>20</v>
      </c>
      <c r="V107" s="41"/>
      <c r="W107" s="62">
        <f>W93</f>
        <v>4.5825000000000005</v>
      </c>
      <c r="X107" s="62">
        <f t="shared" ref="X107:AA107" si="82">X93</f>
        <v>4.5825000000000005</v>
      </c>
      <c r="Y107" s="62">
        <f t="shared" si="82"/>
        <v>4.5825000000000005</v>
      </c>
      <c r="Z107" s="62">
        <f t="shared" si="82"/>
        <v>4.5825000000000005</v>
      </c>
      <c r="AA107" s="62">
        <f t="shared" si="82"/>
        <v>0.12</v>
      </c>
      <c r="AB107" s="65"/>
      <c r="AC107" s="42"/>
      <c r="AD107" s="72"/>
      <c r="AE107" s="72"/>
      <c r="AF107" s="72"/>
      <c r="AG107" s="72"/>
      <c r="AH107" s="62">
        <f t="shared" si="59"/>
        <v>0.94608000000000003</v>
      </c>
      <c r="AI107" s="65"/>
      <c r="AJ107" s="65">
        <v>2019</v>
      </c>
      <c r="AK107" s="65">
        <v>30</v>
      </c>
      <c r="AM107" s="109"/>
      <c r="AN107" s="108" t="str">
        <f t="shared" si="64"/>
        <v>R-SH_Det_HVO_N1</v>
      </c>
      <c r="AO107" s="108" t="str">
        <f t="shared" si="65"/>
        <v>Residential  Hydrotreated vegetable oil - New 1 SH</v>
      </c>
      <c r="AP107" s="109" t="s">
        <v>13</v>
      </c>
      <c r="AQ107" s="109" t="s">
        <v>183</v>
      </c>
      <c r="AR107" s="109"/>
      <c r="AS107" s="109" t="s">
        <v>75</v>
      </c>
    </row>
    <row r="108" spans="3:45" ht="15.75" thickBot="1" x14ac:dyDescent="0.3">
      <c r="C108" s="22" t="s">
        <v>594</v>
      </c>
      <c r="D108" s="23" t="s">
        <v>548</v>
      </c>
      <c r="E108" s="23"/>
      <c r="F108" s="24" t="s">
        <v>287</v>
      </c>
      <c r="G108" s="24"/>
      <c r="H108" s="57" t="s">
        <v>278</v>
      </c>
      <c r="I108" s="22">
        <v>0.82</v>
      </c>
      <c r="J108" s="22">
        <v>0.82</v>
      </c>
      <c r="K108" s="22">
        <v>0.82</v>
      </c>
      <c r="L108" s="22">
        <v>0.82</v>
      </c>
      <c r="M108" s="49"/>
      <c r="N108" s="50"/>
      <c r="O108" s="50"/>
      <c r="P108" s="51"/>
      <c r="Q108" s="252">
        <f t="shared" si="78"/>
        <v>0.57399999999999995</v>
      </c>
      <c r="R108" s="26">
        <f t="shared" si="79"/>
        <v>0.57399999999999995</v>
      </c>
      <c r="S108" s="26">
        <f t="shared" si="80"/>
        <v>0.57399999999999995</v>
      </c>
      <c r="T108" s="59">
        <f t="shared" si="81"/>
        <v>0.57399999999999995</v>
      </c>
      <c r="U108" s="55">
        <v>20</v>
      </c>
      <c r="V108" s="28"/>
      <c r="W108" s="62">
        <f>W94</f>
        <v>4.9452075289575284</v>
      </c>
      <c r="X108" s="62">
        <f t="shared" ref="X108:AA108" si="83">X94</f>
        <v>4.9452075289575284</v>
      </c>
      <c r="Y108" s="62">
        <f t="shared" si="83"/>
        <v>4.9452075289575284</v>
      </c>
      <c r="Z108" s="62">
        <f t="shared" si="83"/>
        <v>4.9452075289575284</v>
      </c>
      <c r="AA108" s="62">
        <f t="shared" si="83"/>
        <v>0.12</v>
      </c>
      <c r="AB108" s="66"/>
      <c r="AC108" s="44"/>
      <c r="AD108" s="73"/>
      <c r="AE108" s="73"/>
      <c r="AF108" s="73"/>
      <c r="AG108" s="73"/>
      <c r="AH108" s="63">
        <f t="shared" si="59"/>
        <v>1.1983680000000001</v>
      </c>
      <c r="AI108" s="67"/>
      <c r="AJ108" s="67">
        <v>2019</v>
      </c>
      <c r="AK108" s="67">
        <v>38</v>
      </c>
      <c r="AM108" s="109"/>
      <c r="AN108" s="108" t="str">
        <f t="shared" si="64"/>
        <v>R-SW_Det_HVO_N1</v>
      </c>
      <c r="AO108" s="108" t="str">
        <f t="shared" si="65"/>
        <v>Residential  Hydrotreated vegetable oil - New 1 SH + WH</v>
      </c>
      <c r="AP108" s="109" t="s">
        <v>13</v>
      </c>
      <c r="AQ108" s="109" t="s">
        <v>183</v>
      </c>
      <c r="AR108" s="109"/>
      <c r="AS108" s="109" t="s">
        <v>75</v>
      </c>
    </row>
    <row r="109" spans="3:45" ht="15.75" thickBot="1" x14ac:dyDescent="0.3">
      <c r="C109" s="33" t="s">
        <v>292</v>
      </c>
      <c r="D109" s="33"/>
      <c r="E109" s="33"/>
      <c r="F109" s="34"/>
      <c r="G109" s="34"/>
      <c r="H109" s="34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4"/>
      <c r="V109" s="34"/>
      <c r="W109" s="33"/>
      <c r="X109" s="33"/>
      <c r="Y109" s="33"/>
      <c r="Z109" s="33"/>
      <c r="AA109" s="33"/>
      <c r="AB109" s="34"/>
      <c r="AC109" s="36"/>
      <c r="AD109" s="36"/>
      <c r="AE109" s="36"/>
      <c r="AF109" s="36"/>
      <c r="AG109" s="36"/>
      <c r="AH109" s="33"/>
      <c r="AI109" s="34"/>
      <c r="AJ109" s="34"/>
      <c r="AK109" s="34"/>
      <c r="AM109" s="110"/>
      <c r="AN109" s="111" t="str">
        <f>C110</f>
        <v>R-SH_Det_ELC_N1</v>
      </c>
      <c r="AO109" s="111" t="str">
        <f>D110</f>
        <v>Residential Electric Heater - New 1 SH</v>
      </c>
      <c r="AP109" s="110" t="s">
        <v>13</v>
      </c>
      <c r="AQ109" s="110" t="s">
        <v>183</v>
      </c>
      <c r="AR109" s="110"/>
      <c r="AS109" s="110" t="s">
        <v>75</v>
      </c>
    </row>
    <row r="110" spans="3:45" ht="15" x14ac:dyDescent="0.25">
      <c r="C110" s="96" t="str">
        <f>"R-SH_Det"&amp;"_"&amp;RIGHT(F110,3)&amp;"_N1"</f>
        <v>R-SH_Det_ELC_N1</v>
      </c>
      <c r="D110" s="80" t="s">
        <v>107</v>
      </c>
      <c r="E110" s="80"/>
      <c r="F110" s="121" t="s">
        <v>156</v>
      </c>
      <c r="G110" s="121"/>
      <c r="H110" s="81" t="s">
        <v>150</v>
      </c>
      <c r="I110" s="249">
        <v>1</v>
      </c>
      <c r="J110" s="250">
        <v>1</v>
      </c>
      <c r="K110" s="250">
        <v>1</v>
      </c>
      <c r="L110" s="251">
        <v>1</v>
      </c>
      <c r="M110" s="74"/>
      <c r="N110" s="75"/>
      <c r="O110" s="75"/>
      <c r="P110" s="76"/>
      <c r="Q110" s="74"/>
      <c r="R110" s="75"/>
      <c r="S110" s="75"/>
      <c r="T110" s="76"/>
      <c r="U110" s="77">
        <v>20</v>
      </c>
      <c r="V110" s="78"/>
      <c r="W110" s="79">
        <f>(JRC_Data!BB48/1000)*($V$153/$V$151)</f>
        <v>4.2809917355371896</v>
      </c>
      <c r="X110" s="79">
        <f>(JRC_Data!BC48/1000)*($V$153/$V$151)</f>
        <v>4.2809917355371896</v>
      </c>
      <c r="Y110" s="79">
        <f>(JRC_Data!BD48/1000)*($V$153/$V$151)</f>
        <v>4.2809917355371896</v>
      </c>
      <c r="Z110" s="79">
        <f>(JRC_Data!BE48/1000)*($V$153/$V$151)</f>
        <v>4.2809917355371896</v>
      </c>
      <c r="AA110" s="82">
        <f>JRC_Data!BL48/1000</f>
        <v>0.05</v>
      </c>
      <c r="AB110" s="83"/>
      <c r="AC110" s="84"/>
      <c r="AD110" s="84"/>
      <c r="AE110" s="84"/>
      <c r="AF110" s="84"/>
      <c r="AG110" s="84"/>
      <c r="AH110" s="82">
        <f t="shared" si="59"/>
        <v>0.94608000000000003</v>
      </c>
      <c r="AI110" s="83"/>
      <c r="AJ110" s="83">
        <v>2019</v>
      </c>
      <c r="AK110" s="83">
        <v>30</v>
      </c>
      <c r="AM110" s="104"/>
      <c r="AN110" s="103" t="str">
        <f t="shared" ref="AN110:AN116" si="84">C112</f>
        <v>R-SH_Det_ELC_HPN1</v>
      </c>
      <c r="AO110" s="103" t="str">
        <f t="shared" ref="AO110:AO116" si="85">D112</f>
        <v>Residential Electric Heat Pump - Air to Air - SH</v>
      </c>
      <c r="AP110" s="104" t="s">
        <v>13</v>
      </c>
      <c r="AQ110" s="104" t="s">
        <v>183</v>
      </c>
      <c r="AR110" s="104"/>
      <c r="AS110" s="104" t="s">
        <v>75</v>
      </c>
    </row>
    <row r="111" spans="3:45" ht="15" x14ac:dyDescent="0.25">
      <c r="C111" s="33" t="s">
        <v>293</v>
      </c>
      <c r="D111" s="33"/>
      <c r="E111" s="33"/>
      <c r="F111" s="34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4"/>
      <c r="V111" s="34"/>
      <c r="W111" s="33"/>
      <c r="X111" s="33"/>
      <c r="Y111" s="33"/>
      <c r="Z111" s="33"/>
      <c r="AA111" s="33"/>
      <c r="AB111" s="34"/>
      <c r="AC111" s="36"/>
      <c r="AD111" s="36"/>
      <c r="AE111" s="36"/>
      <c r="AF111" s="36"/>
      <c r="AG111" s="36"/>
      <c r="AH111" s="33"/>
      <c r="AI111" s="34"/>
      <c r="AJ111" s="34"/>
      <c r="AK111" s="34"/>
      <c r="AM111" s="106"/>
      <c r="AN111" s="105" t="str">
        <f t="shared" si="84"/>
        <v>R-HC_Det_ELC_HPN1</v>
      </c>
      <c r="AO111" s="105" t="str">
        <f t="shared" si="85"/>
        <v>Residential Electric Heat Pump - Air to Air - SH + SC</v>
      </c>
      <c r="AP111" s="106" t="s">
        <v>13</v>
      </c>
      <c r="AQ111" s="106" t="s">
        <v>183</v>
      </c>
      <c r="AR111" s="106"/>
      <c r="AS111" s="106" t="s">
        <v>75</v>
      </c>
    </row>
    <row r="112" spans="3:45" ht="15" x14ac:dyDescent="0.25">
      <c r="C112" s="19" t="str">
        <f>"R-SH_Det"&amp;"_"&amp;RIGHT(F112,3)&amp;"_HPN1"</f>
        <v>R-SH_Det_ELC_HPN1</v>
      </c>
      <c r="D112" s="20" t="s">
        <v>109</v>
      </c>
      <c r="E112" s="20"/>
      <c r="F112" s="89" t="s">
        <v>156</v>
      </c>
      <c r="G112" s="89" t="s">
        <v>584</v>
      </c>
      <c r="H112" s="56" t="s">
        <v>150</v>
      </c>
      <c r="I112" s="19">
        <v>1</v>
      </c>
      <c r="J112" s="20">
        <v>1.0666666666666667</v>
      </c>
      <c r="K112" s="20">
        <v>1.2333333333333334</v>
      </c>
      <c r="L112" s="56">
        <v>1.3333333333333333</v>
      </c>
      <c r="M112" s="19"/>
      <c r="N112" s="20"/>
      <c r="O112" s="20"/>
      <c r="P112" s="56"/>
      <c r="Q112" s="19"/>
      <c r="R112" s="20"/>
      <c r="S112" s="20"/>
      <c r="T112" s="56"/>
      <c r="U112" s="52">
        <v>20</v>
      </c>
      <c r="V112" s="48"/>
      <c r="W112" s="19">
        <f>(JRC_Data!BB16/1000)*($V$153/$V$152)</f>
        <v>2.3257142857142861</v>
      </c>
      <c r="X112" s="19">
        <f>(JRC_Data!BC16/1000)*($V$153/$V$152)</f>
        <v>2.2200000000000002</v>
      </c>
      <c r="Y112" s="19">
        <f>(JRC_Data!BD16/1000)*($V$153/$V$152)</f>
        <v>2.0085714285714285</v>
      </c>
      <c r="Z112" s="19">
        <f>(JRC_Data!BE16/1000)*($V$153/$V$152)</f>
        <v>1.902857142857143</v>
      </c>
      <c r="AA112" s="85">
        <f>JRC_Data!BL16/1000</f>
        <v>3.4000000000000002E-2</v>
      </c>
      <c r="AB112" s="85"/>
      <c r="AC112" s="85"/>
      <c r="AD112" s="85"/>
      <c r="AE112" s="85"/>
      <c r="AF112" s="85"/>
      <c r="AG112" s="85"/>
      <c r="AH112" s="85">
        <f t="shared" si="59"/>
        <v>0.31536000000000003</v>
      </c>
      <c r="AI112" s="88"/>
      <c r="AJ112" s="88">
        <v>2100</v>
      </c>
      <c r="AK112" s="88">
        <v>10</v>
      </c>
      <c r="AM112" s="106"/>
      <c r="AN112" s="105" t="str">
        <f t="shared" si="84"/>
        <v>R-SH_Det_ELC_HPN2</v>
      </c>
      <c r="AO112" s="105" t="str">
        <f t="shared" si="85"/>
        <v>Residential Electric Heat Pump - Air to Water - SH</v>
      </c>
      <c r="AP112" s="106" t="s">
        <v>13</v>
      </c>
      <c r="AQ112" s="106" t="s">
        <v>183</v>
      </c>
      <c r="AR112" s="106"/>
      <c r="AS112" s="106" t="s">
        <v>75</v>
      </c>
    </row>
    <row r="113" spans="3:45" ht="15" x14ac:dyDescent="0.25">
      <c r="C113" s="22" t="str">
        <f>"R-HC_Det"&amp;"_"&amp;RIGHT(F113,3)&amp;"_HPN1"</f>
        <v>R-HC_Det_ELC_HPN1</v>
      </c>
      <c r="D113" s="23" t="s">
        <v>110</v>
      </c>
      <c r="E113" s="23"/>
      <c r="F113" s="24" t="s">
        <v>156</v>
      </c>
      <c r="G113" s="24" t="s">
        <v>584</v>
      </c>
      <c r="H113" s="57" t="s">
        <v>279</v>
      </c>
      <c r="I113" s="22">
        <v>1</v>
      </c>
      <c r="J113" s="23">
        <v>1.0666666666666667</v>
      </c>
      <c r="K113" s="23">
        <v>1.2333333333333334</v>
      </c>
      <c r="L113" s="57">
        <v>1.3333333333333333</v>
      </c>
      <c r="M113" s="22">
        <v>1</v>
      </c>
      <c r="N113" s="23">
        <v>1.0666666666666667</v>
      </c>
      <c r="O113" s="23">
        <v>1.2333333333333334</v>
      </c>
      <c r="P113" s="57">
        <v>1.3333333333333333</v>
      </c>
      <c r="Q113" s="22"/>
      <c r="R113" s="23"/>
      <c r="S113" s="23"/>
      <c r="T113" s="57"/>
      <c r="U113" s="53">
        <v>20</v>
      </c>
      <c r="V113" s="45"/>
      <c r="W113" s="22">
        <f>(JRC_Data!BB16/1000)*($V$154/$V$152)</f>
        <v>2.5097959183673471</v>
      </c>
      <c r="X113" s="22">
        <f>(JRC_Data!BC16/1000)*($V$154/$V$152)</f>
        <v>2.3957142857142855</v>
      </c>
      <c r="Y113" s="22">
        <f>(JRC_Data!BD16/1000)*($V$154/$V$152)</f>
        <v>2.1675510204081632</v>
      </c>
      <c r="Z113" s="22">
        <f>(JRC_Data!BE16/1000)*($V$154/$V$152)</f>
        <v>2.053469387755102</v>
      </c>
      <c r="AA113" s="63">
        <f>JRC_Data!BL16/1000</f>
        <v>3.4000000000000002E-2</v>
      </c>
      <c r="AB113" s="63"/>
      <c r="AC113" s="63"/>
      <c r="AD113" s="63"/>
      <c r="AE113" s="63"/>
      <c r="AF113" s="63"/>
      <c r="AG113" s="63"/>
      <c r="AH113" s="63">
        <f t="shared" si="59"/>
        <v>0.37843200000000005</v>
      </c>
      <c r="AI113" s="66"/>
      <c r="AJ113" s="66">
        <v>2100</v>
      </c>
      <c r="AK113" s="66">
        <v>12</v>
      </c>
      <c r="AM113" s="106"/>
      <c r="AN113" s="105" t="str">
        <f t="shared" si="84"/>
        <v>R-SW_Det_ELC_HPN1</v>
      </c>
      <c r="AO113" s="105" t="str">
        <f t="shared" si="85"/>
        <v>Residential Electric Heat Pump - Air to Water - SH + WH</v>
      </c>
      <c r="AP113" s="106" t="s">
        <v>13</v>
      </c>
      <c r="AQ113" s="106" t="s">
        <v>183</v>
      </c>
      <c r="AR113" s="106"/>
      <c r="AS113" s="106" t="s">
        <v>75</v>
      </c>
    </row>
    <row r="114" spans="3:45" ht="15" x14ac:dyDescent="0.25">
      <c r="C114" s="40" t="str">
        <f>"R-SH_Det"&amp;"_"&amp;RIGHT(F114,3)&amp;"_HPN2"</f>
        <v>R-SH_Det_ELC_HPN2</v>
      </c>
      <c r="D114" s="29" t="s">
        <v>111</v>
      </c>
      <c r="E114" s="29"/>
      <c r="F114" s="30" t="s">
        <v>156</v>
      </c>
      <c r="G114" s="30" t="s">
        <v>584</v>
      </c>
      <c r="H114" s="58" t="s">
        <v>150</v>
      </c>
      <c r="I114" s="40">
        <v>1</v>
      </c>
      <c r="J114" s="29">
        <v>1.0999999999999999</v>
      </c>
      <c r="K114" s="29">
        <v>1.2333333333333334</v>
      </c>
      <c r="L114" s="58">
        <v>1.3333333333333333</v>
      </c>
      <c r="M114" s="40"/>
      <c r="N114" s="29"/>
      <c r="O114" s="29"/>
      <c r="P114" s="58"/>
      <c r="Q114" s="40"/>
      <c r="R114" s="29"/>
      <c r="S114" s="29"/>
      <c r="T114" s="58"/>
      <c r="U114" s="54">
        <v>20</v>
      </c>
      <c r="V114" s="43"/>
      <c r="W114" s="379">
        <v>9.8469999999999995</v>
      </c>
      <c r="X114" s="379">
        <f>W114*0.91</f>
        <v>8.9607700000000001</v>
      </c>
      <c r="Y114" s="379">
        <f>X114*0.91</f>
        <v>8.1543007000000003</v>
      </c>
      <c r="Z114" s="379">
        <f>W114*0.82</f>
        <v>8.0745399999999989</v>
      </c>
      <c r="AA114" s="379">
        <v>0.1</v>
      </c>
      <c r="AB114" s="62"/>
      <c r="AC114" s="62"/>
      <c r="AD114" s="62"/>
      <c r="AE114" s="62"/>
      <c r="AF114" s="62"/>
      <c r="AG114" s="62"/>
      <c r="AH114" s="62">
        <f t="shared" si="59"/>
        <v>0.31536000000000003</v>
      </c>
      <c r="AI114" s="65"/>
      <c r="AJ114" s="65">
        <v>2019</v>
      </c>
      <c r="AK114" s="65">
        <v>10</v>
      </c>
      <c r="AM114" s="212"/>
      <c r="AN114" s="105" t="str">
        <f t="shared" si="84"/>
        <v>R-SW_Det_ELC_HPN2</v>
      </c>
      <c r="AO114" s="105" t="str">
        <f t="shared" si="85"/>
        <v>Residential Electric Heat Pump - Air to Water - SH + WH + Solar</v>
      </c>
      <c r="AP114" s="106" t="s">
        <v>13</v>
      </c>
      <c r="AQ114" s="106" t="s">
        <v>183</v>
      </c>
      <c r="AR114" s="106"/>
      <c r="AS114" s="106" t="s">
        <v>75</v>
      </c>
    </row>
    <row r="115" spans="3:45" ht="15" x14ac:dyDescent="0.25">
      <c r="C115" s="22" t="str">
        <f>"R-SW_Det"&amp;"_"&amp;RIGHT(F115,3)&amp;"_HPN1"</f>
        <v>R-SW_Det_ELC_HPN1</v>
      </c>
      <c r="D115" s="23" t="s">
        <v>112</v>
      </c>
      <c r="E115" s="23"/>
      <c r="F115" s="24" t="s">
        <v>156</v>
      </c>
      <c r="G115" s="24" t="s">
        <v>687</v>
      </c>
      <c r="H115" s="57" t="s">
        <v>278</v>
      </c>
      <c r="I115" s="22">
        <v>1</v>
      </c>
      <c r="J115" s="23">
        <v>1.0999999999999999</v>
      </c>
      <c r="K115" s="23">
        <v>1.2333333333333334</v>
      </c>
      <c r="L115" s="57">
        <v>1.3333333333333333</v>
      </c>
      <c r="M115" s="22"/>
      <c r="N115" s="23"/>
      <c r="O115" s="23"/>
      <c r="P115" s="57"/>
      <c r="Q115" s="22">
        <f>I115*0.7</f>
        <v>0.7</v>
      </c>
      <c r="R115" s="23">
        <f t="shared" ref="R115:R116" si="86">J115*0.7</f>
        <v>0.76999999999999991</v>
      </c>
      <c r="S115" s="23">
        <f t="shared" ref="S115:S116" si="87">K115*0.7</f>
        <v>0.86333333333333329</v>
      </c>
      <c r="T115" s="57">
        <f t="shared" ref="T115:T116" si="88">L115*0.7</f>
        <v>0.93333333333333324</v>
      </c>
      <c r="U115" s="53">
        <v>20</v>
      </c>
      <c r="V115" s="45"/>
      <c r="W115" s="380">
        <f>W114*($V$150/$V$149)</f>
        <v>9.9300970464135023</v>
      </c>
      <c r="X115" s="380">
        <f t="shared" ref="X115" si="89">X114*($V$150/$V$149)</f>
        <v>9.0363883122362889</v>
      </c>
      <c r="Y115" s="380">
        <f t="shared" ref="Y115" si="90">Y114*($V$150/$V$149)</f>
        <v>8.2231133641350223</v>
      </c>
      <c r="Z115" s="380">
        <f t="shared" ref="Z115" si="91">Z114*($V$150/$V$149)</f>
        <v>8.1426795780590719</v>
      </c>
      <c r="AA115" s="380">
        <v>0.1</v>
      </c>
      <c r="AB115" s="63"/>
      <c r="AC115" s="63"/>
      <c r="AD115" s="63"/>
      <c r="AE115" s="63"/>
      <c r="AF115" s="63"/>
      <c r="AG115" s="63"/>
      <c r="AH115" s="63">
        <f t="shared" si="59"/>
        <v>0.37843200000000005</v>
      </c>
      <c r="AI115" s="66"/>
      <c r="AJ115" s="66">
        <v>2019</v>
      </c>
      <c r="AK115" s="66">
        <v>12</v>
      </c>
      <c r="AM115" s="212"/>
      <c r="AN115" s="105" t="str">
        <f t="shared" si="84"/>
        <v>R-SH_Det_ELC_HPN3</v>
      </c>
      <c r="AO115" s="105" t="str">
        <f t="shared" si="85"/>
        <v>Residential Electric Heat Pump - Ground to Water - SH</v>
      </c>
      <c r="AP115" s="106" t="s">
        <v>13</v>
      </c>
      <c r="AQ115" s="106" t="s">
        <v>183</v>
      </c>
      <c r="AR115" s="106"/>
      <c r="AS115" s="106" t="s">
        <v>75</v>
      </c>
    </row>
    <row r="116" spans="3:45" ht="15.75" thickBot="1" x14ac:dyDescent="0.3">
      <c r="C116" s="40" t="str">
        <f>"R-SW_Det"&amp;"_"&amp;RIGHT(F116,3)&amp;"_HPN2"</f>
        <v>R-SW_Det_ELC_HPN2</v>
      </c>
      <c r="D116" s="29" t="s">
        <v>113</v>
      </c>
      <c r="E116" s="29"/>
      <c r="F116" s="30" t="s">
        <v>576</v>
      </c>
      <c r="G116" s="30" t="s">
        <v>687</v>
      </c>
      <c r="H116" s="58" t="s">
        <v>278</v>
      </c>
      <c r="I116" s="40">
        <v>1</v>
      </c>
      <c r="J116" s="29">
        <v>1.1100000000000001</v>
      </c>
      <c r="K116" s="29">
        <v>1.19</v>
      </c>
      <c r="L116" s="58">
        <v>1.19</v>
      </c>
      <c r="M116" s="40"/>
      <c r="N116" s="29"/>
      <c r="O116" s="29"/>
      <c r="P116" s="58"/>
      <c r="Q116" s="40">
        <f>I116*0.7</f>
        <v>0.7</v>
      </c>
      <c r="R116" s="29">
        <f t="shared" si="86"/>
        <v>0.77700000000000002</v>
      </c>
      <c r="S116" s="29">
        <f t="shared" si="87"/>
        <v>0.83299999999999996</v>
      </c>
      <c r="T116" s="58">
        <f t="shared" si="88"/>
        <v>0.83299999999999996</v>
      </c>
      <c r="U116" s="54">
        <v>20</v>
      </c>
      <c r="V116" s="43"/>
      <c r="W116" s="40">
        <f>((JRC_Data!BB18+JRC_Data!BB45)*0.8/1000)*($V$154/$V$151)</f>
        <v>15.153057851239668</v>
      </c>
      <c r="X116" s="40">
        <f>((JRC_Data!BC18+JRC_Data!BC45)*0.8/1000)*($V$154/$V$151)</f>
        <v>13.95190082644628</v>
      </c>
      <c r="Y116" s="40">
        <f>((JRC_Data!BD18+JRC_Data!BD45)*0.8/1000)*($V$154/$V$151)</f>
        <v>13.489917355371901</v>
      </c>
      <c r="Z116" s="40">
        <f>((JRC_Data!BE18+JRC_Data!BE45)*0.8/1000)*($V$154/$V$151)</f>
        <v>11.734380165289256</v>
      </c>
      <c r="AA116" s="62">
        <f>((JRC_Data!BL18+JRC_Data!BL45)*0.8)/1000</f>
        <v>0.16960000000000003</v>
      </c>
      <c r="AB116" s="62"/>
      <c r="AC116" s="72">
        <v>0.66</v>
      </c>
      <c r="AD116" s="62"/>
      <c r="AE116" s="62"/>
      <c r="AF116" s="62"/>
      <c r="AG116" s="216">
        <v>5</v>
      </c>
      <c r="AH116" s="62">
        <f t="shared" si="59"/>
        <v>0.37843200000000005</v>
      </c>
      <c r="AI116" s="65"/>
      <c r="AJ116" s="65">
        <v>2019</v>
      </c>
      <c r="AK116" s="65">
        <v>12</v>
      </c>
      <c r="AM116" s="112"/>
      <c r="AN116" s="108" t="str">
        <f t="shared" si="84"/>
        <v>R-HC_Det_ELC_HPN2</v>
      </c>
      <c r="AO116" s="108" t="str">
        <f t="shared" si="85"/>
        <v>Residential Electric Heat Pump - Ground to Water - SH + SC</v>
      </c>
      <c r="AP116" s="109" t="s">
        <v>13</v>
      </c>
      <c r="AQ116" s="109" t="s">
        <v>183</v>
      </c>
      <c r="AR116" s="109"/>
      <c r="AS116" s="109" t="s">
        <v>75</v>
      </c>
    </row>
    <row r="117" spans="3:45" ht="15" x14ac:dyDescent="0.25">
      <c r="C117" s="22" t="str">
        <f>"R-SH_Det"&amp;"_"&amp;RIGHT(F117,3)&amp;"_HPN3"</f>
        <v>R-SH_Det_ELC_HPN3</v>
      </c>
      <c r="D117" s="23" t="s">
        <v>114</v>
      </c>
      <c r="E117" s="23"/>
      <c r="F117" s="24" t="s">
        <v>156</v>
      </c>
      <c r="G117" s="24" t="s">
        <v>584</v>
      </c>
      <c r="H117" s="57" t="s">
        <v>150</v>
      </c>
      <c r="I117" s="22">
        <v>1.0999999999999999</v>
      </c>
      <c r="J117" s="23">
        <v>1.1666666666666667</v>
      </c>
      <c r="K117" s="23">
        <v>1.3333333333333333</v>
      </c>
      <c r="L117" s="57">
        <v>1.5</v>
      </c>
      <c r="M117" s="22"/>
      <c r="N117" s="23"/>
      <c r="O117" s="23"/>
      <c r="P117" s="57"/>
      <c r="Q117" s="22"/>
      <c r="R117" s="23"/>
      <c r="S117" s="23"/>
      <c r="T117" s="57"/>
      <c r="U117" s="53">
        <v>20</v>
      </c>
      <c r="V117" s="45"/>
      <c r="W117" s="22">
        <f>(JRC_Data!BB20/1000)*($V$153/$V$152)</f>
        <v>14.8</v>
      </c>
      <c r="X117" s="22">
        <f>(JRC_Data!BC20/1000)*($V$153/$V$152)</f>
        <v>13.742857142857144</v>
      </c>
      <c r="Y117" s="22">
        <f>(JRC_Data!BD20/1000)*($V$153/$V$152)</f>
        <v>12.685714285714287</v>
      </c>
      <c r="Z117" s="22">
        <f>(JRC_Data!BE20/1000)*($V$153/$V$152)</f>
        <v>11.628571428571428</v>
      </c>
      <c r="AA117" s="63">
        <f>JRC_Data!BL20/1000</f>
        <v>0.2</v>
      </c>
      <c r="AB117" s="63"/>
      <c r="AC117" s="63"/>
      <c r="AD117" s="63"/>
      <c r="AE117" s="63"/>
      <c r="AF117" s="63"/>
      <c r="AG117" s="63"/>
      <c r="AH117" s="63">
        <f t="shared" si="59"/>
        <v>0.31536000000000003</v>
      </c>
      <c r="AI117" s="66"/>
      <c r="AJ117" s="66">
        <v>2019</v>
      </c>
      <c r="AK117" s="66">
        <v>10</v>
      </c>
      <c r="AM117" s="113"/>
      <c r="AN117" s="103" t="str">
        <f>C120</f>
        <v>R-SW_Det_GAS_HPN1</v>
      </c>
      <c r="AO117" s="103" t="str">
        <f>D120</f>
        <v>Residential Gas Absorption Heat Pump - Air to Water - SH + WH</v>
      </c>
      <c r="AP117" s="104" t="s">
        <v>13</v>
      </c>
      <c r="AQ117" s="104" t="s">
        <v>183</v>
      </c>
      <c r="AR117" s="104"/>
      <c r="AS117" s="104" t="s">
        <v>75</v>
      </c>
    </row>
    <row r="118" spans="3:45" ht="15.75" thickBot="1" x14ac:dyDescent="0.3">
      <c r="C118" s="94" t="str">
        <f>"R-HC_Det"&amp;"_"&amp;RIGHT(F118,3)&amp;"_HPN2"</f>
        <v>R-HC_Det_ELC_HPN2</v>
      </c>
      <c r="D118" s="90" t="s">
        <v>115</v>
      </c>
      <c r="E118" s="90"/>
      <c r="F118" s="119" t="s">
        <v>156</v>
      </c>
      <c r="G118" s="119" t="s">
        <v>584</v>
      </c>
      <c r="H118" s="95" t="s">
        <v>279</v>
      </c>
      <c r="I118" s="94">
        <v>1.0999999999999999</v>
      </c>
      <c r="J118" s="90">
        <v>1.1666666666666667</v>
      </c>
      <c r="K118" s="90">
        <v>1.3333333333333333</v>
      </c>
      <c r="L118" s="95">
        <v>1.5</v>
      </c>
      <c r="M118" s="94">
        <v>1.0999999999999999</v>
      </c>
      <c r="N118" s="90">
        <v>1.1666666666666667</v>
      </c>
      <c r="O118" s="90">
        <v>1.3333333333333333</v>
      </c>
      <c r="P118" s="95">
        <v>1.5</v>
      </c>
      <c r="Q118" s="94"/>
      <c r="R118" s="90"/>
      <c r="S118" s="90"/>
      <c r="T118" s="95"/>
      <c r="U118" s="101">
        <v>20</v>
      </c>
      <c r="V118" s="102"/>
      <c r="W118" s="94">
        <f>(JRC_Data!BB20/1000)*($V$154/$V$152)</f>
        <v>15.97142857142857</v>
      </c>
      <c r="X118" s="94">
        <f>(JRC_Data!BC20/1000)*($V$154/$V$152)</f>
        <v>14.830612244897958</v>
      </c>
      <c r="Y118" s="94">
        <f>(JRC_Data!BD20/1000)*($V$154/$V$152)</f>
        <v>13.689795918367345</v>
      </c>
      <c r="Z118" s="94">
        <f>(JRC_Data!BE20/1000)*($V$154/$V$152)</f>
        <v>12.548979591836734</v>
      </c>
      <c r="AA118" s="86">
        <f>JRC_Data!BL20/1000</f>
        <v>0.2</v>
      </c>
      <c r="AB118" s="86"/>
      <c r="AC118" s="86"/>
      <c r="AD118" s="86"/>
      <c r="AE118" s="86"/>
      <c r="AF118" s="86"/>
      <c r="AG118" s="86"/>
      <c r="AH118" s="86">
        <f t="shared" si="59"/>
        <v>0.37843200000000005</v>
      </c>
      <c r="AI118" s="91"/>
      <c r="AJ118" s="91">
        <v>2019</v>
      </c>
      <c r="AK118" s="91">
        <v>12</v>
      </c>
      <c r="AM118" s="213"/>
      <c r="AN118" s="108" t="str">
        <f>C121</f>
        <v>R-SW_Det_GAS_HPN2</v>
      </c>
      <c r="AO118" s="108" t="str">
        <f>D121</f>
        <v>Residential Gas Engine Heat Pump - Air to Water - SH + WH</v>
      </c>
      <c r="AP118" s="109" t="s">
        <v>13</v>
      </c>
      <c r="AQ118" s="109" t="s">
        <v>183</v>
      </c>
      <c r="AR118" s="109"/>
      <c r="AS118" s="109" t="s">
        <v>75</v>
      </c>
    </row>
    <row r="119" spans="3:45" ht="15.75" thickBot="1" x14ac:dyDescent="0.3">
      <c r="C119" s="33" t="s">
        <v>294</v>
      </c>
      <c r="D119" s="33"/>
      <c r="E119" s="33"/>
      <c r="F119" s="34"/>
      <c r="G119" s="34"/>
      <c r="H119" s="34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4"/>
      <c r="V119" s="34"/>
      <c r="W119" s="33"/>
      <c r="X119" s="33"/>
      <c r="Y119" s="33"/>
      <c r="Z119" s="33"/>
      <c r="AA119" s="33"/>
      <c r="AB119" s="87"/>
      <c r="AC119" s="36"/>
      <c r="AD119" s="36"/>
      <c r="AE119" s="36"/>
      <c r="AF119" s="36"/>
      <c r="AG119" s="36"/>
      <c r="AH119" s="33"/>
      <c r="AI119" s="34"/>
      <c r="AJ119" s="34"/>
      <c r="AK119" s="34"/>
      <c r="AM119" s="214"/>
      <c r="AN119" s="111" t="str">
        <f>C123</f>
        <v>R-SW_Det_GAS_HHPN1</v>
      </c>
      <c r="AO119" s="111" t="str">
        <f>D123</f>
        <v>Residential Gas Hybrid Heat Pump - Air to Water - SH + WH</v>
      </c>
      <c r="AP119" s="110" t="s">
        <v>13</v>
      </c>
      <c r="AQ119" s="110" t="s">
        <v>183</v>
      </c>
      <c r="AR119" s="110"/>
      <c r="AS119" s="110" t="s">
        <v>75</v>
      </c>
    </row>
    <row r="120" spans="3:45" ht="15" x14ac:dyDescent="0.25">
      <c r="C120" s="19" t="str">
        <f>"R-SW_Det"&amp;"_"&amp;RIGHT(F120,3)&amp;"_HPN1"</f>
        <v>R-SW_Det_GAS_HPN1</v>
      </c>
      <c r="D120" s="20" t="s">
        <v>116</v>
      </c>
      <c r="E120" s="20"/>
      <c r="F120" s="89" t="s">
        <v>721</v>
      </c>
      <c r="G120" s="89" t="s">
        <v>687</v>
      </c>
      <c r="H120" s="89" t="s">
        <v>278</v>
      </c>
      <c r="I120" s="379">
        <f>JRC_Data!AC28/0.81</f>
        <v>1.6666666666666667</v>
      </c>
      <c r="J120" s="379">
        <f>JRC_Data!AD28/0.81</f>
        <v>1.7901234567901232</v>
      </c>
      <c r="K120" s="379">
        <f>JRC_Data!AE28/0.81</f>
        <v>2.0987654320987654</v>
      </c>
      <c r="L120" s="379">
        <f>JRC_Data!AF28/0.81</f>
        <v>2.0987654320987654</v>
      </c>
      <c r="M120" s="46"/>
      <c r="N120" s="47"/>
      <c r="O120" s="47"/>
      <c r="P120" s="48"/>
      <c r="Q120" s="19">
        <f>I120*0.7</f>
        <v>1.1666666666666667</v>
      </c>
      <c r="R120" s="20">
        <f t="shared" ref="R120:R121" si="92">J120*0.7</f>
        <v>1.2530864197530862</v>
      </c>
      <c r="S120" s="20">
        <f t="shared" ref="S120:S121" si="93">K120*0.7</f>
        <v>1.4691358024691357</v>
      </c>
      <c r="T120" s="56">
        <f t="shared" ref="T120:T121" si="94">L120*0.7</f>
        <v>1.4691358024691357</v>
      </c>
      <c r="U120" s="89">
        <v>20</v>
      </c>
      <c r="V120" s="48"/>
      <c r="W120" s="19">
        <f>(JRC_Data!BB28/1000)*($V$154/$V$153)</f>
        <v>16.834749034749034</v>
      </c>
      <c r="X120" s="19">
        <f>(JRC_Data!BC28/1000)*($V$154/$V$153)</f>
        <v>15.755598455598454</v>
      </c>
      <c r="Y120" s="19">
        <f>(JRC_Data!BD28/1000)*($V$154/$V$153)</f>
        <v>13.597297297297297</v>
      </c>
      <c r="Z120" s="19">
        <f>(JRC_Data!BE28/1000)*($V$154/$V$153)</f>
        <v>13.597297297297297</v>
      </c>
      <c r="AA120" s="85">
        <f>JRC_Data!BL28/1000</f>
        <v>0.23499999999999999</v>
      </c>
      <c r="AB120" s="85"/>
      <c r="AC120" s="56"/>
      <c r="AD120" s="85"/>
      <c r="AE120" s="85"/>
      <c r="AF120" s="85"/>
      <c r="AG120" s="85"/>
      <c r="AH120" s="85">
        <f t="shared" si="59"/>
        <v>1.1983680000000001</v>
      </c>
      <c r="AI120" s="88"/>
      <c r="AJ120" s="65">
        <v>2019</v>
      </c>
      <c r="AK120" s="88">
        <v>38</v>
      </c>
      <c r="AM120" s="215"/>
      <c r="AN120" s="103" t="str">
        <f>C125</f>
        <v>R-SW_Det_HET_N1</v>
      </c>
      <c r="AO120" s="103" t="str">
        <f>D125</f>
        <v>Residential District Heating Centralized - SH + WH</v>
      </c>
      <c r="AP120" s="104" t="s">
        <v>13</v>
      </c>
      <c r="AQ120" s="104" t="s">
        <v>183</v>
      </c>
      <c r="AR120" s="104"/>
      <c r="AS120" s="104" t="s">
        <v>75</v>
      </c>
    </row>
    <row r="121" spans="3:45" ht="15.75" thickBot="1" x14ac:dyDescent="0.3">
      <c r="C121" s="252" t="str">
        <f>"R-SW_Det"&amp;"_"&amp;RIGHT(F121,3)&amp;"_HPN2"</f>
        <v>R-SW_Det_GAS_HPN2</v>
      </c>
      <c r="D121" s="26" t="s">
        <v>117</v>
      </c>
      <c r="E121" s="26"/>
      <c r="F121" s="27" t="s">
        <v>721</v>
      </c>
      <c r="G121" s="27" t="s">
        <v>687</v>
      </c>
      <c r="H121" s="27" t="s">
        <v>278</v>
      </c>
      <c r="I121" s="380">
        <f>JRC_Data!AC30/0.9</f>
        <v>1.6666666666666665</v>
      </c>
      <c r="J121" s="380">
        <f>JRC_Data!AD30/0.9</f>
        <v>1.7222222222222223</v>
      </c>
      <c r="K121" s="380">
        <f>JRC_Data!AE30/0.9</f>
        <v>1.7222222222222223</v>
      </c>
      <c r="L121" s="380">
        <f>JRC_Data!AF30/0.9</f>
        <v>1.7777777777777779</v>
      </c>
      <c r="M121" s="49"/>
      <c r="N121" s="50"/>
      <c r="O121" s="50"/>
      <c r="P121" s="51"/>
      <c r="Q121" s="252">
        <f>I121*0.7</f>
        <v>1.1666666666666665</v>
      </c>
      <c r="R121" s="26">
        <f t="shared" si="92"/>
        <v>1.2055555555555555</v>
      </c>
      <c r="S121" s="26">
        <f t="shared" si="93"/>
        <v>1.2055555555555555</v>
      </c>
      <c r="T121" s="59">
        <f t="shared" si="94"/>
        <v>1.2444444444444445</v>
      </c>
      <c r="U121" s="27">
        <v>15</v>
      </c>
      <c r="V121" s="51"/>
      <c r="W121" s="252">
        <f>(JRC_Data!BB30/1000)*($V$154/$V$153)</f>
        <v>51.259652509652504</v>
      </c>
      <c r="X121" s="252">
        <f>(JRC_Data!BC30/1000)*($V$154/$V$153)</f>
        <v>51.259652509652504</v>
      </c>
      <c r="Y121" s="252">
        <f>(JRC_Data!BD30/1000)*($V$154/$V$153)</f>
        <v>51.259652509652504</v>
      </c>
      <c r="Z121" s="252">
        <f>(JRC_Data!BE30/1000)*($V$154/$V$153)</f>
        <v>51.259652509652504</v>
      </c>
      <c r="AA121" s="64">
        <f>JRC_Data!BL28/1000</f>
        <v>0.23499999999999999</v>
      </c>
      <c r="AB121" s="64"/>
      <c r="AC121" s="59"/>
      <c r="AD121" s="64"/>
      <c r="AE121" s="64"/>
      <c r="AF121" s="64"/>
      <c r="AG121" s="64"/>
      <c r="AH121" s="64">
        <f t="shared" si="59"/>
        <v>1.1983680000000001</v>
      </c>
      <c r="AI121" s="67"/>
      <c r="AJ121" s="66">
        <v>2019</v>
      </c>
      <c r="AK121" s="67">
        <v>38</v>
      </c>
      <c r="AM121" s="114"/>
      <c r="AN121" s="108" t="str">
        <f>C126</f>
        <v>R-SW_Det_HET_N2</v>
      </c>
      <c r="AO121" s="108" t="str">
        <f>D126</f>
        <v>Residential District Heating Decentralized - SH + WH</v>
      </c>
      <c r="AP121" s="109" t="s">
        <v>13</v>
      </c>
      <c r="AQ121" s="109" t="s">
        <v>183</v>
      </c>
      <c r="AR121" s="109"/>
      <c r="AS121" s="109" t="s">
        <v>75</v>
      </c>
    </row>
    <row r="122" spans="3:45" ht="15" x14ac:dyDescent="0.25">
      <c r="C122" s="33" t="s">
        <v>108</v>
      </c>
      <c r="D122" s="33"/>
      <c r="E122" s="33"/>
      <c r="F122" s="34"/>
      <c r="G122" s="34"/>
      <c r="H122" s="34"/>
      <c r="I122" s="34"/>
      <c r="J122" s="34"/>
      <c r="K122" s="34"/>
      <c r="L122" s="34"/>
      <c r="M122" s="35"/>
      <c r="N122" s="35"/>
      <c r="O122" s="35"/>
      <c r="P122" s="35"/>
      <c r="Q122" s="33"/>
      <c r="R122" s="33"/>
      <c r="S122" s="33"/>
      <c r="T122" s="33"/>
      <c r="U122" s="34"/>
      <c r="V122" s="34"/>
      <c r="W122" s="33"/>
      <c r="X122" s="33"/>
      <c r="Y122" s="33"/>
      <c r="Z122" s="33"/>
      <c r="AA122" s="33"/>
      <c r="AB122" s="34"/>
      <c r="AC122" s="36"/>
      <c r="AD122" s="36"/>
      <c r="AE122" s="36"/>
      <c r="AF122" s="36"/>
      <c r="AG122" s="36"/>
      <c r="AH122" s="33"/>
      <c r="AI122" s="34"/>
      <c r="AJ122" s="34"/>
      <c r="AK122" s="34"/>
      <c r="AM122" s="215"/>
      <c r="AN122" s="103" t="str">
        <f t="shared" ref="AN122:AN123" si="95">C128</f>
        <v>R-WH_Det_ELC_N1</v>
      </c>
      <c r="AO122" s="103" t="str">
        <f t="shared" ref="AO122:AO123" si="96">D128</f>
        <v xml:space="preserve">Residential Electric Water Heater </v>
      </c>
      <c r="AP122" s="104" t="s">
        <v>13</v>
      </c>
      <c r="AQ122" s="104" t="s">
        <v>183</v>
      </c>
      <c r="AR122" s="104"/>
      <c r="AS122" s="104" t="s">
        <v>75</v>
      </c>
    </row>
    <row r="123" spans="3:45" ht="15.75" thickBot="1" x14ac:dyDescent="0.3">
      <c r="C123" s="96" t="str">
        <f>"R-SW_Det"&amp;"_"&amp;RIGHT(F123,3)&amp;"_HHPN1"</f>
        <v>R-SW_Det_GAS_HHPN1</v>
      </c>
      <c r="D123" s="80" t="s">
        <v>125</v>
      </c>
      <c r="E123" s="80"/>
      <c r="F123" s="121" t="s">
        <v>722</v>
      </c>
      <c r="G123" s="121" t="s">
        <v>687</v>
      </c>
      <c r="H123" s="98" t="s">
        <v>278</v>
      </c>
      <c r="I123" s="379">
        <f>1*$AE$28+JRC_Data!AD18*(1.2-$AE$28)</f>
        <v>3.1549999999999998</v>
      </c>
      <c r="J123" s="379">
        <f>1*$AE$28+JRC_Data!AE18*(1.2-$AE$28)</f>
        <v>3.4950000000000001</v>
      </c>
      <c r="K123" s="379">
        <f>1*$AE$28+JRC_Data!AF18*(1.2-$AE$28)</f>
        <v>3.75</v>
      </c>
      <c r="L123" s="379">
        <f>1*$AE$28+JRC_Data!AG18*(1.2-$AE$28)</f>
        <v>3.75</v>
      </c>
      <c r="M123" s="49"/>
      <c r="N123" s="50"/>
      <c r="O123" s="50"/>
      <c r="P123" s="51"/>
      <c r="Q123" s="252">
        <f>I123*0.7</f>
        <v>2.2084999999999999</v>
      </c>
      <c r="R123" s="26">
        <f t="shared" ref="R123" si="97">J123*0.7</f>
        <v>2.4464999999999999</v>
      </c>
      <c r="S123" s="26">
        <f t="shared" ref="S123" si="98">K123*0.7</f>
        <v>2.625</v>
      </c>
      <c r="T123" s="59">
        <f t="shared" ref="T123" si="99">L123*0.7</f>
        <v>2.625</v>
      </c>
      <c r="U123" s="3">
        <v>20</v>
      </c>
      <c r="W123" s="79">
        <f>(W115+W98)*0.8</f>
        <v>10.987282270335434</v>
      </c>
      <c r="X123" s="79">
        <f t="shared" ref="X123:Z123" si="100">(X115+X98)*0.8</f>
        <v>10.272315282993665</v>
      </c>
      <c r="Y123" s="79">
        <f t="shared" si="100"/>
        <v>9.6216953245126504</v>
      </c>
      <c r="Z123" s="79">
        <f t="shared" si="100"/>
        <v>9.5573482956518898</v>
      </c>
      <c r="AA123" s="371">
        <f>(JRC_Data!BL9+JRC_Data!BL18)*0.8/1000</f>
        <v>0.308</v>
      </c>
      <c r="AB123" s="83"/>
      <c r="AC123" s="84"/>
      <c r="AD123" s="84"/>
      <c r="AE123" s="84">
        <v>0.35</v>
      </c>
      <c r="AF123" s="73">
        <f>AE123</f>
        <v>0.35</v>
      </c>
      <c r="AG123" s="83">
        <v>5</v>
      </c>
      <c r="AH123" s="82">
        <f t="shared" si="59"/>
        <v>0.66540960000000005</v>
      </c>
      <c r="AI123" s="83"/>
      <c r="AJ123" s="83">
        <v>2019</v>
      </c>
      <c r="AK123" s="83">
        <f>AK98*AE123+AK116*(1-AE123)</f>
        <v>21.1</v>
      </c>
      <c r="AM123" s="2"/>
      <c r="AN123" s="105" t="str">
        <f t="shared" si="95"/>
        <v>R-WH_Det_SOL_N1</v>
      </c>
      <c r="AO123" s="105" t="str">
        <f t="shared" si="96"/>
        <v xml:space="preserve">Residential Solar Water Heater </v>
      </c>
      <c r="AP123" s="106" t="s">
        <v>13</v>
      </c>
      <c r="AQ123" s="106" t="s">
        <v>183</v>
      </c>
      <c r="AR123" s="106"/>
      <c r="AS123" s="106" t="s">
        <v>75</v>
      </c>
    </row>
    <row r="124" spans="3:45" ht="15" x14ac:dyDescent="0.25">
      <c r="C124" s="33" t="s">
        <v>118</v>
      </c>
      <c r="D124" s="33"/>
      <c r="E124" s="33"/>
      <c r="F124" s="34"/>
      <c r="G124" s="34"/>
      <c r="H124" s="34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4"/>
      <c r="V124" s="34"/>
      <c r="W124" s="33"/>
      <c r="X124" s="33"/>
      <c r="Y124" s="33"/>
      <c r="Z124" s="33"/>
      <c r="AA124" s="33"/>
      <c r="AB124" s="34"/>
      <c r="AC124" s="36"/>
      <c r="AD124" s="36"/>
      <c r="AE124" s="36"/>
      <c r="AF124" s="36"/>
      <c r="AG124" s="36"/>
      <c r="AH124" s="33"/>
      <c r="AI124" s="34"/>
      <c r="AJ124" s="34"/>
      <c r="AK124" s="34"/>
      <c r="AM124" s="2"/>
      <c r="AN124" s="105" t="str">
        <f>C131</f>
        <v>R-SC_Det_ELC_N1</v>
      </c>
      <c r="AO124" s="105" t="str">
        <f>D131</f>
        <v>Residential Electric Air Conditioning</v>
      </c>
      <c r="AP124" s="104" t="s">
        <v>13</v>
      </c>
      <c r="AQ124" s="104" t="s">
        <v>183</v>
      </c>
      <c r="AR124" s="104"/>
      <c r="AS124" s="104" t="s">
        <v>75</v>
      </c>
    </row>
    <row r="125" spans="3:45" x14ac:dyDescent="0.2">
      <c r="C125" s="19" t="str">
        <f>"R-SW_Det"&amp;"_"&amp;RIGHT(F125,3)&amp;"_N1"</f>
        <v>R-SW_Det_HET_N1</v>
      </c>
      <c r="D125" s="20" t="s">
        <v>119</v>
      </c>
      <c r="E125" s="20"/>
      <c r="F125" s="89" t="s">
        <v>273</v>
      </c>
      <c r="G125" s="89"/>
      <c r="H125" s="89" t="s">
        <v>278</v>
      </c>
      <c r="I125" s="19">
        <v>1</v>
      </c>
      <c r="J125" s="20">
        <v>1</v>
      </c>
      <c r="K125" s="20">
        <v>1</v>
      </c>
      <c r="L125" s="56">
        <v>1</v>
      </c>
      <c r="M125" s="46"/>
      <c r="N125" s="47"/>
      <c r="O125" s="47"/>
      <c r="P125" s="48"/>
      <c r="Q125" s="246">
        <v>1</v>
      </c>
      <c r="R125" s="247">
        <v>1</v>
      </c>
      <c r="S125" s="247">
        <v>1</v>
      </c>
      <c r="T125" s="248">
        <v>1</v>
      </c>
      <c r="U125" s="52">
        <v>20</v>
      </c>
      <c r="V125" s="48"/>
      <c r="W125" s="19">
        <f>(JRC_Data!BB62/1000)*($V$154/$V$148)*1.5</f>
        <v>4.6583333333333332</v>
      </c>
      <c r="X125" s="19">
        <f>(JRC_Data!BC62/1000)*($V$154/$V$148)*1.5</f>
        <v>4.6583333333333332</v>
      </c>
      <c r="Y125" s="19">
        <f>(JRC_Data!BD62/1000)*($V$154/$V$148)*1.5</f>
        <v>4.6583333333333332</v>
      </c>
      <c r="Z125" s="19">
        <f>(JRC_Data!BE62/1000)*($V$154/$V$148)*1.5</f>
        <v>4.6583333333333332</v>
      </c>
      <c r="AA125" s="85">
        <f>JRC_Data!BL62/1000</f>
        <v>0.15</v>
      </c>
      <c r="AB125" s="85"/>
      <c r="AC125" s="85"/>
      <c r="AD125" s="85"/>
      <c r="AE125" s="85"/>
      <c r="AF125" s="85"/>
      <c r="AG125" s="85"/>
      <c r="AH125" s="85">
        <f t="shared" si="59"/>
        <v>1.1983680000000001</v>
      </c>
      <c r="AI125" s="88"/>
      <c r="AJ125" s="65">
        <v>2035</v>
      </c>
      <c r="AK125" s="88">
        <v>38</v>
      </c>
    </row>
    <row r="126" spans="3:45" x14ac:dyDescent="0.2">
      <c r="C126" s="252" t="str">
        <f>"R-SW_Det"&amp;"_"&amp;RIGHT(F126,3)&amp;"_N2"</f>
        <v>R-SW_Det_HET_N2</v>
      </c>
      <c r="D126" s="26" t="s">
        <v>120</v>
      </c>
      <c r="E126" s="26"/>
      <c r="F126" s="27" t="s">
        <v>273</v>
      </c>
      <c r="G126" s="27"/>
      <c r="H126" s="27" t="s">
        <v>278</v>
      </c>
      <c r="I126" s="252">
        <v>1</v>
      </c>
      <c r="J126" s="26">
        <v>1</v>
      </c>
      <c r="K126" s="26">
        <v>1</v>
      </c>
      <c r="L126" s="59">
        <v>1</v>
      </c>
      <c r="M126" s="49"/>
      <c r="N126" s="50"/>
      <c r="O126" s="50"/>
      <c r="P126" s="51"/>
      <c r="Q126" s="253">
        <v>1</v>
      </c>
      <c r="R126" s="254">
        <v>1</v>
      </c>
      <c r="S126" s="254">
        <v>1</v>
      </c>
      <c r="T126" s="255">
        <v>1</v>
      </c>
      <c r="U126" s="55">
        <v>20</v>
      </c>
      <c r="V126" s="51"/>
      <c r="W126" s="252">
        <f>(JRC_Data!BB62/1000)*($V$154/$V$148)*1.5</f>
        <v>4.6583333333333332</v>
      </c>
      <c r="X126" s="252">
        <f>(JRC_Data!BC62/1000)*($V$154/$V$148)*1.5</f>
        <v>4.6583333333333332</v>
      </c>
      <c r="Y126" s="252">
        <f>(JRC_Data!BD62/1000)*($V$154/$V$148)*1.5</f>
        <v>4.6583333333333332</v>
      </c>
      <c r="Z126" s="252">
        <f>(JRC_Data!BE62/1000)*($V$154/$V$148)*1.5</f>
        <v>4.6583333333333332</v>
      </c>
      <c r="AA126" s="64">
        <f>JRC_Data!BL62/1000</f>
        <v>0.15</v>
      </c>
      <c r="AB126" s="64"/>
      <c r="AC126" s="64"/>
      <c r="AD126" s="64"/>
      <c r="AE126" s="64"/>
      <c r="AF126" s="64"/>
      <c r="AG126" s="64"/>
      <c r="AH126" s="64">
        <f t="shared" si="59"/>
        <v>1.1983680000000001</v>
      </c>
      <c r="AI126" s="67"/>
      <c r="AJ126" s="66">
        <v>2035</v>
      </c>
      <c r="AK126" s="67">
        <v>38</v>
      </c>
    </row>
    <row r="127" spans="3:45" x14ac:dyDescent="0.2">
      <c r="C127" s="33" t="s">
        <v>121</v>
      </c>
      <c r="D127" s="33"/>
      <c r="E127" s="33"/>
      <c r="F127" s="34"/>
      <c r="G127" s="34"/>
      <c r="H127" s="34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4"/>
      <c r="V127" s="34"/>
      <c r="W127" s="33"/>
      <c r="X127" s="33"/>
      <c r="Y127" s="33"/>
      <c r="Z127" s="33"/>
      <c r="AA127" s="33"/>
      <c r="AB127" s="34"/>
      <c r="AC127" s="36"/>
      <c r="AD127" s="36"/>
      <c r="AE127" s="36"/>
      <c r="AF127" s="36"/>
      <c r="AG127" s="36"/>
      <c r="AH127" s="33"/>
      <c r="AI127" s="34"/>
      <c r="AJ127" s="34"/>
      <c r="AK127" s="34"/>
    </row>
    <row r="128" spans="3:45" x14ac:dyDescent="0.2">
      <c r="C128" s="19" t="str">
        <f>"R-WH_Det"&amp;"_"&amp;RIGHT(F128,3)&amp;"_N1"</f>
        <v>R-WH_Det_ELC_N1</v>
      </c>
      <c r="D128" s="20" t="s">
        <v>122</v>
      </c>
      <c r="E128" s="20"/>
      <c r="F128" s="89" t="s">
        <v>156</v>
      </c>
      <c r="G128" s="89"/>
      <c r="H128" s="56" t="s">
        <v>153</v>
      </c>
      <c r="I128" s="46"/>
      <c r="J128" s="47"/>
      <c r="K128" s="47"/>
      <c r="L128" s="48"/>
      <c r="M128" s="46"/>
      <c r="N128" s="47"/>
      <c r="O128" s="47"/>
      <c r="P128" s="48"/>
      <c r="Q128" s="246">
        <v>1</v>
      </c>
      <c r="R128" s="247">
        <v>1</v>
      </c>
      <c r="S128" s="247">
        <v>1</v>
      </c>
      <c r="T128" s="248">
        <v>1</v>
      </c>
      <c r="U128" s="52">
        <v>20</v>
      </c>
      <c r="V128" s="48"/>
      <c r="W128" s="19">
        <f>(JRC_Data!BB48/1000)*($V$147/$V$146)</f>
        <v>4.3022222222222215</v>
      </c>
      <c r="X128" s="19">
        <f>(JRC_Data!BC48/1000)*($V$147/$V$146)</f>
        <v>4.3022222222222215</v>
      </c>
      <c r="Y128" s="19">
        <f>(JRC_Data!BD48/1000)*($V$147/$V$146)</f>
        <v>4.3022222222222215</v>
      </c>
      <c r="Z128" s="19">
        <f>(JRC_Data!BE48/1000)*($V$147/$V$146)</f>
        <v>4.3022222222222215</v>
      </c>
      <c r="AA128" s="85">
        <f>JRC_Data!BL48/1000</f>
        <v>0.05</v>
      </c>
      <c r="AB128" s="85"/>
      <c r="AC128" s="85"/>
      <c r="AD128" s="85"/>
      <c r="AE128" s="85"/>
      <c r="AF128" s="85"/>
      <c r="AG128" s="85"/>
      <c r="AH128" s="85">
        <f t="shared" si="59"/>
        <v>0.25228800000000001</v>
      </c>
      <c r="AI128" s="88"/>
      <c r="AJ128" s="88">
        <v>2019</v>
      </c>
      <c r="AK128" s="88">
        <v>8</v>
      </c>
    </row>
    <row r="129" spans="3:37" x14ac:dyDescent="0.2">
      <c r="C129" s="252" t="str">
        <f>"R-WH_Det"&amp;"_"&amp;RIGHT(F129,3)&amp;"_N1"</f>
        <v>R-WH_Det_SOL_N1</v>
      </c>
      <c r="D129" s="26" t="s">
        <v>123</v>
      </c>
      <c r="E129" s="26"/>
      <c r="F129" s="27" t="s">
        <v>288</v>
      </c>
      <c r="G129" s="27"/>
      <c r="H129" s="59" t="s">
        <v>153</v>
      </c>
      <c r="I129" s="49"/>
      <c r="J129" s="50"/>
      <c r="K129" s="50"/>
      <c r="L129" s="51"/>
      <c r="M129" s="49"/>
      <c r="N129" s="50"/>
      <c r="O129" s="50"/>
      <c r="P129" s="51"/>
      <c r="Q129" s="243">
        <v>1</v>
      </c>
      <c r="R129" s="244">
        <v>1</v>
      </c>
      <c r="S129" s="244">
        <v>1</v>
      </c>
      <c r="T129" s="245">
        <v>1</v>
      </c>
      <c r="U129" s="53">
        <v>25</v>
      </c>
      <c r="V129" s="22">
        <v>30</v>
      </c>
      <c r="W129" s="22">
        <f>(JRC_Data!BB45/1000)*($V$147/$V$146)</f>
        <v>5.8079999999999998</v>
      </c>
      <c r="X129" s="22">
        <f>(JRC_Data!BC45/1000)*($V$147/$V$146)</f>
        <v>5.4853333333333323</v>
      </c>
      <c r="Y129" s="22">
        <f>(JRC_Data!BD45/1000)*($V$147/$V$146)</f>
        <v>4.9475555555555539</v>
      </c>
      <c r="Z129" s="22">
        <f>(JRC_Data!BE45/1000)*($V$147/$V$146)</f>
        <v>3.9795555555555553</v>
      </c>
      <c r="AA129" s="63">
        <f>JRC_Data!BL45/1000</f>
        <v>6.2E-2</v>
      </c>
      <c r="AB129" s="63"/>
      <c r="AC129" s="63"/>
      <c r="AD129" s="63"/>
      <c r="AE129" s="63"/>
      <c r="AF129" s="63"/>
      <c r="AG129" s="63"/>
      <c r="AH129" s="63">
        <f t="shared" si="59"/>
        <v>0.25228800000000001</v>
      </c>
      <c r="AI129" s="67"/>
      <c r="AJ129" s="66">
        <v>2019</v>
      </c>
      <c r="AK129" s="66">
        <v>8</v>
      </c>
    </row>
    <row r="130" spans="3:37" x14ac:dyDescent="0.2">
      <c r="C130" s="33" t="s">
        <v>298</v>
      </c>
      <c r="D130" s="33"/>
      <c r="E130" s="33"/>
      <c r="F130" s="34"/>
      <c r="G130" s="34"/>
      <c r="H130" s="34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4"/>
      <c r="V130" s="34"/>
      <c r="W130" s="33"/>
      <c r="X130" s="33"/>
      <c r="Y130" s="33"/>
      <c r="Z130" s="33"/>
      <c r="AA130" s="33"/>
      <c r="AB130" s="34"/>
      <c r="AC130" s="36"/>
      <c r="AD130" s="36"/>
      <c r="AE130" s="36"/>
      <c r="AF130" s="36"/>
      <c r="AG130" s="36"/>
      <c r="AH130" s="33"/>
      <c r="AI130" s="34"/>
      <c r="AJ130" s="34"/>
      <c r="AK130" s="34"/>
    </row>
    <row r="131" spans="3:37" x14ac:dyDescent="0.2">
      <c r="C131" s="29" t="str">
        <f>"R-SC_Det"&amp;"_"&amp;RIGHT(F131,3)&amp;"_N1"</f>
        <v>R-SC_Det_ELC_N1</v>
      </c>
      <c r="D131" s="97" t="s">
        <v>124</v>
      </c>
      <c r="E131" s="97"/>
      <c r="F131" s="117" t="s">
        <v>156</v>
      </c>
      <c r="G131" s="117"/>
      <c r="H131" s="118" t="s">
        <v>152</v>
      </c>
      <c r="I131" s="115"/>
      <c r="J131" s="116"/>
      <c r="K131" s="116"/>
      <c r="L131" s="116"/>
      <c r="M131" s="258">
        <v>1</v>
      </c>
      <c r="N131" s="259">
        <v>1.0666666666666667</v>
      </c>
      <c r="O131" s="259">
        <v>1.2333333333333334</v>
      </c>
      <c r="P131" s="259">
        <v>1.3333333333333333</v>
      </c>
      <c r="Q131" s="116"/>
      <c r="R131" s="116"/>
      <c r="S131" s="116"/>
      <c r="T131" s="100"/>
      <c r="U131" s="99">
        <v>20</v>
      </c>
      <c r="V131" s="100"/>
      <c r="W131" s="96">
        <f>(JRC_Data!BB16/1000)*($V$148/$V$152)</f>
        <v>2.0204081632653064</v>
      </c>
      <c r="X131" s="96">
        <f>(JRC_Data!BC16/1000)*($V$148/$V$152)</f>
        <v>1.9285714285714286</v>
      </c>
      <c r="Y131" s="96">
        <f>(JRC_Data!BD16/1000)*($V$148/$V$152)</f>
        <v>1.7448979591836735</v>
      </c>
      <c r="Z131" s="96">
        <f>(JRC_Data!BE16/1000)*($V$148/$V$152)</f>
        <v>1.653061224489796</v>
      </c>
      <c r="AA131" s="93">
        <f>JRC_Data!BL16/1000</f>
        <v>3.4000000000000002E-2</v>
      </c>
      <c r="AB131" s="93"/>
      <c r="AC131" s="93"/>
      <c r="AD131" s="93"/>
      <c r="AE131" s="93"/>
      <c r="AF131" s="93"/>
      <c r="AG131" s="93"/>
      <c r="AH131" s="93">
        <f t="shared" si="59"/>
        <v>0.25228800000000001</v>
      </c>
      <c r="AI131" s="92"/>
      <c r="AJ131" s="92">
        <v>2019</v>
      </c>
      <c r="AK131" s="92">
        <v>8</v>
      </c>
    </row>
    <row r="133" spans="3:37" ht="15" x14ac:dyDescent="0.25">
      <c r="C133" s="4"/>
      <c r="J133" s="6"/>
      <c r="K133" s="6"/>
      <c r="L133" s="6"/>
      <c r="M133" s="6"/>
      <c r="N133" s="1"/>
      <c r="O133" s="1"/>
      <c r="P133" s="9"/>
      <c r="Q133" s="8"/>
      <c r="R133" s="9"/>
      <c r="S133" s="9"/>
      <c r="T133" s="7"/>
      <c r="U133" s="9"/>
      <c r="V133" s="9"/>
      <c r="W133" s="7"/>
      <c r="X133" s="7"/>
      <c r="AA133" s="6"/>
    </row>
    <row r="134" spans="3:37" ht="15" x14ac:dyDescent="0.25">
      <c r="J134" s="6"/>
      <c r="K134" s="6"/>
      <c r="L134" s="6"/>
      <c r="M134" s="6"/>
      <c r="N134" s="1"/>
      <c r="O134" s="1"/>
      <c r="P134" s="9"/>
      <c r="Q134" s="8"/>
      <c r="R134" s="9"/>
      <c r="S134" s="9"/>
      <c r="T134" s="7"/>
      <c r="U134" s="9"/>
      <c r="V134" s="9"/>
      <c r="W134" s="7"/>
      <c r="X134" s="7"/>
      <c r="AA134" s="6"/>
    </row>
    <row r="136" spans="3:37" ht="30" customHeight="1" x14ac:dyDescent="0.2">
      <c r="K136" s="11"/>
    </row>
    <row r="139" spans="3:37" x14ac:dyDescent="0.2">
      <c r="K139" s="11"/>
    </row>
    <row r="142" spans="3:37" x14ac:dyDescent="0.2">
      <c r="K142" s="11"/>
    </row>
    <row r="143" spans="3:37" x14ac:dyDescent="0.2">
      <c r="K143" s="11"/>
      <c r="U143" s="3" t="s">
        <v>541</v>
      </c>
    </row>
    <row r="144" spans="3:37" x14ac:dyDescent="0.2">
      <c r="K144" s="11"/>
      <c r="U144" s="3" t="s">
        <v>218</v>
      </c>
      <c r="V144" s="3" t="s">
        <v>543</v>
      </c>
      <c r="W144" s="3" t="s">
        <v>538</v>
      </c>
    </row>
    <row r="145" spans="1:23" x14ac:dyDescent="0.2">
      <c r="K145" s="11"/>
      <c r="U145" s="376">
        <v>3</v>
      </c>
      <c r="V145" s="377">
        <f t="shared" ref="V145:V154" si="101">W145/$W$153</f>
        <v>0.72929037751472525</v>
      </c>
      <c r="W145" s="378">
        <f>(W146/W150)*W147</f>
        <v>1888.8620777631384</v>
      </c>
    </row>
    <row r="146" spans="1:23" x14ac:dyDescent="0.2">
      <c r="K146" s="11"/>
      <c r="U146" s="376">
        <v>5</v>
      </c>
      <c r="V146" s="377">
        <f t="shared" si="101"/>
        <v>0.79101166159768732</v>
      </c>
      <c r="W146" s="378">
        <f>(W147/W151)*W148</f>
        <v>2048.7202035380101</v>
      </c>
    </row>
    <row r="147" spans="1:23" x14ac:dyDescent="0.2">
      <c r="U147" s="376">
        <v>8</v>
      </c>
      <c r="V147" s="377">
        <f t="shared" si="101"/>
        <v>0.85077698714062355</v>
      </c>
      <c r="W147" s="378">
        <f>(W148/W151)*W149</f>
        <v>2203.5123966942151</v>
      </c>
    </row>
    <row r="148" spans="1:23" x14ac:dyDescent="0.2">
      <c r="A148" s="2"/>
      <c r="U148" s="376">
        <v>10</v>
      </c>
      <c r="V148" s="377">
        <f t="shared" si="101"/>
        <v>0.86872586872586877</v>
      </c>
      <c r="W148" s="376">
        <f>W151-(W153-W151)</f>
        <v>2250</v>
      </c>
    </row>
    <row r="149" spans="1:23" x14ac:dyDescent="0.2">
      <c r="A149" s="2"/>
      <c r="N149" s="34" t="s">
        <v>526</v>
      </c>
      <c r="O149" s="34"/>
      <c r="P149" s="34"/>
      <c r="Q149" s="34"/>
      <c r="R149" s="34"/>
      <c r="U149" s="3">
        <v>15</v>
      </c>
      <c r="V149" s="367">
        <f t="shared" si="101"/>
        <v>0.91505791505791501</v>
      </c>
      <c r="W149" s="3">
        <v>2370</v>
      </c>
    </row>
    <row r="150" spans="1:23" x14ac:dyDescent="0.2">
      <c r="N150" s="3" t="s">
        <v>534</v>
      </c>
      <c r="O150" s="3" t="s">
        <v>535</v>
      </c>
      <c r="P150" s="4" t="s">
        <v>532</v>
      </c>
      <c r="Q150" s="366" t="s">
        <v>536</v>
      </c>
      <c r="R150" s="4" t="s">
        <v>531</v>
      </c>
      <c r="U150" s="3">
        <v>18</v>
      </c>
      <c r="V150" s="367">
        <f t="shared" si="101"/>
        <v>0.92277992277992282</v>
      </c>
      <c r="W150" s="3">
        <v>2390</v>
      </c>
    </row>
    <row r="151" spans="1:23" x14ac:dyDescent="0.2">
      <c r="N151" s="4">
        <v>111</v>
      </c>
      <c r="O151" s="4" t="s">
        <v>270</v>
      </c>
      <c r="P151" s="4">
        <v>24</v>
      </c>
      <c r="Q151" s="4">
        <f>P151/N151</f>
        <v>0.21621621621621623</v>
      </c>
      <c r="R151" s="4">
        <f>P151*1.25</f>
        <v>30</v>
      </c>
      <c r="U151" s="376">
        <v>20</v>
      </c>
      <c r="V151" s="377">
        <f t="shared" si="101"/>
        <v>0.93436293436293438</v>
      </c>
      <c r="W151" s="376">
        <f>AVERAGE(W150,W152)</f>
        <v>2420</v>
      </c>
    </row>
    <row r="152" spans="1:23" x14ac:dyDescent="0.2">
      <c r="N152" s="4">
        <v>70</v>
      </c>
      <c r="O152" s="4" t="s">
        <v>527</v>
      </c>
      <c r="P152" s="4">
        <v>15</v>
      </c>
      <c r="Q152" s="4">
        <f>P152/N152</f>
        <v>0.21428571428571427</v>
      </c>
      <c r="R152" s="4">
        <f>P152*1.25</f>
        <v>18.75</v>
      </c>
      <c r="U152" s="3">
        <v>24</v>
      </c>
      <c r="V152" s="367">
        <f t="shared" si="101"/>
        <v>0.94594594594594594</v>
      </c>
      <c r="W152" s="3">
        <v>2450</v>
      </c>
    </row>
    <row r="153" spans="1:23" x14ac:dyDescent="0.2">
      <c r="N153" s="4">
        <v>99</v>
      </c>
      <c r="O153" s="4" t="s">
        <v>528</v>
      </c>
      <c r="P153" s="4">
        <v>20</v>
      </c>
      <c r="Q153" s="4">
        <f>P153/N153</f>
        <v>0.20202020202020202</v>
      </c>
      <c r="R153" s="4">
        <f>P153*1.25</f>
        <v>25</v>
      </c>
      <c r="U153" s="3">
        <v>30</v>
      </c>
      <c r="V153" s="367">
        <f t="shared" si="101"/>
        <v>1</v>
      </c>
      <c r="W153" s="3">
        <v>2590</v>
      </c>
    </row>
    <row r="154" spans="1:23" x14ac:dyDescent="0.2">
      <c r="N154" s="4">
        <v>150</v>
      </c>
      <c r="O154" s="4" t="s">
        <v>529</v>
      </c>
      <c r="P154" s="4">
        <v>30</v>
      </c>
      <c r="Q154" s="4">
        <f>P154/N154</f>
        <v>0.2</v>
      </c>
      <c r="R154" s="4">
        <f>P154*1.25</f>
        <v>37.5</v>
      </c>
      <c r="U154" s="3">
        <v>35</v>
      </c>
      <c r="V154" s="367">
        <f t="shared" si="101"/>
        <v>1.0791505791505791</v>
      </c>
      <c r="W154" s="3">
        <v>2795</v>
      </c>
    </row>
    <row r="155" spans="1:23" x14ac:dyDescent="0.2">
      <c r="N155" s="4"/>
      <c r="O155" s="4"/>
      <c r="P155" s="4"/>
      <c r="Q155" s="4"/>
      <c r="R155" s="4"/>
    </row>
    <row r="156" spans="1:23" x14ac:dyDescent="0.2">
      <c r="N156" s="4" t="s">
        <v>530</v>
      </c>
      <c r="O156" s="4"/>
      <c r="P156" s="4"/>
      <c r="Q156" s="4"/>
      <c r="R156" s="4"/>
    </row>
    <row r="157" spans="1:23" x14ac:dyDescent="0.2">
      <c r="N157" s="4" t="s">
        <v>533</v>
      </c>
      <c r="O157" s="4"/>
      <c r="P157" s="4"/>
      <c r="Q157" s="4"/>
      <c r="R157" s="4"/>
    </row>
    <row r="158" spans="1:23" x14ac:dyDescent="0.2">
      <c r="N158" s="207" t="s">
        <v>539</v>
      </c>
    </row>
    <row r="159" spans="1:23" x14ac:dyDescent="0.2">
      <c r="N159" s="3" t="s">
        <v>540</v>
      </c>
    </row>
    <row r="166" ht="14.25" customHeight="1" x14ac:dyDescent="0.2"/>
  </sheetData>
  <mergeCells count="30">
    <mergeCell ref="I92:L92"/>
    <mergeCell ref="M92:P92"/>
    <mergeCell ref="Q92:T92"/>
    <mergeCell ref="U92:V92"/>
    <mergeCell ref="W92:Z92"/>
    <mergeCell ref="I90:L90"/>
    <mergeCell ref="M90:P90"/>
    <mergeCell ref="Q90:T90"/>
    <mergeCell ref="U90:V90"/>
    <mergeCell ref="W90:Z90"/>
    <mergeCell ref="I44:L44"/>
    <mergeCell ref="M44:P44"/>
    <mergeCell ref="Q44:T44"/>
    <mergeCell ref="U44:V44"/>
    <mergeCell ref="W44:Z44"/>
    <mergeCell ref="I42:L42"/>
    <mergeCell ref="M42:P42"/>
    <mergeCell ref="Q42:T42"/>
    <mergeCell ref="U42:V42"/>
    <mergeCell ref="W42:Z42"/>
    <mergeCell ref="W4:Z4"/>
    <mergeCell ref="W6:Z6"/>
    <mergeCell ref="I4:L4"/>
    <mergeCell ref="M4:P4"/>
    <mergeCell ref="Q4:T4"/>
    <mergeCell ref="U4:V4"/>
    <mergeCell ref="U6:V6"/>
    <mergeCell ref="Q6:T6"/>
    <mergeCell ref="M6:P6"/>
    <mergeCell ref="I6:L6"/>
  </mergeCells>
  <phoneticPr fontId="5" type="noConversion"/>
  <hyperlinks>
    <hyperlink ref="N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578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289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27" t="s">
        <v>86</v>
      </c>
      <c r="M5" s="528"/>
      <c r="N5" s="528"/>
      <c r="O5" s="529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6" t="s">
        <v>525</v>
      </c>
      <c r="M6" s="538"/>
      <c r="N6" s="538"/>
      <c r="O6" s="537"/>
      <c r="P6" s="373" t="s">
        <v>537</v>
      </c>
      <c r="Q6" s="61" t="s">
        <v>34</v>
      </c>
      <c r="R6" s="373" t="s">
        <v>313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156</v>
      </c>
      <c r="F7" s="144" t="s">
        <v>157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156</v>
      </c>
      <c r="F8" s="142" t="s">
        <v>158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286</v>
      </c>
      <c r="F9" s="144" t="s">
        <v>158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282</v>
      </c>
      <c r="F10" s="142" t="s">
        <v>158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156</v>
      </c>
      <c r="F11" s="144" t="s">
        <v>159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156</v>
      </c>
      <c r="F12" s="142" t="s">
        <v>160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156</v>
      </c>
      <c r="F13" s="144" t="s">
        <v>161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156</v>
      </c>
      <c r="F14" s="142" t="s">
        <v>162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156</v>
      </c>
      <c r="F15" s="144" t="s">
        <v>163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216</v>
      </c>
      <c r="V15" s="207" t="s">
        <v>214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140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306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579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549</v>
      </c>
      <c r="F21" s="123" t="s">
        <v>13</v>
      </c>
      <c r="G21" s="123" t="s">
        <v>126</v>
      </c>
      <c r="H21" s="123"/>
      <c r="I21" s="123"/>
      <c r="J21" s="124" t="s">
        <v>579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550</v>
      </c>
      <c r="F22" s="123" t="s">
        <v>13</v>
      </c>
      <c r="G22" s="123" t="s">
        <v>126</v>
      </c>
      <c r="H22" s="123"/>
      <c r="I22" s="123"/>
      <c r="J22" s="124" t="s">
        <v>579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551</v>
      </c>
      <c r="F23" s="123" t="s">
        <v>13</v>
      </c>
      <c r="G23" s="123" t="s">
        <v>126</v>
      </c>
      <c r="H23" s="123"/>
      <c r="I23" s="123"/>
      <c r="J23" s="124" t="s">
        <v>579</v>
      </c>
    </row>
    <row r="24" spans="3:17" x14ac:dyDescent="0.2">
      <c r="C24" s="122" t="s">
        <v>31</v>
      </c>
      <c r="D24" s="123" t="s">
        <v>308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579</v>
      </c>
    </row>
    <row r="25" spans="3:17" x14ac:dyDescent="0.2">
      <c r="C25" s="122" t="s">
        <v>31</v>
      </c>
      <c r="D25" s="123" t="s">
        <v>309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579</v>
      </c>
    </row>
    <row r="26" spans="3:17" x14ac:dyDescent="0.2">
      <c r="C26" s="122" t="s">
        <v>31</v>
      </c>
      <c r="D26" s="123" t="s">
        <v>310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579</v>
      </c>
      <c r="Q26" s="130"/>
    </row>
    <row r="27" spans="3:17" x14ac:dyDescent="0.2">
      <c r="C27" s="122" t="s">
        <v>31</v>
      </c>
      <c r="D27" s="123" t="s">
        <v>311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579</v>
      </c>
    </row>
    <row r="28" spans="3:17" x14ac:dyDescent="0.2">
      <c r="C28" s="122" t="s">
        <v>31</v>
      </c>
      <c r="D28" s="125" t="s">
        <v>312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579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27" t="s">
        <v>86</v>
      </c>
      <c r="M33" s="528"/>
      <c r="N33" s="528"/>
      <c r="O33" s="529"/>
    </row>
    <row r="34" spans="8:15" x14ac:dyDescent="0.2">
      <c r="H34" s="3" t="s">
        <v>139</v>
      </c>
      <c r="L34" s="536" t="s">
        <v>91</v>
      </c>
      <c r="M34" s="538"/>
      <c r="N34" s="538"/>
      <c r="O34" s="537"/>
    </row>
    <row r="35" spans="8:15" ht="14.25" customHeight="1" x14ac:dyDescent="0.2">
      <c r="H35" s="3" t="s">
        <v>306</v>
      </c>
      <c r="I35" s="3" t="s">
        <v>164</v>
      </c>
      <c r="J35" s="3" t="s">
        <v>156</v>
      </c>
      <c r="K35" s="3" t="s">
        <v>157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307</v>
      </c>
      <c r="I36" s="3" t="s">
        <v>165</v>
      </c>
      <c r="J36" s="3" t="s">
        <v>156</v>
      </c>
      <c r="K36" s="3" t="s">
        <v>158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286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282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308</v>
      </c>
      <c r="I39" s="3" t="s">
        <v>166</v>
      </c>
      <c r="J39" s="3" t="s">
        <v>156</v>
      </c>
      <c r="K39" s="3" t="s">
        <v>159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309</v>
      </c>
      <c r="I40" s="3" t="s">
        <v>167</v>
      </c>
      <c r="J40" s="3" t="s">
        <v>156</v>
      </c>
      <c r="K40" s="3" t="s">
        <v>160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310</v>
      </c>
      <c r="I41" s="3" t="s">
        <v>168</v>
      </c>
      <c r="J41" s="3" t="s">
        <v>156</v>
      </c>
      <c r="K41" s="3" t="s">
        <v>161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311</v>
      </c>
      <c r="I42" s="3" t="s">
        <v>169</v>
      </c>
      <c r="J42" s="3" t="s">
        <v>156</v>
      </c>
      <c r="K42" s="3" t="s">
        <v>162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312</v>
      </c>
      <c r="I43" s="3" t="s">
        <v>170</v>
      </c>
      <c r="J43" s="3" t="s">
        <v>156</v>
      </c>
      <c r="K43" s="3" t="s">
        <v>163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578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289</v>
      </c>
      <c r="P3" s="17" t="s">
        <v>77</v>
      </c>
      <c r="Q3" s="17" t="s">
        <v>78</v>
      </c>
      <c r="AA3" s="207" t="s">
        <v>565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3" t="s">
        <v>65</v>
      </c>
      <c r="I4" s="534"/>
      <c r="J4" s="535"/>
      <c r="K4" s="527" t="s">
        <v>86</v>
      </c>
      <c r="L4" s="528"/>
      <c r="M4" s="529"/>
      <c r="N4" s="60"/>
      <c r="O4" s="60" t="s">
        <v>87</v>
      </c>
      <c r="P4" s="60" t="s">
        <v>66</v>
      </c>
      <c r="Q4" s="60"/>
      <c r="X4" s="60" t="s">
        <v>217</v>
      </c>
      <c r="AA4" s="207" t="s">
        <v>566</v>
      </c>
    </row>
    <row r="5" spans="3:37" ht="13.5" thickBot="1" x14ac:dyDescent="0.25">
      <c r="C5" s="37" t="s">
        <v>139</v>
      </c>
      <c r="D5" s="38"/>
      <c r="E5" s="38"/>
      <c r="F5" s="39"/>
      <c r="G5" s="381" t="s">
        <v>68</v>
      </c>
      <c r="H5" s="539" t="s">
        <v>34</v>
      </c>
      <c r="I5" s="540"/>
      <c r="J5" s="541"/>
      <c r="K5" s="539" t="s">
        <v>314</v>
      </c>
      <c r="L5" s="540"/>
      <c r="M5" s="541"/>
      <c r="N5" s="382" t="s">
        <v>92</v>
      </c>
      <c r="O5" s="382" t="s">
        <v>34</v>
      </c>
      <c r="P5" s="383" t="s">
        <v>313</v>
      </c>
      <c r="Q5" s="382" t="s">
        <v>94</v>
      </c>
      <c r="X5" s="61" t="s">
        <v>218</v>
      </c>
      <c r="AA5" s="207"/>
      <c r="AB5" s="542" t="s">
        <v>567</v>
      </c>
      <c r="AC5" s="542"/>
      <c r="AD5" s="384"/>
      <c r="AE5" s="543" t="s">
        <v>65</v>
      </c>
      <c r="AF5" s="543"/>
      <c r="AG5" s="543" t="s">
        <v>568</v>
      </c>
      <c r="AH5" s="543"/>
      <c r="AI5" s="544" t="s">
        <v>569</v>
      </c>
      <c r="AJ5" s="544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156</v>
      </c>
      <c r="F6" s="431" t="s">
        <v>136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222</v>
      </c>
      <c r="U6" s="210" t="s">
        <v>225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156</v>
      </c>
      <c r="F7" s="441" t="s">
        <v>137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223</v>
      </c>
      <c r="X7" s="208">
        <v>0.05</v>
      </c>
      <c r="AA7" s="3" t="s">
        <v>570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156</v>
      </c>
      <c r="F8" s="439" t="s">
        <v>146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224</v>
      </c>
      <c r="X8" s="208">
        <v>6.4999999999999997E-3</v>
      </c>
      <c r="AA8" s="3" t="s">
        <v>571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156</v>
      </c>
      <c r="F9" s="441" t="s">
        <v>147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572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156</v>
      </c>
      <c r="F10" s="439" t="s">
        <v>154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573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156</v>
      </c>
      <c r="F11" s="438" t="s">
        <v>155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574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575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569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140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579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579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579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579</v>
      </c>
      <c r="T19" s="209"/>
      <c r="U19" s="209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579</v>
      </c>
      <c r="T20" s="209"/>
      <c r="U20" s="209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579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27" t="s">
        <v>86</v>
      </c>
      <c r="M27" s="528"/>
      <c r="N27" s="528"/>
      <c r="O27" s="529"/>
      <c r="T27" s="209"/>
      <c r="U27" s="209"/>
    </row>
    <row r="28" spans="3:21" x14ac:dyDescent="0.2">
      <c r="J28" s="3" t="s">
        <v>139</v>
      </c>
      <c r="L28" s="530" t="s">
        <v>91</v>
      </c>
      <c r="M28" s="531"/>
      <c r="N28" s="531"/>
      <c r="O28" s="532"/>
      <c r="T28" s="209"/>
      <c r="U28" s="209"/>
    </row>
    <row r="29" spans="3:21" x14ac:dyDescent="0.2">
      <c r="J29" s="3" t="s">
        <v>171</v>
      </c>
      <c r="K29" s="3" t="s">
        <v>172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173</v>
      </c>
      <c r="K30" s="3" t="s">
        <v>174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175</v>
      </c>
      <c r="K31" s="3" t="s">
        <v>176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177</v>
      </c>
      <c r="K32" s="3" t="s">
        <v>178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179</v>
      </c>
      <c r="K33" s="3" t="s">
        <v>180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181</v>
      </c>
      <c r="K34" s="3" t="s">
        <v>182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315</v>
      </c>
      <c r="AC1" s="270">
        <v>100</v>
      </c>
      <c r="BB1" s="271" t="s">
        <v>316</v>
      </c>
      <c r="BC1" s="272"/>
      <c r="BD1" s="272" t="s">
        <v>317</v>
      </c>
      <c r="BE1" s="272" t="s">
        <v>318</v>
      </c>
      <c r="BF1" s="272" t="s">
        <v>319</v>
      </c>
    </row>
    <row r="2" spans="1:89" x14ac:dyDescent="0.2">
      <c r="A2" s="269" t="s">
        <v>585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320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524</v>
      </c>
      <c r="B3" s="273" t="s">
        <v>259</v>
      </c>
      <c r="C3" s="273"/>
      <c r="D3" s="274" t="s">
        <v>259</v>
      </c>
      <c r="E3" s="274" t="s">
        <v>260</v>
      </c>
      <c r="F3" s="274" t="s">
        <v>261</v>
      </c>
      <c r="G3" s="274" t="s">
        <v>262</v>
      </c>
      <c r="H3" s="274" t="s">
        <v>263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321</v>
      </c>
      <c r="B4" s="278" t="s">
        <v>322</v>
      </c>
      <c r="C4" s="279" t="s">
        <v>323</v>
      </c>
      <c r="D4" s="545" t="s">
        <v>324</v>
      </c>
      <c r="E4" s="546"/>
      <c r="F4" s="546"/>
      <c r="G4" s="546"/>
      <c r="H4" s="547"/>
      <c r="I4" s="546" t="s">
        <v>325</v>
      </c>
      <c r="J4" s="546"/>
      <c r="K4" s="546"/>
      <c r="L4" s="546"/>
      <c r="M4" s="547"/>
      <c r="N4" s="546" t="s">
        <v>326</v>
      </c>
      <c r="O4" s="546"/>
      <c r="P4" s="546"/>
      <c r="Q4" s="546"/>
      <c r="R4" s="547"/>
      <c r="S4" s="546" t="s">
        <v>327</v>
      </c>
      <c r="T4" s="546"/>
      <c r="U4" s="546"/>
      <c r="V4" s="546"/>
      <c r="W4" s="547"/>
      <c r="X4" s="546" t="s">
        <v>328</v>
      </c>
      <c r="Y4" s="546"/>
      <c r="Z4" s="546"/>
      <c r="AA4" s="546"/>
      <c r="AB4" s="547"/>
      <c r="AC4" s="546" t="s">
        <v>329</v>
      </c>
      <c r="AD4" s="546"/>
      <c r="AE4" s="546"/>
      <c r="AF4" s="546"/>
      <c r="AG4" s="547"/>
      <c r="AH4" s="546" t="s">
        <v>330</v>
      </c>
      <c r="AI4" s="546"/>
      <c r="AJ4" s="546"/>
      <c r="AK4" s="546"/>
      <c r="AL4" s="547"/>
      <c r="AM4" s="546" t="s">
        <v>331</v>
      </c>
      <c r="AN4" s="546"/>
      <c r="AO4" s="546"/>
      <c r="AP4" s="546"/>
      <c r="AQ4" s="547"/>
      <c r="AR4" s="546" t="s">
        <v>332</v>
      </c>
      <c r="AS4" s="546"/>
      <c r="AT4" s="546"/>
      <c r="AU4" s="546"/>
      <c r="AV4" s="547"/>
      <c r="AW4" s="546" t="s">
        <v>333</v>
      </c>
      <c r="AX4" s="546"/>
      <c r="AY4" s="546"/>
      <c r="AZ4" s="546"/>
      <c r="BA4" s="546"/>
      <c r="BB4" s="545" t="s">
        <v>334</v>
      </c>
      <c r="BC4" s="546"/>
      <c r="BD4" s="546"/>
      <c r="BE4" s="546"/>
      <c r="BF4" s="547"/>
      <c r="BG4" s="546" t="s">
        <v>335</v>
      </c>
      <c r="BH4" s="546"/>
      <c r="BI4" s="546"/>
      <c r="BJ4" s="546"/>
      <c r="BK4" s="546"/>
      <c r="BL4" s="545" t="s">
        <v>336</v>
      </c>
      <c r="BM4" s="546"/>
      <c r="BN4" s="546"/>
      <c r="BO4" s="546"/>
      <c r="BP4" s="546"/>
      <c r="BQ4" s="545" t="s">
        <v>337</v>
      </c>
      <c r="BR4" s="546"/>
      <c r="BS4" s="546"/>
      <c r="BT4" s="546"/>
      <c r="BU4" s="547"/>
      <c r="BV4" s="280" t="s">
        <v>338</v>
      </c>
      <c r="BW4" s="548" t="s">
        <v>339</v>
      </c>
      <c r="BX4" s="549"/>
      <c r="BY4" s="549"/>
      <c r="BZ4" s="549"/>
      <c r="CA4" s="550"/>
      <c r="CB4" s="548" t="s">
        <v>340</v>
      </c>
      <c r="CC4" s="549"/>
      <c r="CD4" s="549"/>
      <c r="CE4" s="549"/>
      <c r="CF4" s="550"/>
      <c r="CG4" s="548" t="s">
        <v>341</v>
      </c>
      <c r="CH4" s="549"/>
      <c r="CI4" s="549"/>
      <c r="CJ4" s="549"/>
      <c r="CK4" s="550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342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343</v>
      </c>
      <c r="B7" s="301" t="s">
        <v>445</v>
      </c>
      <c r="C7" s="302" t="s">
        <v>344</v>
      </c>
      <c r="D7" s="303" t="s">
        <v>446</v>
      </c>
      <c r="E7" s="304" t="s">
        <v>446</v>
      </c>
      <c r="F7" s="304" t="s">
        <v>446</v>
      </c>
      <c r="G7" s="304" t="s">
        <v>446</v>
      </c>
      <c r="H7" s="305" t="s">
        <v>446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345</v>
      </c>
      <c r="B8" s="301" t="s">
        <v>344</v>
      </c>
      <c r="C8" s="302" t="s">
        <v>346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347</v>
      </c>
      <c r="B9" s="301" t="s">
        <v>348</v>
      </c>
      <c r="C9" s="302" t="s">
        <v>348</v>
      </c>
      <c r="D9" s="303" t="s">
        <v>447</v>
      </c>
      <c r="E9" s="304" t="s">
        <v>448</v>
      </c>
      <c r="F9" s="304" t="s">
        <v>449</v>
      </c>
      <c r="G9" s="304" t="s">
        <v>449</v>
      </c>
      <c r="H9" s="305" t="s">
        <v>450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451</v>
      </c>
      <c r="AS9" s="304" t="s">
        <v>452</v>
      </c>
      <c r="AT9" s="304" t="s">
        <v>453</v>
      </c>
      <c r="AU9" s="304" t="s">
        <v>454</v>
      </c>
      <c r="AV9" s="305" t="s">
        <v>454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349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350</v>
      </c>
      <c r="B10" s="301" t="s">
        <v>455</v>
      </c>
      <c r="C10" s="302" t="s">
        <v>351</v>
      </c>
      <c r="D10" s="303" t="s">
        <v>456</v>
      </c>
      <c r="E10" s="304" t="s">
        <v>456</v>
      </c>
      <c r="F10" s="304" t="s">
        <v>456</v>
      </c>
      <c r="G10" s="304" t="s">
        <v>456</v>
      </c>
      <c r="H10" s="305" t="s">
        <v>456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349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352</v>
      </c>
      <c r="B11" s="301" t="s">
        <v>457</v>
      </c>
      <c r="C11" s="302" t="s">
        <v>353</v>
      </c>
      <c r="D11" s="303" t="s">
        <v>458</v>
      </c>
      <c r="E11" s="304" t="s">
        <v>447</v>
      </c>
      <c r="F11" s="304" t="s">
        <v>459</v>
      </c>
      <c r="G11" s="304" t="s">
        <v>459</v>
      </c>
      <c r="H11" s="305" t="s">
        <v>459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354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355</v>
      </c>
      <c r="B12" s="301" t="s">
        <v>460</v>
      </c>
      <c r="C12" s="302" t="s">
        <v>356</v>
      </c>
      <c r="D12" s="303" t="s">
        <v>461</v>
      </c>
      <c r="E12" s="304" t="s">
        <v>461</v>
      </c>
      <c r="F12" s="304" t="s">
        <v>461</v>
      </c>
      <c r="G12" s="304" t="s">
        <v>461</v>
      </c>
      <c r="H12" s="305" t="s">
        <v>461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357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358</v>
      </c>
      <c r="B13" s="301" t="s">
        <v>462</v>
      </c>
      <c r="C13" s="302" t="s">
        <v>359</v>
      </c>
      <c r="D13" s="303" t="s">
        <v>463</v>
      </c>
      <c r="E13" s="304" t="s">
        <v>464</v>
      </c>
      <c r="F13" s="304" t="s">
        <v>465</v>
      </c>
      <c r="G13" s="304" t="s">
        <v>466</v>
      </c>
      <c r="H13" s="305" t="s">
        <v>466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360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361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362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363</v>
      </c>
      <c r="B16" s="301" t="s">
        <v>467</v>
      </c>
      <c r="C16" s="302" t="s">
        <v>364</v>
      </c>
      <c r="D16" s="303" t="s">
        <v>468</v>
      </c>
      <c r="E16" s="304" t="s">
        <v>468</v>
      </c>
      <c r="F16" s="304" t="s">
        <v>468</v>
      </c>
      <c r="G16" s="304" t="s">
        <v>468</v>
      </c>
      <c r="H16" s="305" t="s">
        <v>468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365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366</v>
      </c>
      <c r="B18" s="301" t="s">
        <v>469</v>
      </c>
      <c r="C18" s="302" t="s">
        <v>367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368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369</v>
      </c>
      <c r="B19" s="301" t="s">
        <v>470</v>
      </c>
      <c r="C19" s="302" t="s">
        <v>370</v>
      </c>
      <c r="D19" s="303" t="s">
        <v>471</v>
      </c>
      <c r="E19" s="304" t="s">
        <v>471</v>
      </c>
      <c r="F19" s="304" t="s">
        <v>471</v>
      </c>
      <c r="G19" s="304" t="s">
        <v>471</v>
      </c>
      <c r="H19" s="305" t="s">
        <v>471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472</v>
      </c>
      <c r="CC19" s="308" t="s">
        <v>472</v>
      </c>
      <c r="CD19" s="308" t="s">
        <v>472</v>
      </c>
      <c r="CE19" s="308" t="s">
        <v>472</v>
      </c>
      <c r="CF19" s="309" t="s">
        <v>472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371</v>
      </c>
      <c r="B20" s="301" t="s">
        <v>473</v>
      </c>
      <c r="C20" s="302" t="s">
        <v>372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373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374</v>
      </c>
      <c r="B21" s="301" t="s">
        <v>474</v>
      </c>
      <c r="C21" s="302" t="s">
        <v>375</v>
      </c>
      <c r="D21" s="303" t="s">
        <v>471</v>
      </c>
      <c r="E21" s="304" t="s">
        <v>471</v>
      </c>
      <c r="F21" s="304" t="s">
        <v>471</v>
      </c>
      <c r="G21" s="304" t="s">
        <v>471</v>
      </c>
      <c r="H21" s="305" t="s">
        <v>471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373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376</v>
      </c>
      <c r="B22" s="301" t="s">
        <v>475</v>
      </c>
      <c r="C22" s="302" t="s">
        <v>376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377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378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379</v>
      </c>
      <c r="B24" s="301" t="s">
        <v>476</v>
      </c>
      <c r="C24" s="302" t="s">
        <v>380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381</v>
      </c>
      <c r="B25" s="301" t="s">
        <v>477</v>
      </c>
      <c r="C25" s="302" t="s">
        <v>382</v>
      </c>
      <c r="D25" s="303" t="s">
        <v>478</v>
      </c>
      <c r="E25" s="304" t="s">
        <v>478</v>
      </c>
      <c r="F25" s="304" t="s">
        <v>478</v>
      </c>
      <c r="G25" s="304" t="s">
        <v>478</v>
      </c>
      <c r="H25" s="305" t="s">
        <v>478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472</v>
      </c>
      <c r="CC25" s="308" t="s">
        <v>472</v>
      </c>
      <c r="CD25" s="308" t="s">
        <v>472</v>
      </c>
      <c r="CE25" s="308" t="s">
        <v>472</v>
      </c>
      <c r="CF25" s="309" t="s">
        <v>472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546</v>
      </c>
      <c r="B26" s="301" t="s">
        <v>547</v>
      </c>
      <c r="C26" s="301" t="s">
        <v>380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383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384</v>
      </c>
      <c r="B28" s="301" t="s">
        <v>479</v>
      </c>
      <c r="C28" s="302" t="s">
        <v>385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386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387</v>
      </c>
      <c r="B29" s="301" t="s">
        <v>480</v>
      </c>
      <c r="C29" s="302" t="s">
        <v>388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386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389</v>
      </c>
      <c r="B30" s="301" t="s">
        <v>481</v>
      </c>
      <c r="C30" s="302" t="s">
        <v>390</v>
      </c>
      <c r="D30" s="303" t="s">
        <v>453</v>
      </c>
      <c r="E30" s="304" t="s">
        <v>453</v>
      </c>
      <c r="F30" s="304" t="s">
        <v>453</v>
      </c>
      <c r="G30" s="304" t="s">
        <v>453</v>
      </c>
      <c r="H30" s="305" t="s">
        <v>453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482</v>
      </c>
      <c r="AX30" s="304" t="s">
        <v>483</v>
      </c>
      <c r="AY30" s="304" t="s">
        <v>483</v>
      </c>
      <c r="AZ30" s="304" t="s">
        <v>483</v>
      </c>
      <c r="BA30" s="305" t="s">
        <v>483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391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392</v>
      </c>
      <c r="B31" s="301" t="s">
        <v>484</v>
      </c>
      <c r="C31" s="328" t="s">
        <v>393</v>
      </c>
      <c r="D31" s="303" t="s">
        <v>485</v>
      </c>
      <c r="E31" s="304" t="s">
        <v>485</v>
      </c>
      <c r="F31" s="304" t="s">
        <v>485</v>
      </c>
      <c r="G31" s="304" t="s">
        <v>485</v>
      </c>
      <c r="H31" s="305" t="s">
        <v>485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394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395</v>
      </c>
      <c r="B32" s="301" t="s">
        <v>475</v>
      </c>
      <c r="C32" s="302" t="s">
        <v>396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472</v>
      </c>
      <c r="BX32" s="308" t="s">
        <v>472</v>
      </c>
      <c r="BY32" s="308" t="s">
        <v>472</v>
      </c>
      <c r="BZ32" s="308" t="s">
        <v>472</v>
      </c>
      <c r="CA32" s="309" t="s">
        <v>472</v>
      </c>
      <c r="CB32" s="308" t="s">
        <v>472</v>
      </c>
      <c r="CC32" s="308" t="s">
        <v>472</v>
      </c>
      <c r="CD32" s="308" t="s">
        <v>472</v>
      </c>
      <c r="CE32" s="308" t="s">
        <v>472</v>
      </c>
      <c r="CF32" s="309" t="s">
        <v>472</v>
      </c>
      <c r="CG32" s="310" t="s">
        <v>472</v>
      </c>
      <c r="CH32" s="308" t="s">
        <v>472</v>
      </c>
      <c r="CI32" s="308" t="s">
        <v>472</v>
      </c>
      <c r="CJ32" s="308" t="s">
        <v>472</v>
      </c>
      <c r="CK32" s="309" t="s">
        <v>472</v>
      </c>
    </row>
    <row r="33" spans="1:89" s="299" customFormat="1" x14ac:dyDescent="0.2">
      <c r="A33" s="292" t="s">
        <v>397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398</v>
      </c>
      <c r="B34" s="301" t="s">
        <v>475</v>
      </c>
      <c r="C34" s="302" t="s">
        <v>399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377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400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401</v>
      </c>
      <c r="B36" s="301" t="s">
        <v>486</v>
      </c>
      <c r="C36" s="302" t="s">
        <v>402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487</v>
      </c>
      <c r="O36" s="304" t="s">
        <v>488</v>
      </c>
      <c r="P36" s="304" t="s">
        <v>488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489</v>
      </c>
      <c r="Y36" s="304" t="s">
        <v>489</v>
      </c>
      <c r="Z36" s="304" t="s">
        <v>490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491</v>
      </c>
      <c r="AY36" s="304" t="s">
        <v>491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403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472</v>
      </c>
      <c r="CF36" s="336" t="s">
        <v>472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404</v>
      </c>
      <c r="B37" s="301" t="s">
        <v>492</v>
      </c>
      <c r="C37" s="302" t="s">
        <v>405</v>
      </c>
      <c r="D37" s="303" t="s">
        <v>493</v>
      </c>
      <c r="E37" s="304" t="s">
        <v>493</v>
      </c>
      <c r="F37" s="304" t="s">
        <v>493</v>
      </c>
      <c r="G37" s="304">
        <v>0</v>
      </c>
      <c r="H37" s="305">
        <v>0</v>
      </c>
      <c r="I37" s="304" t="s">
        <v>494</v>
      </c>
      <c r="J37" s="304" t="s">
        <v>495</v>
      </c>
      <c r="K37" s="304" t="s">
        <v>496</v>
      </c>
      <c r="L37" s="304">
        <v>0</v>
      </c>
      <c r="M37" s="305">
        <v>0</v>
      </c>
      <c r="N37" s="304" t="s">
        <v>497</v>
      </c>
      <c r="O37" s="304" t="s">
        <v>497</v>
      </c>
      <c r="P37" s="304" t="s">
        <v>497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498</v>
      </c>
      <c r="Y37" s="304" t="s">
        <v>498</v>
      </c>
      <c r="Z37" s="304" t="s">
        <v>498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482</v>
      </c>
      <c r="AX37" s="304" t="s">
        <v>482</v>
      </c>
      <c r="AY37" s="304" t="s">
        <v>482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403</v>
      </c>
      <c r="BW37" s="312">
        <v>446.15384615384613</v>
      </c>
      <c r="BX37" s="312">
        <v>446.15384615384613</v>
      </c>
      <c r="BY37" s="312">
        <v>446.15384615384613</v>
      </c>
      <c r="BZ37" s="312" t="s">
        <v>472</v>
      </c>
      <c r="CA37" s="313" t="s">
        <v>472</v>
      </c>
      <c r="CB37" s="326">
        <v>1.2307692307692308</v>
      </c>
      <c r="CC37" s="337">
        <v>1.2307692307692308</v>
      </c>
      <c r="CD37" s="337">
        <v>1.2307692307692308</v>
      </c>
      <c r="CE37" s="337" t="s">
        <v>472</v>
      </c>
      <c r="CF37" s="338" t="s">
        <v>472</v>
      </c>
      <c r="CG37" s="310">
        <v>0</v>
      </c>
      <c r="CH37" s="308">
        <v>0</v>
      </c>
      <c r="CI37" s="308">
        <v>0</v>
      </c>
      <c r="CJ37" s="308" t="s">
        <v>472</v>
      </c>
      <c r="CK37" s="309" t="s">
        <v>472</v>
      </c>
    </row>
    <row r="38" spans="1:89" s="299" customFormat="1" x14ac:dyDescent="0.2">
      <c r="A38" s="300" t="s">
        <v>406</v>
      </c>
      <c r="B38" s="301" t="s">
        <v>475</v>
      </c>
      <c r="C38" s="302" t="s">
        <v>407</v>
      </c>
      <c r="D38" s="323" t="s">
        <v>408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377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409</v>
      </c>
      <c r="B39" s="301" t="s">
        <v>499</v>
      </c>
      <c r="C39" s="302" t="s">
        <v>410</v>
      </c>
      <c r="D39" s="303" t="s">
        <v>500</v>
      </c>
      <c r="E39" s="304" t="s">
        <v>501</v>
      </c>
      <c r="F39" s="304" t="s">
        <v>502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503</v>
      </c>
      <c r="O39" s="304" t="s">
        <v>503</v>
      </c>
      <c r="P39" s="304" t="s">
        <v>503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498</v>
      </c>
      <c r="Y39" s="304" t="s">
        <v>498</v>
      </c>
      <c r="Z39" s="304" t="s">
        <v>498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491</v>
      </c>
      <c r="AY39" s="304" t="s">
        <v>491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411</v>
      </c>
      <c r="BW39" s="312">
        <v>1263.1578947368421</v>
      </c>
      <c r="BX39" s="312">
        <v>875</v>
      </c>
      <c r="BY39" s="312">
        <v>909.09090909090912</v>
      </c>
      <c r="BZ39" s="312" t="s">
        <v>472</v>
      </c>
      <c r="CA39" s="313" t="s">
        <v>472</v>
      </c>
      <c r="CB39" s="312">
        <v>263.15789473684208</v>
      </c>
      <c r="CC39" s="312">
        <v>312.5</v>
      </c>
      <c r="CD39" s="312">
        <v>454.54545454545456</v>
      </c>
      <c r="CE39" s="312" t="s">
        <v>472</v>
      </c>
      <c r="CF39" s="313" t="s">
        <v>472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412</v>
      </c>
      <c r="B40" s="301" t="s">
        <v>504</v>
      </c>
      <c r="C40" s="302" t="s">
        <v>413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503</v>
      </c>
      <c r="O40" s="304" t="s">
        <v>503</v>
      </c>
      <c r="P40" s="304" t="s">
        <v>503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505</v>
      </c>
      <c r="Y40" s="304" t="s">
        <v>505</v>
      </c>
      <c r="Z40" s="304" t="s">
        <v>505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491</v>
      </c>
      <c r="AY40" s="304" t="s">
        <v>491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411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414</v>
      </c>
      <c r="B41" s="301" t="s">
        <v>506</v>
      </c>
      <c r="C41" s="302" t="s">
        <v>415</v>
      </c>
      <c r="D41" s="303" t="s">
        <v>507</v>
      </c>
      <c r="E41" s="304" t="s">
        <v>507</v>
      </c>
      <c r="F41" s="304" t="s">
        <v>507</v>
      </c>
      <c r="G41" s="304" t="s">
        <v>472</v>
      </c>
      <c r="H41" s="305" t="s">
        <v>472</v>
      </c>
      <c r="I41" s="304" t="s">
        <v>508</v>
      </c>
      <c r="J41" s="304" t="s">
        <v>508</v>
      </c>
      <c r="K41" s="304" t="s">
        <v>508</v>
      </c>
      <c r="L41" s="304">
        <v>0</v>
      </c>
      <c r="M41" s="305">
        <v>0</v>
      </c>
      <c r="N41" s="304" t="s">
        <v>509</v>
      </c>
      <c r="O41" s="304" t="s">
        <v>509</v>
      </c>
      <c r="P41" s="304" t="s">
        <v>509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510</v>
      </c>
      <c r="Y41" s="304" t="s">
        <v>510</v>
      </c>
      <c r="Z41" s="304" t="s">
        <v>510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511</v>
      </c>
      <c r="AX41" s="304" t="s">
        <v>512</v>
      </c>
      <c r="AY41" s="304" t="s">
        <v>512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411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416</v>
      </c>
      <c r="B42" s="301" t="s">
        <v>513</v>
      </c>
      <c r="C42" s="302" t="s">
        <v>417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498</v>
      </c>
      <c r="O42" s="304" t="s">
        <v>498</v>
      </c>
      <c r="P42" s="304" t="s">
        <v>498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498</v>
      </c>
      <c r="Y42" s="304" t="s">
        <v>498</v>
      </c>
      <c r="Z42" s="304" t="s">
        <v>498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491</v>
      </c>
      <c r="AY42" s="304" t="s">
        <v>491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411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418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419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420</v>
      </c>
      <c r="B45" s="301" t="s">
        <v>514</v>
      </c>
      <c r="C45" s="302" t="s">
        <v>421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422</v>
      </c>
      <c r="B46" s="301" t="s">
        <v>515</v>
      </c>
      <c r="C46" s="302" t="s">
        <v>423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424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425</v>
      </c>
      <c r="B48" s="301" t="s">
        <v>516</v>
      </c>
      <c r="C48" s="302" t="s">
        <v>426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427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428</v>
      </c>
      <c r="B49" s="301" t="s">
        <v>517</v>
      </c>
      <c r="C49" s="302" t="s">
        <v>429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427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430</v>
      </c>
      <c r="B50" s="301" t="s">
        <v>475</v>
      </c>
      <c r="C50" s="302" t="s">
        <v>430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377</v>
      </c>
      <c r="BW50" s="308" t="s">
        <v>472</v>
      </c>
      <c r="BX50" s="308" t="s">
        <v>472</v>
      </c>
      <c r="BY50" s="308" t="s">
        <v>472</v>
      </c>
      <c r="BZ50" s="308" t="s">
        <v>472</v>
      </c>
      <c r="CA50" s="309" t="s">
        <v>472</v>
      </c>
      <c r="CB50" s="308" t="s">
        <v>472</v>
      </c>
      <c r="CC50" s="308" t="s">
        <v>472</v>
      </c>
      <c r="CD50" s="308" t="s">
        <v>472</v>
      </c>
      <c r="CE50" s="308" t="s">
        <v>472</v>
      </c>
      <c r="CF50" s="309" t="s">
        <v>472</v>
      </c>
      <c r="CG50" s="310" t="s">
        <v>472</v>
      </c>
      <c r="CH50" s="308" t="s">
        <v>472</v>
      </c>
      <c r="CI50" s="308" t="s">
        <v>472</v>
      </c>
      <c r="CJ50" s="308" t="s">
        <v>472</v>
      </c>
      <c r="CK50" s="309" t="s">
        <v>472</v>
      </c>
    </row>
    <row r="51" spans="1:89" s="299" customFormat="1" x14ac:dyDescent="0.2">
      <c r="A51" s="300"/>
      <c r="B51" s="301"/>
      <c r="C51" s="302" t="s">
        <v>431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432</v>
      </c>
      <c r="B52" s="343" t="s">
        <v>475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377</v>
      </c>
      <c r="BW52" s="351" t="s">
        <v>472</v>
      </c>
      <c r="BX52" s="351" t="s">
        <v>472</v>
      </c>
      <c r="BY52" s="351" t="s">
        <v>472</v>
      </c>
      <c r="BZ52" s="351" t="s">
        <v>472</v>
      </c>
      <c r="CA52" s="352" t="s">
        <v>472</v>
      </c>
      <c r="CB52" s="351" t="s">
        <v>472</v>
      </c>
      <c r="CC52" s="351" t="s">
        <v>472</v>
      </c>
      <c r="CD52" s="351" t="s">
        <v>472</v>
      </c>
      <c r="CE52" s="351" t="s">
        <v>472</v>
      </c>
      <c r="CF52" s="352" t="s">
        <v>472</v>
      </c>
      <c r="CG52" s="351" t="s">
        <v>472</v>
      </c>
      <c r="CH52" s="351" t="s">
        <v>472</v>
      </c>
      <c r="CI52" s="351" t="s">
        <v>472</v>
      </c>
      <c r="CJ52" s="351" t="s">
        <v>472</v>
      </c>
      <c r="CK52" s="352" t="s">
        <v>472</v>
      </c>
    </row>
    <row r="53" spans="1:89" s="299" customFormat="1" x14ac:dyDescent="0.2">
      <c r="A53" s="342" t="s">
        <v>433</v>
      </c>
      <c r="B53" s="343" t="s">
        <v>475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377</v>
      </c>
      <c r="BW53" s="351" t="s">
        <v>472</v>
      </c>
      <c r="BX53" s="351" t="s">
        <v>472</v>
      </c>
      <c r="BY53" s="351" t="s">
        <v>472</v>
      </c>
      <c r="BZ53" s="351" t="s">
        <v>472</v>
      </c>
      <c r="CA53" s="352" t="s">
        <v>472</v>
      </c>
      <c r="CB53" s="351" t="s">
        <v>472</v>
      </c>
      <c r="CC53" s="351" t="s">
        <v>472</v>
      </c>
      <c r="CD53" s="351" t="s">
        <v>472</v>
      </c>
      <c r="CE53" s="351" t="s">
        <v>472</v>
      </c>
      <c r="CF53" s="352" t="s">
        <v>472</v>
      </c>
      <c r="CG53" s="351" t="s">
        <v>472</v>
      </c>
      <c r="CH53" s="351" t="s">
        <v>472</v>
      </c>
      <c r="CI53" s="351" t="s">
        <v>472</v>
      </c>
      <c r="CJ53" s="351" t="s">
        <v>472</v>
      </c>
      <c r="CK53" s="352" t="s">
        <v>472</v>
      </c>
    </row>
    <row r="54" spans="1:89" s="299" customFormat="1" x14ac:dyDescent="0.2">
      <c r="A54" s="342" t="s">
        <v>434</v>
      </c>
      <c r="B54" s="343" t="s">
        <v>475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377</v>
      </c>
      <c r="BW54" s="351" t="s">
        <v>472</v>
      </c>
      <c r="BX54" s="351" t="s">
        <v>472</v>
      </c>
      <c r="BY54" s="351" t="s">
        <v>472</v>
      </c>
      <c r="BZ54" s="351" t="s">
        <v>472</v>
      </c>
      <c r="CA54" s="352" t="s">
        <v>472</v>
      </c>
      <c r="CB54" s="351" t="s">
        <v>472</v>
      </c>
      <c r="CC54" s="351" t="s">
        <v>472</v>
      </c>
      <c r="CD54" s="351" t="s">
        <v>472</v>
      </c>
      <c r="CE54" s="351" t="s">
        <v>472</v>
      </c>
      <c r="CF54" s="352" t="s">
        <v>472</v>
      </c>
      <c r="CG54" s="351" t="s">
        <v>472</v>
      </c>
      <c r="CH54" s="351" t="s">
        <v>472</v>
      </c>
      <c r="CI54" s="351" t="s">
        <v>472</v>
      </c>
      <c r="CJ54" s="351" t="s">
        <v>472</v>
      </c>
      <c r="CK54" s="352" t="s">
        <v>472</v>
      </c>
    </row>
    <row r="55" spans="1:89" s="299" customFormat="1" x14ac:dyDescent="0.2">
      <c r="A55" s="342" t="s">
        <v>435</v>
      </c>
      <c r="B55" s="343" t="s">
        <v>475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377</v>
      </c>
      <c r="BW55" s="351" t="s">
        <v>472</v>
      </c>
      <c r="BX55" s="351" t="s">
        <v>472</v>
      </c>
      <c r="BY55" s="351" t="s">
        <v>472</v>
      </c>
      <c r="BZ55" s="351" t="s">
        <v>472</v>
      </c>
      <c r="CA55" s="352" t="s">
        <v>472</v>
      </c>
      <c r="CB55" s="351" t="s">
        <v>472</v>
      </c>
      <c r="CC55" s="351" t="s">
        <v>472</v>
      </c>
      <c r="CD55" s="351" t="s">
        <v>472</v>
      </c>
      <c r="CE55" s="351" t="s">
        <v>472</v>
      </c>
      <c r="CF55" s="352" t="s">
        <v>472</v>
      </c>
      <c r="CG55" s="351" t="s">
        <v>472</v>
      </c>
      <c r="CH55" s="351" t="s">
        <v>472</v>
      </c>
      <c r="CI55" s="351" t="s">
        <v>472</v>
      </c>
      <c r="CJ55" s="351" t="s">
        <v>472</v>
      </c>
      <c r="CK55" s="352" t="s">
        <v>472</v>
      </c>
    </row>
    <row r="56" spans="1:89" s="299" customFormat="1" x14ac:dyDescent="0.2">
      <c r="A56" s="342" t="s">
        <v>436</v>
      </c>
      <c r="B56" s="343" t="s">
        <v>475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377</v>
      </c>
      <c r="BW56" s="351" t="s">
        <v>472</v>
      </c>
      <c r="BX56" s="351" t="s">
        <v>472</v>
      </c>
      <c r="BY56" s="351" t="s">
        <v>472</v>
      </c>
      <c r="BZ56" s="351" t="s">
        <v>472</v>
      </c>
      <c r="CA56" s="352" t="s">
        <v>472</v>
      </c>
      <c r="CB56" s="351" t="s">
        <v>472</v>
      </c>
      <c r="CC56" s="351" t="s">
        <v>472</v>
      </c>
      <c r="CD56" s="351" t="s">
        <v>472</v>
      </c>
      <c r="CE56" s="351" t="s">
        <v>472</v>
      </c>
      <c r="CF56" s="352" t="s">
        <v>472</v>
      </c>
      <c r="CG56" s="351" t="s">
        <v>472</v>
      </c>
      <c r="CH56" s="351" t="s">
        <v>472</v>
      </c>
      <c r="CI56" s="351" t="s">
        <v>472</v>
      </c>
      <c r="CJ56" s="351" t="s">
        <v>472</v>
      </c>
      <c r="CK56" s="352" t="s">
        <v>472</v>
      </c>
    </row>
    <row r="57" spans="1:89" s="299" customFormat="1" x14ac:dyDescent="0.2">
      <c r="A57" s="342" t="s">
        <v>437</v>
      </c>
      <c r="B57" s="343" t="s">
        <v>475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377</v>
      </c>
      <c r="BW57" s="351" t="s">
        <v>472</v>
      </c>
      <c r="BX57" s="351" t="s">
        <v>472</v>
      </c>
      <c r="BY57" s="351" t="s">
        <v>472</v>
      </c>
      <c r="BZ57" s="351" t="s">
        <v>472</v>
      </c>
      <c r="CA57" s="352" t="s">
        <v>472</v>
      </c>
      <c r="CB57" s="351" t="s">
        <v>472</v>
      </c>
      <c r="CC57" s="351" t="s">
        <v>472</v>
      </c>
      <c r="CD57" s="351" t="s">
        <v>472</v>
      </c>
      <c r="CE57" s="351" t="s">
        <v>472</v>
      </c>
      <c r="CF57" s="352" t="s">
        <v>472</v>
      </c>
      <c r="CG57" s="351" t="s">
        <v>472</v>
      </c>
      <c r="CH57" s="351" t="s">
        <v>472</v>
      </c>
      <c r="CI57" s="351" t="s">
        <v>472</v>
      </c>
      <c r="CJ57" s="351" t="s">
        <v>472</v>
      </c>
      <c r="CK57" s="352" t="s">
        <v>472</v>
      </c>
    </row>
    <row r="58" spans="1:89" s="299" customFormat="1" x14ac:dyDescent="0.2">
      <c r="A58" s="342" t="s">
        <v>438</v>
      </c>
      <c r="B58" s="343" t="s">
        <v>475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377</v>
      </c>
      <c r="BW58" s="351" t="s">
        <v>472</v>
      </c>
      <c r="BX58" s="351" t="s">
        <v>472</v>
      </c>
      <c r="BY58" s="351" t="s">
        <v>472</v>
      </c>
      <c r="BZ58" s="351" t="s">
        <v>472</v>
      </c>
      <c r="CA58" s="352" t="s">
        <v>472</v>
      </c>
      <c r="CB58" s="351" t="s">
        <v>472</v>
      </c>
      <c r="CC58" s="351" t="s">
        <v>472</v>
      </c>
      <c r="CD58" s="351" t="s">
        <v>472</v>
      </c>
      <c r="CE58" s="351" t="s">
        <v>472</v>
      </c>
      <c r="CF58" s="352" t="s">
        <v>472</v>
      </c>
      <c r="CG58" s="351" t="s">
        <v>472</v>
      </c>
      <c r="CH58" s="351" t="s">
        <v>472</v>
      </c>
      <c r="CI58" s="351" t="s">
        <v>472</v>
      </c>
      <c r="CJ58" s="351" t="s">
        <v>472</v>
      </c>
      <c r="CK58" s="352" t="s">
        <v>472</v>
      </c>
    </row>
    <row r="59" spans="1:89" s="299" customFormat="1" x14ac:dyDescent="0.2">
      <c r="A59" s="342" t="s">
        <v>439</v>
      </c>
      <c r="B59" s="343" t="s">
        <v>475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377</v>
      </c>
      <c r="BW59" s="351" t="s">
        <v>472</v>
      </c>
      <c r="BX59" s="351" t="s">
        <v>472</v>
      </c>
      <c r="BY59" s="351" t="s">
        <v>472</v>
      </c>
      <c r="BZ59" s="351" t="s">
        <v>472</v>
      </c>
      <c r="CA59" s="352" t="s">
        <v>472</v>
      </c>
      <c r="CB59" s="351" t="s">
        <v>472</v>
      </c>
      <c r="CC59" s="351" t="s">
        <v>472</v>
      </c>
      <c r="CD59" s="351" t="s">
        <v>472</v>
      </c>
      <c r="CE59" s="351" t="s">
        <v>472</v>
      </c>
      <c r="CF59" s="352" t="s">
        <v>472</v>
      </c>
      <c r="CG59" s="351" t="s">
        <v>472</v>
      </c>
      <c r="CH59" s="351" t="s">
        <v>472</v>
      </c>
      <c r="CI59" s="351" t="s">
        <v>472</v>
      </c>
      <c r="CJ59" s="351" t="s">
        <v>472</v>
      </c>
      <c r="CK59" s="352" t="s">
        <v>472</v>
      </c>
    </row>
    <row r="60" spans="1:89" s="299" customFormat="1" x14ac:dyDescent="0.2">
      <c r="A60" s="342" t="s">
        <v>440</v>
      </c>
      <c r="B60" s="343" t="s">
        <v>518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505</v>
      </c>
      <c r="AX60" s="346" t="s">
        <v>505</v>
      </c>
      <c r="AY60" s="346" t="s">
        <v>505</v>
      </c>
      <c r="AZ60" s="346" t="s">
        <v>505</v>
      </c>
      <c r="BA60" s="347" t="s">
        <v>505</v>
      </c>
      <c r="BB60" s="345" t="s">
        <v>519</v>
      </c>
      <c r="BC60" s="346" t="s">
        <v>519</v>
      </c>
      <c r="BD60" s="346" t="s">
        <v>519</v>
      </c>
      <c r="BE60" s="346" t="s">
        <v>519</v>
      </c>
      <c r="BF60" s="347" t="s">
        <v>519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472</v>
      </c>
      <c r="BX60" s="351" t="s">
        <v>472</v>
      </c>
      <c r="BY60" s="351" t="s">
        <v>472</v>
      </c>
      <c r="BZ60" s="351" t="s">
        <v>472</v>
      </c>
      <c r="CA60" s="352" t="s">
        <v>472</v>
      </c>
      <c r="CB60" s="351" t="s">
        <v>472</v>
      </c>
      <c r="CC60" s="351" t="s">
        <v>472</v>
      </c>
      <c r="CD60" s="351" t="s">
        <v>472</v>
      </c>
      <c r="CE60" s="351" t="s">
        <v>472</v>
      </c>
      <c r="CF60" s="352" t="s">
        <v>472</v>
      </c>
      <c r="CG60" s="351" t="s">
        <v>472</v>
      </c>
      <c r="CH60" s="351" t="s">
        <v>472</v>
      </c>
      <c r="CI60" s="351" t="s">
        <v>472</v>
      </c>
      <c r="CJ60" s="351" t="s">
        <v>472</v>
      </c>
      <c r="CK60" s="352" t="s">
        <v>472</v>
      </c>
    </row>
    <row r="61" spans="1:89" s="299" customFormat="1" x14ac:dyDescent="0.2">
      <c r="A61" s="342" t="s">
        <v>441</v>
      </c>
      <c r="B61" s="343" t="s">
        <v>520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505</v>
      </c>
      <c r="AX61" s="346" t="s">
        <v>505</v>
      </c>
      <c r="AY61" s="346" t="s">
        <v>505</v>
      </c>
      <c r="AZ61" s="346" t="s">
        <v>505</v>
      </c>
      <c r="BA61" s="347" t="s">
        <v>505</v>
      </c>
      <c r="BB61" s="345" t="s">
        <v>521</v>
      </c>
      <c r="BC61" s="346" t="s">
        <v>521</v>
      </c>
      <c r="BD61" s="346" t="s">
        <v>521</v>
      </c>
      <c r="BE61" s="346" t="s">
        <v>521</v>
      </c>
      <c r="BF61" s="347" t="s">
        <v>521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522</v>
      </c>
      <c r="BM61" s="346" t="s">
        <v>522</v>
      </c>
      <c r="BN61" s="346" t="s">
        <v>522</v>
      </c>
      <c r="BO61" s="346" t="s">
        <v>522</v>
      </c>
      <c r="BP61" s="347" t="s">
        <v>522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472</v>
      </c>
      <c r="BX61" s="351" t="s">
        <v>472</v>
      </c>
      <c r="BY61" s="351" t="s">
        <v>472</v>
      </c>
      <c r="BZ61" s="351" t="s">
        <v>472</v>
      </c>
      <c r="CA61" s="352" t="s">
        <v>472</v>
      </c>
      <c r="CB61" s="351" t="s">
        <v>472</v>
      </c>
      <c r="CC61" s="351" t="s">
        <v>472</v>
      </c>
      <c r="CD61" s="351" t="s">
        <v>472</v>
      </c>
      <c r="CE61" s="351" t="s">
        <v>472</v>
      </c>
      <c r="CF61" s="352" t="s">
        <v>472</v>
      </c>
      <c r="CG61" s="351" t="s">
        <v>472</v>
      </c>
      <c r="CH61" s="351" t="s">
        <v>472</v>
      </c>
      <c r="CI61" s="351" t="s">
        <v>472</v>
      </c>
      <c r="CJ61" s="351" t="s">
        <v>472</v>
      </c>
      <c r="CK61" s="352" t="s">
        <v>472</v>
      </c>
    </row>
    <row r="62" spans="1:89" s="299" customFormat="1" x14ac:dyDescent="0.2">
      <c r="A62" s="300" t="s">
        <v>442</v>
      </c>
      <c r="B62" s="301" t="s">
        <v>523</v>
      </c>
      <c r="C62" s="302" t="s">
        <v>443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444</v>
      </c>
      <c r="B63" s="355" t="s">
        <v>475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377</v>
      </c>
      <c r="BW63" s="363" t="s">
        <v>472</v>
      </c>
      <c r="BX63" s="363" t="s">
        <v>472</v>
      </c>
      <c r="BY63" s="363" t="s">
        <v>472</v>
      </c>
      <c r="BZ63" s="363" t="s">
        <v>472</v>
      </c>
      <c r="CA63" s="364" t="s">
        <v>472</v>
      </c>
      <c r="CB63" s="363" t="s">
        <v>472</v>
      </c>
      <c r="CC63" s="363" t="s">
        <v>472</v>
      </c>
      <c r="CD63" s="363" t="s">
        <v>472</v>
      </c>
      <c r="CE63" s="363" t="s">
        <v>472</v>
      </c>
      <c r="CF63" s="364" t="s">
        <v>472</v>
      </c>
      <c r="CG63" s="363" t="s">
        <v>472</v>
      </c>
      <c r="CH63" s="363" t="s">
        <v>472</v>
      </c>
      <c r="CI63" s="363" t="s">
        <v>472</v>
      </c>
      <c r="CJ63" s="363" t="s">
        <v>472</v>
      </c>
      <c r="CK63" s="364" t="s">
        <v>472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2" t="s">
        <v>611</v>
      </c>
      <c r="B1" s="554" t="s">
        <v>612</v>
      </c>
      <c r="C1" s="555"/>
      <c r="D1" s="555"/>
      <c r="E1" s="555"/>
      <c r="F1" s="556"/>
      <c r="G1" s="554" t="s">
        <v>613</v>
      </c>
      <c r="H1" s="555"/>
      <c r="I1" s="555"/>
      <c r="J1" s="555"/>
      <c r="K1" s="556"/>
      <c r="L1" s="3"/>
      <c r="M1" s="3"/>
      <c r="N1" s="3"/>
      <c r="O1" s="3"/>
      <c r="P1" s="3"/>
      <c r="Q1" s="3"/>
      <c r="R1" s="3"/>
    </row>
    <row r="2" spans="1:18" ht="13.5" thickBot="1" x14ac:dyDescent="0.25">
      <c r="A2" s="553"/>
      <c r="B2" s="450" t="s">
        <v>270</v>
      </c>
      <c r="C2" s="451" t="s">
        <v>614</v>
      </c>
      <c r="D2" s="451" t="s">
        <v>615</v>
      </c>
      <c r="E2" s="451" t="s">
        <v>616</v>
      </c>
      <c r="F2" s="452" t="s">
        <v>617</v>
      </c>
      <c r="G2" s="450" t="s">
        <v>270</v>
      </c>
      <c r="H2" s="451" t="s">
        <v>614</v>
      </c>
      <c r="I2" s="451" t="s">
        <v>615</v>
      </c>
      <c r="J2" s="451" t="s">
        <v>616</v>
      </c>
      <c r="K2" s="452" t="s">
        <v>617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618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1" t="s">
        <v>614</v>
      </c>
      <c r="B7" s="551"/>
      <c r="C7" s="551"/>
      <c r="D7" s="55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619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620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621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622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623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624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625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626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627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1" t="s">
        <v>628</v>
      </c>
      <c r="B18" s="551"/>
      <c r="C18" s="551"/>
      <c r="D18" s="55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619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629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630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631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632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633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634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635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1" t="s">
        <v>636</v>
      </c>
      <c r="B28" s="551"/>
      <c r="C28" s="551"/>
      <c r="D28" s="5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619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597</v>
      </c>
      <c r="W29" s="446" t="s">
        <v>598</v>
      </c>
      <c r="X29" s="446" t="s">
        <v>599</v>
      </c>
      <c r="Y29" s="446" t="s">
        <v>600</v>
      </c>
    </row>
    <row r="30" spans="1:30" x14ac:dyDescent="0.2">
      <c r="A30" s="3" t="s">
        <v>637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601</v>
      </c>
      <c r="V30" s="444" t="s">
        <v>602</v>
      </c>
      <c r="W30" s="444" t="s">
        <v>603</v>
      </c>
      <c r="X30" s="444" t="s">
        <v>604</v>
      </c>
      <c r="Y30" s="444" t="s">
        <v>605</v>
      </c>
    </row>
    <row r="31" spans="1:30" ht="15" x14ac:dyDescent="0.25">
      <c r="A31" s="3" t="s">
        <v>638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606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639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607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668</v>
      </c>
    </row>
    <row r="33" spans="1:30" ht="15" x14ac:dyDescent="0.25">
      <c r="A33" s="3" t="s">
        <v>640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641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608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642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609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613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643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610</v>
      </c>
      <c r="U37" s="449"/>
      <c r="V37" s="449"/>
      <c r="W37" s="449"/>
      <c r="X37" s="449"/>
      <c r="Y37" s="449"/>
    </row>
    <row r="38" spans="1:30" x14ac:dyDescent="0.2">
      <c r="A38" s="3" t="s">
        <v>612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655</v>
      </c>
      <c r="Z39">
        <v>2018</v>
      </c>
    </row>
    <row r="40" spans="1:30" ht="15" x14ac:dyDescent="0.25">
      <c r="A40" s="551" t="s">
        <v>617</v>
      </c>
      <c r="B40" s="551"/>
      <c r="C40" s="551"/>
      <c r="D40" s="55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656</v>
      </c>
      <c r="V40">
        <v>101.7</v>
      </c>
      <c r="W40" s="3" t="s">
        <v>13</v>
      </c>
      <c r="Y40" t="s">
        <v>659</v>
      </c>
      <c r="Z40">
        <v>4.6900000000000004</v>
      </c>
      <c r="AA40" t="s">
        <v>13</v>
      </c>
    </row>
    <row r="41" spans="1:30" ht="15" x14ac:dyDescent="0.25">
      <c r="A41" s="463" t="s">
        <v>619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658</v>
      </c>
      <c r="T41" s="3" t="s">
        <v>657</v>
      </c>
      <c r="U41" s="3"/>
      <c r="V41">
        <v>26.74</v>
      </c>
      <c r="W41" s="3" t="s">
        <v>13</v>
      </c>
      <c r="Y41" t="s">
        <v>660</v>
      </c>
      <c r="Z41">
        <v>37.79</v>
      </c>
      <c r="AA41" t="s">
        <v>13</v>
      </c>
    </row>
    <row r="42" spans="1:30" ht="15" x14ac:dyDescent="0.25">
      <c r="A42" s="3" t="s">
        <v>644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661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1" t="s">
        <v>645</v>
      </c>
      <c r="B45" s="551"/>
      <c r="C45" s="551"/>
      <c r="D45" s="55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619</v>
      </c>
      <c r="B46" s="463">
        <v>2018</v>
      </c>
      <c r="C46" s="463">
        <v>2020</v>
      </c>
      <c r="D46" s="463">
        <v>2030</v>
      </c>
      <c r="E46" s="3"/>
      <c r="F46" s="463" t="s">
        <v>646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647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663</v>
      </c>
    </row>
    <row r="48" spans="1:30" ht="30" customHeight="1" x14ac:dyDescent="0.25">
      <c r="A48" s="467" t="s">
        <v>648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662</v>
      </c>
      <c r="Z48" s="557" t="s">
        <v>600</v>
      </c>
      <c r="AA48" s="558"/>
      <c r="AB48" s="558"/>
    </row>
    <row r="49" spans="1:28" x14ac:dyDescent="0.2">
      <c r="A49" s="3" t="s">
        <v>649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659</v>
      </c>
      <c r="Z49" s="3">
        <v>0.35792764326805798</v>
      </c>
    </row>
    <row r="50" spans="1:28" x14ac:dyDescent="0.2">
      <c r="A50" s="3" t="s">
        <v>650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660</v>
      </c>
      <c r="Z50" s="3">
        <v>0.5922178577259587</v>
      </c>
    </row>
    <row r="51" spans="1:28" x14ac:dyDescent="0.2">
      <c r="A51" s="3" t="s">
        <v>651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661</v>
      </c>
      <c r="Z51" s="3">
        <v>5.2470383697893502E-2</v>
      </c>
    </row>
    <row r="52" spans="1:28" x14ac:dyDescent="0.2">
      <c r="A52" s="3" t="s">
        <v>652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667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653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664</v>
      </c>
      <c r="Z53" s="557" t="s">
        <v>599</v>
      </c>
      <c r="AA53" s="558"/>
      <c r="AB53" s="558"/>
    </row>
    <row r="54" spans="1:28" x14ac:dyDescent="0.2">
      <c r="A54" s="3" t="s">
        <v>654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659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660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661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667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665</v>
      </c>
      <c r="Z59" s="557" t="s">
        <v>666</v>
      </c>
      <c r="AA59" s="558"/>
      <c r="AB59" s="558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659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660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661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667</v>
      </c>
    </row>
    <row r="64" spans="1:28" ht="15.75" thickTop="1" x14ac:dyDescent="0.25">
      <c r="A64" s="475" t="s">
        <v>270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2022-01-07T14:39:38Z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606108069419860</vt:r8>
  </property>
</Properties>
</file>