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C70C610-5AEF-4107-884C-60E061A130BC}" xr6:coauthVersionLast="45" xr6:coauthVersionMax="47" xr10:uidLastSave="{00000000-0000-0000-0000-000000000000}"/>
  <bookViews>
    <workbookView xWindow="-12780" yWindow="-16380" windowWidth="29040" windowHeight="1584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22" l="1"/>
  <c r="F10" i="22"/>
  <c r="E10" i="22"/>
  <c r="D10" i="22"/>
  <c r="C10" i="22"/>
  <c r="K9" i="22"/>
  <c r="J9" i="22"/>
  <c r="H9" i="22"/>
  <c r="G9" i="22"/>
  <c r="F9" i="22"/>
  <c r="D9" i="22"/>
  <c r="C9" i="22"/>
  <c r="B9" i="22"/>
  <c r="J9" i="21"/>
  <c r="J7" i="21"/>
  <c r="F10" i="21"/>
  <c r="E10" i="21"/>
  <c r="D10" i="21"/>
  <c r="C10" i="21"/>
  <c r="K9" i="21"/>
  <c r="I9" i="21"/>
  <c r="H9" i="21"/>
  <c r="G9" i="21"/>
  <c r="F9" i="21"/>
  <c r="D9" i="21"/>
  <c r="C9" i="21"/>
  <c r="B9" i="21"/>
  <c r="C7" i="20"/>
  <c r="D6" i="20" l="1"/>
  <c r="D7" i="20"/>
  <c r="C6" i="20"/>
  <c r="B7" i="21" s="1"/>
  <c r="D9" i="20"/>
  <c r="C9" i="20"/>
  <c r="K7" i="21" l="1"/>
  <c r="O8" i="20"/>
  <c r="I9" i="20" s="1"/>
  <c r="H8" i="20" l="1"/>
  <c r="H7" i="20"/>
  <c r="H9" i="20"/>
  <c r="I7" i="20"/>
  <c r="I8" i="20"/>
  <c r="I8" i="22"/>
  <c r="F8" i="22"/>
  <c r="E8" i="22"/>
  <c r="D8" i="22"/>
  <c r="C8" i="22"/>
  <c r="H7" i="22"/>
  <c r="G7" i="22"/>
  <c r="F7" i="22"/>
  <c r="D7" i="22"/>
  <c r="C7" i="22"/>
  <c r="F8" i="21"/>
  <c r="E8" i="21"/>
  <c r="D8" i="21"/>
  <c r="H7" i="21"/>
  <c r="G7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B7" i="22" l="1"/>
  <c r="J7" i="22"/>
  <c r="K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 Guire, Jason</author>
  </authors>
  <commentList>
    <comment ref="O8" authorId="0" shapeId="0" xr:uid="{237F8707-14AA-4DD1-B85A-3D8A7D1336C3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80% Less as per RED II directive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<sst xmlns="http://schemas.openxmlformats.org/spreadsheetml/2006/main" count="139" uniqueCount="110">
  <si>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</si>
  <si>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</si>
  <si>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</si>
  <si>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</si>
  <si>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</si>
  <si>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</si>
  <si>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</si>
  <si>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</si>
  <si>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</si>
  <si>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</si>
  <si>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</si>
  <si>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</si>
  <si>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</si>
  <si>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</si>
  <si>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</si>
  <si>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</si>
  <si>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</si>
  <si>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</si>
  <si>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</si>
  <si>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</si>
  <si>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</si>
  <si>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</si>
  <si>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</si>
  <si>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</si>
  <si>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</si>
  <si>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</si>
  <si>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</si>
  <si>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</si>
  <si>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</si>
  <si>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</si>
  <si>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</si>
  <si>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</si>
  <si>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</si>
  <si>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</si>
  <si>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</si>
  <si>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</si>
  <si>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</si>
  <si>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</si>
  <si>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</si>
  <si>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</si>
  <si>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</si>
  <si>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</si>
  <si>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</si>
  <si>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</si>
  <si>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</si>
  <si>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</si>
  <si>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</si>
  <si>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</si>
  <si>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</si>
  <si>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</si>
  <si>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</si>
  <si>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</si>
  <si>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</si>
  <si>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</si>
  <si>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</si>
  <si>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</si>
  <si>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</si>
  <si>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</si>
  <si>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</si>
  <si>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</si>
  <si>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</si>
  <si>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</si>
  <si>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</si>
  <si>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</si>
  <si>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</si>
  <si>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</si>
  <si>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</si>
  <si>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UC_desc</t>
  </si>
  <si>
    <t>Value</t>
  </si>
  <si>
    <t>*Units</t>
  </si>
  <si>
    <t>Cset_Set</t>
  </si>
  <si>
    <t>Year</t>
  </si>
  <si>
    <t>~UC_Sets: T_S:</t>
  </si>
  <si>
    <t>Other_indexes</t>
  </si>
  <si>
    <t>NET</t>
  </si>
  <si>
    <t>ENV</t>
  </si>
  <si>
    <t>Pset_PN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</si>
  <si>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</si>
  <si>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</si>
  <si>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</si>
  <si>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</si>
  <si>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</si>
  <si>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</si>
  <si>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</si>
  <si>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</si>
  <si>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</si>
  <si>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</si>
  <si>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</si>
  <si>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</si>
  <si>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</si>
  <si>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</si>
  <si>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</si>
  <si>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different gas emissions - based on % of biogas</t>
  </si>
  <si>
    <t>Jason Mc Guire (jason.mcguire@ucc.ie)</t>
  </si>
  <si>
    <t>https://www.gasnetworks.ie/biomethane-sustainability-report-2021.pdf</t>
  </si>
  <si>
    <t>Source of emission data</t>
  </si>
  <si>
    <t>agricultural production to produce up to 9.5TWh of biomethane</t>
  </si>
  <si>
    <t>RED II requires that all biomass fuels used for electricity, heating and cooling must achieve at least a 70% GHG emission saving, increasing to 80% for installations that start operating from 2026.</t>
  </si>
  <si>
    <t>Renewable Gas 2030</t>
  </si>
  <si>
    <t>Renewable Gas 2050</t>
  </si>
  <si>
    <t>Gas, Emission 2030 (kt/PJ)</t>
  </si>
  <si>
    <t>Gas, Emission 2050 (kt/PJ)</t>
  </si>
  <si>
    <t>kt/PJ</t>
  </si>
  <si>
    <t>RSDGAS</t>
  </si>
  <si>
    <t>BIOGAS</t>
  </si>
  <si>
    <t>~InputCell:1-3</t>
  </si>
  <si>
    <t>FX</t>
  </si>
  <si>
    <t>UC_FLO</t>
  </si>
  <si>
    <t>RSDCO2</t>
  </si>
  <si>
    <t>*kt/PJ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</si>
</sst>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71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19" fillId="0" borderId="0"/>
  </cellStyleXfs>
  <cellXfs count="6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0" fillId="0" borderId="6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6" fillId="0" borderId="0" xfId="1"/>
    <xf numFmtId="0" fontId="3" fillId="0" borderId="0" xfId="0" applyFont="1"/>
    <xf numFmtId="0" fontId="16" fillId="8" borderId="7" xfId="0" applyFont="1" applyFill="1" applyBorder="1"/>
    <xf numFmtId="9" fontId="14" fillId="9" borderId="8" xfId="4" quotePrefix="1" applyFont="1" applyFill="1" applyBorder="1" applyAlignment="1">
      <alignment horizontal="right" vertical="top"/>
    </xf>
    <xf numFmtId="9" fontId="14" fillId="10" borderId="4" xfId="4" quotePrefix="1" applyFont="1" applyFill="1" applyBorder="1" applyAlignment="1">
      <alignment horizontal="right" vertical="top"/>
    </xf>
    <xf numFmtId="9" fontId="14" fillId="9" borderId="4" xfId="4" quotePrefix="1" applyFont="1" applyFill="1" applyBorder="1" applyAlignment="1">
      <alignment horizontal="right" vertical="top"/>
    </xf>
    <xf numFmtId="43" fontId="14" fillId="9" borderId="8" xfId="3" quotePrefix="1" applyFont="1" applyFill="1" applyBorder="1" applyAlignment="1">
      <alignment horizontal="right" vertical="top"/>
    </xf>
    <xf numFmtId="43" fontId="14" fillId="10" borderId="4" xfId="3" quotePrefix="1" applyFont="1" applyFill="1" applyBorder="1" applyAlignment="1">
      <alignment horizontal="right" vertical="top"/>
    </xf>
    <xf numFmtId="43" fontId="14" fillId="9" borderId="4" xfId="3" quotePrefix="1" applyFont="1" applyFill="1" applyBorder="1" applyAlignment="1">
      <alignment horizontal="right" vertical="top"/>
    </xf>
    <xf numFmtId="1" fontId="11" fillId="3" borderId="9" xfId="0" applyNumberFormat="1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2" fontId="14" fillId="12" borderId="11" xfId="0" applyNumberFormat="1" applyFont="1" applyFill="1" applyBorder="1"/>
    <xf numFmtId="171" fontId="14" fillId="9" borderId="8" xfId="3" quotePrefix="1" applyNumberFormat="1" applyFont="1" applyFill="1" applyBorder="1" applyAlignment="1">
      <alignment horizontal="right" vertical="top"/>
    </xf>
    <xf numFmtId="171" fontId="14" fillId="10" borderId="4" xfId="3" quotePrefix="1" applyNumberFormat="1" applyFont="1" applyFill="1" applyBorder="1" applyAlignment="1">
      <alignment horizontal="right" vertical="top"/>
    </xf>
    <xf numFmtId="171" fontId="14" fillId="9" borderId="4" xfId="3" quotePrefix="1" applyNumberFormat="1" applyFont="1" applyFill="1" applyBorder="1" applyAlignment="1">
      <alignment horizontal="right" vertical="top"/>
    </xf>
    <xf numFmtId="9" fontId="0" fillId="0" borderId="6" xfId="4" applyFont="1" applyBorder="1"/>
    <xf numFmtId="0" fontId="0" fillId="0" borderId="12" xfId="0" applyBorder="1"/>
    <xf numFmtId="9" fontId="0" fillId="0" borderId="13" xfId="4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7">
    <cellStyle name="Comma" xfId="3" builtinId="3"/>
    <cellStyle name="Hyperlink" xfId="1" builtinId="8"/>
    <cellStyle name="Normal" xfId="0" builtinId="0"/>
    <cellStyle name="Normal 10" xfId="5" xr:uid="{FC688C09-C597-4CC8-83E6-57B88EDDD7C2}"/>
    <cellStyle name="Normal 2" xfId="2" xr:uid="{1494D221-184F-44A1-8114-99305ADA40B4}"/>
    <cellStyle name="Normale_Scen_UC_IND-StrucConst" xfId="6" xr:uid="{75F5EAC1-F416-494D-8CB3-FB9827377C41}"/>
    <cellStyle name="Percent" xfId="4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asnetworks.ie/biomethane-sustainability-report-2021.pdf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9" sqref="B29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33" t="s">
        <v>78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1"/>
      <c r="B17" s="21"/>
      <c r="C17" s="21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4" t="s">
        <v>79</v>
      </c>
      <c r="B19" s="32" t="s">
        <v>90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4" t="s">
        <v>80</v>
      </c>
      <c r="B20" s="32" t="s">
        <v>91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4" t="s">
        <v>81</v>
      </c>
      <c r="B21" s="27" t="s">
        <v>92</v>
      </c>
      <c r="C21" s="27"/>
      <c r="D21" s="27"/>
      <c r="E21" s="25"/>
      <c r="F21" s="25"/>
      <c r="G21" s="26"/>
      <c r="H21" s="26"/>
      <c r="I21" s="26"/>
      <c r="J21" s="26"/>
      <c r="K21" s="26"/>
      <c r="L21" s="2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4"/>
      <c r="B22" s="27"/>
      <c r="C22" s="27"/>
      <c r="D22" s="27"/>
      <c r="E22" s="25"/>
      <c r="F22" s="25"/>
      <c r="G22" s="26"/>
      <c r="H22" s="26"/>
      <c r="I22" s="26"/>
      <c r="J22" s="26"/>
      <c r="K22" s="26"/>
      <c r="L22" s="2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4" t="s">
        <v>82</v>
      </c>
      <c r="B23" s="32" t="s">
        <v>93</v>
      </c>
      <c r="C23" s="32"/>
      <c r="D23" s="3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4"/>
      <c r="B24" s="27"/>
      <c r="C24" s="27"/>
      <c r="D24" s="2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4"/>
      <c r="B25" s="27"/>
      <c r="C25" s="27"/>
      <c r="D25" s="2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4" t="s">
        <v>83</v>
      </c>
      <c r="B26" s="32" t="s">
        <v>93</v>
      </c>
      <c r="C26" s="32"/>
      <c r="D26" s="3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4"/>
      <c r="B27" s="27"/>
      <c r="C27" s="27"/>
      <c r="D27" s="2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4"/>
      <c r="B28" s="27"/>
      <c r="C28" s="27"/>
      <c r="D28" s="2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4" t="s">
        <v>84</v>
      </c>
      <c r="B29" s="28">
        <v>1</v>
      </c>
      <c r="C29" s="27"/>
      <c r="D29" s="2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4" t="s">
        <v>85</v>
      </c>
      <c r="B30" s="34" t="s">
        <v>86</v>
      </c>
      <c r="C30" s="32"/>
      <c r="D30" s="32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4" t="s">
        <v>87</v>
      </c>
      <c r="B31" s="32" t="s">
        <v>88</v>
      </c>
      <c r="C31" s="32"/>
      <c r="D31" s="32"/>
      <c r="E31" s="29"/>
      <c r="F31" s="2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0"/>
      <c r="B32" s="31" t="s">
        <v>89</v>
      </c>
      <c r="C32" s="30"/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18"/>
  <sheetViews>
    <sheetView workbookViewId="0">
      <selection activeCell="C8" sqref="C8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21.5703125" style="8" customWidth="1"/>
    <col min="4" max="4" width="22" style="8" customWidth="1"/>
    <col min="5" max="6" width="9.140625" style="8"/>
    <col min="7" max="7" width="7.7109375" style="8" customWidth="1"/>
    <col min="8" max="8" width="21.5703125" style="8" customWidth="1"/>
    <col min="9" max="9" width="22.28515625" style="8" customWidth="1"/>
    <col min="10" max="10" width="9.140625" style="8"/>
    <col min="11" max="11" width="20.140625" style="8" customWidth="1"/>
    <col min="12" max="12" width="18.42578125" style="8" customWidth="1"/>
    <col min="13" max="13" width="20.5703125" style="8" customWidth="1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D1"/>
      <c r="E1"/>
      <c r="F1"/>
      <c r="G1"/>
      <c r="H1"/>
      <c r="J1"/>
      <c r="K1"/>
      <c r="M1"/>
      <c r="N1"/>
      <c r="O1"/>
      <c r="P1"/>
      <c r="Q1"/>
      <c r="R1"/>
    </row>
    <row r="2" spans="1:18" x14ac:dyDescent="0.25">
      <c r="B2" s="8" t="s">
        <v>105</v>
      </c>
      <c r="N2" s="36" t="s">
        <v>95</v>
      </c>
    </row>
    <row r="3" spans="1:18" x14ac:dyDescent="0.25">
      <c r="B3" s="8">
        <v>1</v>
      </c>
      <c r="N3" s="35" t="s">
        <v>94</v>
      </c>
    </row>
    <row r="4" spans="1:18" x14ac:dyDescent="0.25">
      <c r="A4"/>
      <c r="B4"/>
      <c r="C4"/>
      <c r="D4"/>
      <c r="E4"/>
      <c r="F4"/>
      <c r="G4"/>
      <c r="H4"/>
      <c r="J4"/>
      <c r="K4"/>
      <c r="M4"/>
      <c r="N4" t="s">
        <v>97</v>
      </c>
    </row>
    <row r="5" spans="1:18" ht="15.75" thickBot="1" x14ac:dyDescent="0.3">
      <c r="A5"/>
      <c r="B5"/>
      <c r="C5"/>
      <c r="D5"/>
      <c r="E5"/>
      <c r="F5"/>
      <c r="G5"/>
      <c r="H5"/>
      <c r="J5"/>
      <c r="K5"/>
      <c r="M5"/>
      <c r="N5" t="s">
        <v>96</v>
      </c>
      <c r="Q5"/>
      <c r="R5"/>
    </row>
    <row r="6" spans="1:18" ht="15.75" thickBot="1" x14ac:dyDescent="0.3">
      <c r="A6"/>
      <c r="B6" s="57" t="s">
        <v>61</v>
      </c>
      <c r="C6" s="58" t="str">
        <f xml:space="preserve"> _xlfn.TEXTJOIN("_",TRUE,"UC","Biogas",K7,C8)</f>
        <v>UC_Biogas_0.1_2030</v>
      </c>
      <c r="D6" s="59" t="str">
        <f xml:space="preserve"> _xlfn.TEXTJOIN("_",TRUE,"UC","Biogas",L7,D8)</f>
        <v>UC_Biogas_0.3_2050</v>
      </c>
      <c r="E6"/>
      <c r="F6"/>
      <c r="G6" s="37" t="s">
        <v>77</v>
      </c>
      <c r="H6" s="37" t="s">
        <v>100</v>
      </c>
      <c r="I6" s="37" t="s">
        <v>101</v>
      </c>
      <c r="J6"/>
      <c r="K6" s="37" t="s">
        <v>98</v>
      </c>
      <c r="L6" s="37" t="s">
        <v>99</v>
      </c>
      <c r="M6"/>
      <c r="N6" s="44" t="s">
        <v>103</v>
      </c>
      <c r="O6" s="44" t="s">
        <v>104</v>
      </c>
      <c r="P6"/>
      <c r="Q6"/>
      <c r="R6"/>
    </row>
    <row r="7" spans="1:18" ht="15.75" thickBot="1" x14ac:dyDescent="0.3">
      <c r="A7"/>
      <c r="B7" s="51" t="s">
        <v>67</v>
      </c>
      <c r="C7" s="50" t="str">
        <f xml:space="preserve"> _xlfn.TEXTJOIN(" ",TRUE,"BioGas share",K7,C8)</f>
        <v>BioGas share 0.1 2030</v>
      </c>
      <c r="D7" s="52" t="str">
        <f xml:space="preserve"> _xlfn.TEXTJOIN(" ",TRUE,"BioGas share",L7,D8)</f>
        <v>BioGas share 0.3 2050</v>
      </c>
      <c r="E7"/>
      <c r="F7"/>
      <c r="G7" s="47">
        <v>1</v>
      </c>
      <c r="H7" s="41">
        <f>$N$8*(1-K7)+$O$8*K7</f>
        <v>51.280800000000006</v>
      </c>
      <c r="I7" s="41">
        <f>$N$8*(1-L7)+$O$8*K7</f>
        <v>40.132800000000003</v>
      </c>
      <c r="J7"/>
      <c r="K7" s="38">
        <v>0.1</v>
      </c>
      <c r="L7" s="38">
        <v>0.3</v>
      </c>
      <c r="M7"/>
      <c r="N7" s="45" t="s">
        <v>102</v>
      </c>
      <c r="O7" s="45" t="s">
        <v>102</v>
      </c>
      <c r="P7"/>
      <c r="Q7"/>
      <c r="R7"/>
    </row>
    <row r="8" spans="1:18" x14ac:dyDescent="0.25">
      <c r="B8" s="51" t="s">
        <v>71</v>
      </c>
      <c r="C8" s="16">
        <v>2030</v>
      </c>
      <c r="D8" s="53">
        <v>2050</v>
      </c>
      <c r="G8" s="48">
        <v>2</v>
      </c>
      <c r="H8" s="42">
        <f>$N$8*(1-K8)+$O$8*K8</f>
        <v>46.821600000000004</v>
      </c>
      <c r="I8" s="42">
        <f>$N$8*(1-L8)+$O$8*K8</f>
        <v>35.6736</v>
      </c>
      <c r="K8" s="39">
        <v>0.2</v>
      </c>
      <c r="L8" s="39">
        <v>0.4</v>
      </c>
      <c r="N8" s="46">
        <v>55.74</v>
      </c>
      <c r="O8" s="46">
        <f>N8*0.2</f>
        <v>11.148000000000001</v>
      </c>
    </row>
    <row r="9" spans="1:18" x14ac:dyDescent="0.25">
      <c r="B9" s="51" t="s">
        <v>68</v>
      </c>
      <c r="C9" s="16">
        <f>VLOOKUP(B3,G6:I9,2,FALSE)</f>
        <v>51.280800000000006</v>
      </c>
      <c r="D9" s="53">
        <f>VLOOKUP(B3,G6:I9,3,FALSE)</f>
        <v>40.132800000000003</v>
      </c>
      <c r="G9" s="49">
        <v>3</v>
      </c>
      <c r="H9" s="43">
        <f>$N$8*(1-K9)+$O$8*K9</f>
        <v>42.362400000000001</v>
      </c>
      <c r="I9" s="43">
        <f>$N$8*(1-L9)+$O$8*K9</f>
        <v>28.427399999999999</v>
      </c>
      <c r="K9" s="40">
        <v>0.3</v>
      </c>
      <c r="L9" s="40">
        <v>0.55000000000000004</v>
      </c>
    </row>
    <row r="10" spans="1:18" x14ac:dyDescent="0.25">
      <c r="B10" s="51" t="s">
        <v>76</v>
      </c>
      <c r="C10" s="16" t="s">
        <v>108</v>
      </c>
      <c r="D10" s="53" t="s">
        <v>108</v>
      </c>
    </row>
    <row r="11" spans="1:18" x14ac:dyDescent="0.25">
      <c r="B11" s="51" t="s">
        <v>62</v>
      </c>
      <c r="C11" s="16" t="s">
        <v>103</v>
      </c>
      <c r="D11" s="53" t="s">
        <v>103</v>
      </c>
    </row>
    <row r="12" spans="1:18" x14ac:dyDescent="0.25">
      <c r="B12" s="51" t="s">
        <v>70</v>
      </c>
      <c r="C12" s="16" t="s">
        <v>75</v>
      </c>
      <c r="D12" s="53" t="s">
        <v>75</v>
      </c>
    </row>
    <row r="13" spans="1:18" x14ac:dyDescent="0.25">
      <c r="B13" s="51" t="s">
        <v>73</v>
      </c>
      <c r="C13" s="16" t="s">
        <v>74</v>
      </c>
      <c r="D13" s="53" t="s">
        <v>74</v>
      </c>
    </row>
    <row r="14" spans="1:18" x14ac:dyDescent="0.25">
      <c r="B14" s="51" t="s">
        <v>0</v>
      </c>
      <c r="C14" s="16" t="s">
        <v>106</v>
      </c>
      <c r="D14" s="53" t="s">
        <v>106</v>
      </c>
    </row>
    <row r="15" spans="1:18" ht="15.75" thickBot="1" x14ac:dyDescent="0.3">
      <c r="B15" s="54" t="s">
        <v>107</v>
      </c>
      <c r="C15" s="55">
        <v>1</v>
      </c>
      <c r="D15" s="56">
        <v>1</v>
      </c>
    </row>
    <row r="16" spans="1:18" x14ac:dyDescent="0.25">
      <c r="A16"/>
      <c r="B16"/>
      <c r="C16"/>
      <c r="D16"/>
      <c r="E16"/>
      <c r="F16"/>
      <c r="G16"/>
      <c r="H16"/>
      <c r="J16"/>
      <c r="K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M18"/>
      <c r="N18"/>
      <c r="O18"/>
      <c r="P18"/>
      <c r="Q18"/>
      <c r="R18"/>
    </row>
  </sheetData>
  <hyperlinks>
    <hyperlink ref="N3" r:id="rId1" xr:uid="{F1FA65F4-7A18-4760-93C8-07492146EEED}"/>
  </hyperlinks>
  <pageMargins left="0.7" right="0.7" top="0.75" bottom="0.75" header="0.3" footer="0.3"/>
  <pageSetup orientation="portrait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0"/>
  <sheetViews>
    <sheetView workbookViewId="0">
      <selection activeCell="J6" sqref="J6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2" style="8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72</v>
      </c>
    </row>
    <row r="4" spans="1:11" x14ac:dyDescent="0.25">
      <c r="H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107</v>
      </c>
      <c r="J5" s="10" t="s">
        <v>65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109</v>
      </c>
      <c r="K6" s="15"/>
    </row>
    <row r="7" spans="1:11" x14ac:dyDescent="0.25">
      <c r="B7" s="8" t="str">
        <f>VLOOKUP($B$5, config!$B$6:$C$15,2,FALSE) &amp; "_Single"</f>
        <v>UC_Biogas_0.1_2030_Single</v>
      </c>
      <c r="C7" s="8" t="str">
        <f>VLOOKUP(C$5, config!$B$6:$C$15,2,FALSE)</f>
        <v>RSDGAS</v>
      </c>
      <c r="D7" s="8" t="str">
        <f>VLOOKUP(D$5, config!$B$6:$C$15,2,FALSE)</f>
        <v>ENV</v>
      </c>
      <c r="F7" s="8">
        <f>VLOOKUP(F$5, config!$B$6:$C$15,2,FALSE)</f>
        <v>2030</v>
      </c>
      <c r="G7" s="8" t="str">
        <f>VLOOKUP(G$5, config!$B$6:$C$15,2,FALSE)</f>
        <v>NET</v>
      </c>
      <c r="H7" s="8" t="str">
        <f>VLOOKUP(H$5, config!$B$6:$C$15,2,FALSE)</f>
        <v>FX</v>
      </c>
      <c r="I7" s="8">
        <f>VLOOKUP(I$5, config!$B$6:$C$15,2,FALSE)</f>
        <v>1</v>
      </c>
      <c r="J7" s="8">
        <f>VLOOKUP("Value", config!$B$6:$C$15,2,FALSE)</f>
        <v>51.280800000000006</v>
      </c>
      <c r="K7" s="8" t="str">
        <f>VLOOKUP($K$5, config!$B$6:$C$15,2,FALSE) &amp; " - Single"</f>
        <v>BioGas share 0.1 2030 - Single</v>
      </c>
    </row>
    <row r="8" spans="1:11" x14ac:dyDescent="0.25">
      <c r="C8" s="8" t="str">
        <f>VLOOKUP(C$5, config!$B$6:$C$15,2,FALSE)</f>
        <v>RSDGAS</v>
      </c>
      <c r="D8" s="8" t="str">
        <f>VLOOKUP(D$5, config!$B$6:$C$15,2,FALSE)</f>
        <v>ENV</v>
      </c>
      <c r="E8" s="8" t="str">
        <f>VLOOKUP(E$5, config!$B$6:$C$15,2,FALSE)</f>
        <v>RSDCO2</v>
      </c>
      <c r="F8" s="8">
        <f>VLOOKUP(F$5, config!$B$6:$C$15,2,FALSE)</f>
        <v>2030</v>
      </c>
    </row>
    <row r="9" spans="1:11" x14ac:dyDescent="0.25">
      <c r="B9" s="8" t="str">
        <f>VLOOKUP($B$5, config!$B$6:$D$16,3,FALSE) &amp; "_Single"</f>
        <v>UC_Biogas_0.3_2050_Single</v>
      </c>
      <c r="C9" s="8" t="str">
        <f>VLOOKUP(C$5, config!$B$6:$D$15,3,FALSE)</f>
        <v>RSDGAS</v>
      </c>
      <c r="D9" s="8" t="str">
        <f>VLOOKUP(D$5, config!$B$6:$D$15,3,FALSE)</f>
        <v>ENV</v>
      </c>
      <c r="F9" s="8">
        <f>VLOOKUP(F$5, config!$B$6:$D$15,3,FALSE)</f>
        <v>2050</v>
      </c>
      <c r="G9" s="8" t="str">
        <f>VLOOKUP(G$5, config!$B$6:$D$15,3,FALSE)</f>
        <v>NET</v>
      </c>
      <c r="H9" s="8" t="str">
        <f>VLOOKUP(H$5, config!$B$6:$D$15,3,FALSE)</f>
        <v>FX</v>
      </c>
      <c r="I9" s="8">
        <f>VLOOKUP(I$5, config!$B$6:$D$15,3,FALSE)</f>
        <v>1</v>
      </c>
      <c r="J9" s="8">
        <f>VLOOKUP("Value", config!$B$6:$D$15,3,FALSE)</f>
        <v>40.132800000000003</v>
      </c>
      <c r="K9" s="8" t="str">
        <f>VLOOKUP($K$5, config!$B$6:$D$15,3,FALSE) &amp; " - Single"</f>
        <v>BioGas share 0.3 2050 - Single</v>
      </c>
    </row>
    <row r="10" spans="1:11" x14ac:dyDescent="0.25">
      <c r="C10" s="8" t="str">
        <f>VLOOKUP(C$5, config!$B$6:$D$15,3,FALSE)</f>
        <v>RSDGAS</v>
      </c>
      <c r="D10" s="8" t="str">
        <f>VLOOKUP(D$5, config!$B$6:$D$15,3,FALSE)</f>
        <v>ENV</v>
      </c>
      <c r="E10" s="8" t="str">
        <f>VLOOKUP(E$5, config!$B$6:$D$15,3,FALSE)</f>
        <v>RSDCO2</v>
      </c>
      <c r="F10" s="8">
        <f>VLOOKUP(F$5, config!$B$6:$D$15,3,FALSE)</f>
        <v>2050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10"/>
  <sheetViews>
    <sheetView workbookViewId="0">
      <selection activeCell="J6" sqref="J6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customWidth="1"/>
    <col min="10" max="10" width="12.5703125" style="8" customWidth="1"/>
    <col min="11" max="11" width="36.5703125" style="8" bestFit="1" customWidth="1"/>
    <col min="12" max="16384" width="9.140625" style="8"/>
  </cols>
  <sheetData>
    <row r="1" spans="1:11" x14ac:dyDescent="0.25">
      <c r="A1" s="8" t="s">
        <v>66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72</v>
      </c>
    </row>
    <row r="4" spans="1:11" x14ac:dyDescent="0.25">
      <c r="H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107</v>
      </c>
      <c r="J5" s="10" t="s">
        <v>65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109</v>
      </c>
      <c r="K6" s="9"/>
    </row>
    <row r="7" spans="1:11" x14ac:dyDescent="0.25">
      <c r="B7" s="8" t="str">
        <f>VLOOKUP(B$5, config!$B$6:$C$15,2,FALSE) &amp; "_Multi"</f>
        <v>UC_Biogas_0.1_2030_Multi</v>
      </c>
      <c r="C7" s="8" t="str">
        <f>VLOOKUP(C$5, config!$B$6:$C$15,2,FALSE)</f>
        <v>RSDGAS</v>
      </c>
      <c r="D7" s="8" t="str">
        <f>VLOOKUP(D$5, config!$B$6:$C$15,2,FALSE)</f>
        <v>ENV</v>
      </c>
      <c r="F7" s="8">
        <f>VLOOKUP(F$5, config!$B$6:$C$15,2,FALSE)</f>
        <v>2030</v>
      </c>
      <c r="G7" s="8" t="str">
        <f>VLOOKUP(G$5, config!$B$6:$C$15,2,FALSE)</f>
        <v>NET</v>
      </c>
      <c r="H7" s="8" t="str">
        <f>VLOOKUP(H$5, config!$B$6:$C$15,2,FALSE)</f>
        <v>FX</v>
      </c>
      <c r="J7" s="8">
        <f>VLOOKUP("Value", config!$B$6:$C$15,2,FALSE)*1000</f>
        <v>51280.800000000003</v>
      </c>
      <c r="K7" s="8" t="str">
        <f>VLOOKUP(K$5, config!$B$6:$C$15,2,FALSE) &amp; " - Multi"</f>
        <v>BioGas share 0.1 2030 - Multi</v>
      </c>
    </row>
    <row r="8" spans="1:11" x14ac:dyDescent="0.25">
      <c r="C8" s="8" t="str">
        <f>VLOOKUP(C$5, config!$B$6:$C$15,2,FALSE)</f>
        <v>RSDGAS</v>
      </c>
      <c r="D8" s="8" t="str">
        <f>VLOOKUP(D$5, config!$B$6:$C$15,2,FALSE)</f>
        <v>ENV</v>
      </c>
      <c r="E8" s="8" t="str">
        <f>VLOOKUP(E$5, config!$B$6:$C$15,2,FALSE)</f>
        <v>RSDCO2</v>
      </c>
      <c r="F8" s="8">
        <f>VLOOKUP(F$5, config!$B$6:$C$15,2,FALSE)</f>
        <v>2030</v>
      </c>
      <c r="I8" s="8">
        <f>VLOOKUP(I$5, config!$B$6:$C$15,2,FALSE)</f>
        <v>1</v>
      </c>
    </row>
    <row r="9" spans="1:11" x14ac:dyDescent="0.25">
      <c r="B9" s="8" t="str">
        <f>VLOOKUP(B$5, config!$B$6:$D$15,3,FALSE) &amp; "_Multi"</f>
        <v>UC_Biogas_0.3_2050_Multi</v>
      </c>
      <c r="C9" s="8" t="str">
        <f>VLOOKUP(C$5, config!$B$6:$D$15,3,FALSE)</f>
        <v>RSDGAS</v>
      </c>
      <c r="D9" s="8" t="str">
        <f>VLOOKUP(D$5, config!$B$6:$D$15,3,FALSE)</f>
        <v>ENV</v>
      </c>
      <c r="F9" s="8">
        <f>VLOOKUP(F$5, config!$B$6:$D$15,3,FALSE)</f>
        <v>2050</v>
      </c>
      <c r="G9" s="8" t="str">
        <f>VLOOKUP(G$5, config!$B$6:$D$15,3,FALSE)</f>
        <v>NET</v>
      </c>
      <c r="H9" s="8" t="str">
        <f>VLOOKUP(H$5, config!$B$6:$D$15,3,FALSE)</f>
        <v>FX</v>
      </c>
      <c r="J9" s="8">
        <f>VLOOKUP("Value", config!$B$6:$D$15,3,FALSE)*1000</f>
        <v>40132.800000000003</v>
      </c>
      <c r="K9" s="8" t="str">
        <f>VLOOKUP(K$5, config!$B$6:$D$15,3,FALSE) &amp; " - Multi"</f>
        <v>BioGas share 0.3 2050 - Multi</v>
      </c>
    </row>
    <row r="10" spans="1:11" x14ac:dyDescent="0.25">
      <c r="C10" s="8" t="str">
        <f>VLOOKUP(C$5, config!$B$6:$D$15,3,FALSE)</f>
        <v>RSDGAS</v>
      </c>
      <c r="D10" s="8" t="str">
        <f>VLOOKUP(D$5, config!$B$6:$D$15,3,FALSE)</f>
        <v>ENV</v>
      </c>
      <c r="E10" s="8" t="str">
        <f>VLOOKUP(E$5, config!$B$6:$D$15,3,FALSE)</f>
        <v>RSDCO2</v>
      </c>
      <c r="F10" s="8">
        <f>VLOOKUP(F$5, config!$B$6:$D$15,3,FALSE)</f>
        <v>2050</v>
      </c>
      <c r="I10" s="8">
        <f>VLOOKUP(I$5, config!$B$6:$D$15,3,FALSE)</f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2021-11-20T17:14:33Z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543712854385375</vt:r8>
  </property>
</Properties>
</file>