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D:\TIMES-models\TIM\"/>
    </mc:Choice>
  </mc:AlternateContent>
  <xr:revisionPtr revIDLastSave="0" documentId="13_ncr:1_{56A617D2-1C61-4662-B18D-A7D862FDA8A8}" xr6:coauthVersionLast="47" xr6:coauthVersionMax="47" xr10:uidLastSave="{00000000-0000-0000-0000-000000000000}"/>
  <bookViews>
    <workbookView xWindow="43080" yWindow="-120" windowWidth="29040" windowHeight="15720" activeTab="6"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0" i="58" l="1"/>
  <c r="E31" i="58"/>
  <c r="C404" i="43"/>
  <c r="G695" i="43"/>
  <c r="G693" i="43"/>
  <c r="F695" i="43"/>
  <c r="F693" i="43"/>
  <c r="E696" i="43"/>
  <c r="E694" i="43"/>
  <c r="E695" i="43"/>
  <c r="E693" i="43"/>
  <c r="D694" i="43"/>
  <c r="D695" i="43"/>
  <c r="D693" i="43"/>
  <c r="C693" i="43"/>
  <c r="C695" i="43"/>
  <c r="C405" i="43"/>
  <c r="J14" i="65" l="1"/>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H26" i="56" l="1"/>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BN49" i="59"/>
  <c r="C694" i="43"/>
  <c r="F694" i="43" s="1"/>
  <c r="C696" i="43"/>
  <c r="G694" i="4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<sst xmlns="http://schemas.openxmlformats.org/spreadsheetml/2006/main" count="3199" uniqueCount="1152">
  <si>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</si>
  <si>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</si>
  <si>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</si>
  <si>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</si>
  <si>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</si>
  <si>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</si>
  <si>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</si>
  <si>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</si>
  <si>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</si>
  <si>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</si>
  <si>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</si>
  <si>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</si>
  <si>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</si>
  <si>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</si>
  <si>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</si>
  <si>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</si>
  <si>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</si>
  <si>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</si>
  <si>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</si>
  <si>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</si>
  <si>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</si>
  <si>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</si>
  <si>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</si>
  <si>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</si>
  <si>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</si>
  <si>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</si>
  <si>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</si>
  <si>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</si>
  <si>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</si>
  <si>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</si>
  <si>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</si>
  <si>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</si>
  <si>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</si>
  <si>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</si>
  <si>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</si>
  <si>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</si>
  <si>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</si>
  <si>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</si>
  <si>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</si>
  <si>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</si>
  <si>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</si>
  <si>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</si>
  <si>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</si>
  <si>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</si>
  <si>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</si>
  <si>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</si>
  <si>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</si>
  <si>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</si>
  <si>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</si>
  <si>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</si>
  <si>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</si>
  <si>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</si>
  <si>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</si>
  <si>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</si>
  <si>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</si>
  <si>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</si>
  <si>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</si>
  <si>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</si>
  <si>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</si>
  <si>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</si>
  <si>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</si>
  <si>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</si>
  <si>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</si>
  <si>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</si>
  <si>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</si>
  <si>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</si>
  <si>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</si>
  <si>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</si>
  <si>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</si>
  <si>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</si>
  <si>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</si>
  <si>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</si>
  <si>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</si>
  <si>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</si>
  <si>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</si>
  <si>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</si>
  <si>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</si>
  <si>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</si>
  <si>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</si>
  <si>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</si>
  <si>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</si>
  <si>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</si>
  <si>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</si>
  <si>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</si>
  <si>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</si>
  <si>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</si>
  <si>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</si>
  <si>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</si>
  <si>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</si>
  <si>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</si>
  <si>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</si>
  <si>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</si>
  <si>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</si>
  <si>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</si>
  <si>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</si>
  <si>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</si>
  <si>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</si>
  <si>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</si>
  <si>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</si>
  <si>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</si>
  <si>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</si>
  <si>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</si>
  <si>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</si>
  <si>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</si>
  <si>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</si>
  <si>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</si>
  <si>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</si>
  <si>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</si>
  <si>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</si>
  <si>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</si>
  <si>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</si>
  <si>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</si>
  <si>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</si>
  <si>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</si>
  <si>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</si>
  <si>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</si>
  <si>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</si>
  <si>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</si>
  <si>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</si>
  <si>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</si>
  <si>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</si>
  <si>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</si>
  <si>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</si>
  <si>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</si>
  <si>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</si>
  <si>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</si>
  <si>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</si>
  <si>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</si>
  <si>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</si>
  <si>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</si>
  <si>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</si>
  <si>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</si>
  <si>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</si>
  <si>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</si>
  <si>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</si>
  <si>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</si>
  <si>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</si>
  <si>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</si>
  <si>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</si>
  <si>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</si>
  <si>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</si>
  <si>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</si>
  <si>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</si>
  <si>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</si>
  <si>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</si>
  <si>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</si>
  <si>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</si>
  <si>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</si>
  <si>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</si>
  <si>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</si>
  <si>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</si>
  <si>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</si>
  <si>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</si>
  <si>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</si>
  <si>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</si>
  <si>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</si>
  <si>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</si>
  <si>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</si>
  <si>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</si>
  <si>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</si>
  <si>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</si>
  <si>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</si>
  <si>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</si>
  <si>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</si>
  <si>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</si>
  <si>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</si>
  <si>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</si>
  <si>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</si>
  <si>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</si>
  <si>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</si>
  <si>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</si>
  <si>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</si>
  <si>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</si>
  <si>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</si>
  <si>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</si>
  <si>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</si>
  <si>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</si>
  <si>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</si>
  <si>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</si>
  <si>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</si>
  <si>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</si>
  <si>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</si>
  <si>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</si>
  <si>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</si>
  <si>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</si>
  <si>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</si>
  <si>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</si>
  <si>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</si>
  <si>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</si>
  <si>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</si>
  <si>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</si>
  <si>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</si>
  <si>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</si>
  <si>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</si>
  <si>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</si>
  <si>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</si>
  <si>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</si>
  <si>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</si>
  <si>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</si>
  <si>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</si>
  <si>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</si>
  <si>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</si>
  <si>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</si>
  <si>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</si>
  <si>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</si>
  <si>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</si>
  <si>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</si>
  <si>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</si>
  <si>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</si>
  <si>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</si>
  <si>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</si>
  <si>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</si>
  <si>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</si>
  <si>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</si>
  <si>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</si>
  <si>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</si>
  <si>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</si>
  <si>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</si>
  <si>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</si>
  <si>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</si>
  <si>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</si>
  <si>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</si>
  <si>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</si>
  <si>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</si>
  <si>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</si>
  <si>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</si>
  <si>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</si>
  <si>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</si>
  <si>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</si>
  <si>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</si>
  <si>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</si>
  <si>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</si>
  <si>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</si>
  <si>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</si>
  <si>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</si>
  <si>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</si>
  <si>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</si>
  <si>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</si>
  <si>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</si>
  <si>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</si>
  <si>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</si>
  <si>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</si>
  <si>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</si>
  <si>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</si>
  <si>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</si>
  <si>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</si>
  <si>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</si>
  <si>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</si>
  <si>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</si>
  <si>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</si>
  <si>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</si>
  <si>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</si>
  <si>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</si>
  <si>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</si>
  <si>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</si>
  <si>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</si>
  <si>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</si>
  <si>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</si>
  <si>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</si>
  <si>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</si>
  <si>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</si>
  <si>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</si>
  <si>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</si>
  <si>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</si>
  <si>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</si>
  <si>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</si>
  <si>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</si>
  <si>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</si>
  <si>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</si>
  <si>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</si>
  <si>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</si>
  <si>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</si>
  <si>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</si>
  <si>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</si>
  <si>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</si>
  <si>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</si>
  <si>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</si>
  <si>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</si>
  <si>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</si>
  <si>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</si>
  <si>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</si>
  <si>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</si>
  <si>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</si>
  <si>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</si>
  <si>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</si>
  <si>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</si>
  <si>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</si>
  <si>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</si>
  <si>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</si>
  <si>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</si>
  <si>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</si>
  <si>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</si>
  <si>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</si>
  <si>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</si>
  <si>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</si>
  <si>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</si>
  <si>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</si>
  <si>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</si>
  <si>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</si>
  <si>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</si>
  <si>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</si>
  <si>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</si>
  <si>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</si>
  <si>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</si>
  <si>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</si>
  <si>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</si>
  <si>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</si>
  <si>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</si>
  <si>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</si>
  <si>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</si>
  <si>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</si>
  <si>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</si>
  <si>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</si>
  <si>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</si>
  <si>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</si>
  <si>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</si>
  <si>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</si>
  <si>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</si>
  <si>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</si>
  <si>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</si>
  <si>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</si>
  <si>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</si>
  <si>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</si>
  <si>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</si>
  <si>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</si>
  <si>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</si>
  <si>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</si>
  <si>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</si>
  <si>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</si>
  <si>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</si>
  <si>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</si>
  <si>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</si>
  <si>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</si>
  <si>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</si>
  <si>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</si>
  <si>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</si>
  <si>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</si>
  <si>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</si>
  <si>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</si>
  <si>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</si>
  <si>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</si>
  <si>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</si>
  <si>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</si>
  <si>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</si>
  <si>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</si>
  <si>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</si>
  <si>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</si>
  <si>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</si>
  <si>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</si>
  <si>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</si>
  <si>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</si>
  <si>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</si>
  <si>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</si>
  <si>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</si>
  <si>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</si>
  <si>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</si>
  <si>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</si>
  <si>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</si>
  <si>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</si>
  <si>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</si>
  <si>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</si>
  <si>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</si>
  <si>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</si>
  <si>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</si>
  <si>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</si>
  <si>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</si>
  <si>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</si>
  <si>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</si>
  <si>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</si>
  <si>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</si>
  <si>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</si>
  <si>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</si>
  <si>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</si>
  <si>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</si>
  <si>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</si>
  <si>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</si>
  <si>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</si>
  <si>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</si>
  <si>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</si>
  <si>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</si>
  <si>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</si>
  <si>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</si>
  <si>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</si>
  <si>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</si>
  <si>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</si>
  <si>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</si>
  <si>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</si>
  <si>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</si>
  <si>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</si>
  <si>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</si>
  <si>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</si>
  <si>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</si>
  <si>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</si>
  <si>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</si>
  <si>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</si>
  <si>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</si>
  <si>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</si>
  <si>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</si>
  <si>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</si>
  <si>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</si>
  <si>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</si>
  <si>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</si>
  <si>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</si>
  <si>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</si>
  <si>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</si>
  <si>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</si>
  <si>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</si>
  <si>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</si>
  <si>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</si>
  <si>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</si>
  <si>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</si>
  <si>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</si>
  <si>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</si>
  <si>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</si>
  <si>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</si>
  <si>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</si>
  <si>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</si>
  <si>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</si>
  <si>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</si>
  <si>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</si>
  <si>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</si>
  <si>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</si>
  <si>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</si>
  <si>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</si>
  <si>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</si>
  <si>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</si>
  <si>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</si>
  <si>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</si>
  <si>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</si>
  <si>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</si>
  <si>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</si>
  <si>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</si>
  <si>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</si>
  <si>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</si>
  <si>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</si>
  <si>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</si>
  <si>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</si>
  <si>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</si>
  <si>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</si>
  <si>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</si>
  <si>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</si>
  <si>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</si>
  <si>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</si>
  <si>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</si>
  <si>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</si>
  <si>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</si>
  <si>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</si>
  <si>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</si>
  <si>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</si>
  <si>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</si>
  <si>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</si>
  <si>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</si>
  <si>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</si>
  <si>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</si>
  <si>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</si>
  <si>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</si>
  <si>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</si>
  <si>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</si>
  <si>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</si>
  <si>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</si>
  <si>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</si>
  <si>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</si>
  <si>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</si>
  <si>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</si>
  <si>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</si>
  <si>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</si>
  <si>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</si>
  <si>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</si>
  <si>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</si>
  <si>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</si>
  <si>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</si>
  <si>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</si>
  <si>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</si>
  <si>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</si>
  <si>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</si>
  <si>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</si>
  <si>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</si>
  <si>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</si>
  <si>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</si>
  <si>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</si>
  <si>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</si>
  <si>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</si>
  <si>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</si>
  <si>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</si>
  <si>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</si>
  <si>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</si>
  <si>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</si>
  <si>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</si>
  <si>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</si>
  <si>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</si>
  <si>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</si>
  <si>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</si>
  <si>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</si>
  <si>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</si>
  <si>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</si>
  <si>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</si>
  <si>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</si>
  <si>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</si>
  <si>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</si>
  <si>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</si>
  <si>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</si>
  <si>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</si>
  <si>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</si>
  <si>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</si>
  <si>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</si>
  <si>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</si>
  <si>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</si>
  <si>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</si>
  <si>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</si>
  <si>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</si>
  <si>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</si>
  <si>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</si>
  <si>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</si>
  <si>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</si>
  <si>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</si>
  <si>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</si>
  <si>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</si>
  <si>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</si>
  <si>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</si>
  <si>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</si>
  <si>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</si>
  <si>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</si>
  <si>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</si>
  <si>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</si>
  <si>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</si>
  <si>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</si>
  <si>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</si>
  <si>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</si>
  <si>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</si>
  <si>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</si>
  <si>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</si>
  <si>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</si>
  <si>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</si>
  <si>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</si>
  <si>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</si>
  <si>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</si>
  <si>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</si>
  <si>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</si>
  <si>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</si>
  <si>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</si>
  <si>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</si>
  <si>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</si>
  <si>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</si>
  <si>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</si>
  <si>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</si>
  <si>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</si>
  <si>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</si>
  <si>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</si>
  <si>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</si>
  <si>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</si>
  <si>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</si>
  <si>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</si>
  <si>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</si>
  <si>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</si>
  <si>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</si>
  <si>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</si>
  <si>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</si>
  <si>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</si>
  <si>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</si>
  <si>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</si>
  <si>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</si>
  <si>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</si>
  <si>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</si>
  <si>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</si>
  <si>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</si>
  <si>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</si>
  <si>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</si>
  <si>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</si>
  <si>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</si>
  <si>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</si>
  <si>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</si>
  <si>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</si>
  <si>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</si>
  <si>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</si>
  <si>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</si>
  <si>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</si>
  <si>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</si>
  <si>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</si>
  <si>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</si>
  <si>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</si>
  <si>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</si>
  <si>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</si>
  <si>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</si>
  <si>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</si>
  <si>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</si>
  <si>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</si>
  <si>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</si>
  <si>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</si>
  <si>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</si>
  <si>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</si>
  <si>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</si>
  <si>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</si>
  <si>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</si>
  <si>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</si>
  <si>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</si>
  <si>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</si>
  <si>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</si>
  <si>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</si>
  <si>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</si>
  <si>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</si>
  <si>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</si>
  <si>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</si>
  <si>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</si>
  <si>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</si>
  <si>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</si>
  <si>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</si>
  <si>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</si>
  <si>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</si>
  <si>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</si>
  <si>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</si>
  <si>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</si>
  <si>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</si>
  <si>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</si>
  <si>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</si>
  <si>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</si>
  <si>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</si>
  <si>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</si>
  <si>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</si>
  <si>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</si>
  <si>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</si>
  <si>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</si>
  <si>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</si>
  <si>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</si>
  <si>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</si>
  <si>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</si>
  <si>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</si>
  <si>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</si>
  <si>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</si>
  <si>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</si>
  <si>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</si>
  <si>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</si>
  <si>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</si>
  <si>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</si>
  <si>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</si>
  <si>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</si>
  <si>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</si>
  <si>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</si>
  <si>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</si>
  <si>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</si>
  <si>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</si>
  <si>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</si>
  <si>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</si>
  <si>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</si>
  <si>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</si>
  <si>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</si>
  <si>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</si>
  <si>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</si>
  <si>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</si>
  <si>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</si>
  <si>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</si>
  <si>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</si>
  <si>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</si>
  <si>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</si>
  <si>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</si>
  <si>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</si>
  <si>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</si>
  <si>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</si>
  <si>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</si>
  <si>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</si>
  <si>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</si>
  <si>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</si>
  <si>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</si>
  <si>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</si>
  <si>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</si>
  <si>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</si>
  <si>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</si>
  <si>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</si>
  <si>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</si>
  <si>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</si>
  <si>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</si>
  <si>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</si>
  <si>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</si>
  <si>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</si>
  <si>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</si>
  <si>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</si>
  <si>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</si>
  <si>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</si>
  <si>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</si>
  <si>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</si>
  <si>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</si>
  <si>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</si>
  <si>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</si>
  <si>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</si>
  <si>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</si>
  <si>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</si>
  <si>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</si>
  <si>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</si>
  <si>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</si>
  <si>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</si>
  <si>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</si>
  <si>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</si>
  <si>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</si>
  <si>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</si>
  <si>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</si>
  <si>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</si>
  <si>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</si>
  <si>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</si>
  <si>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</si>
  <si>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</si>
  <si>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</si>
  <si>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</si>
  <si>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</si>
  <si>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</si>
  <si>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</si>
  <si>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</si>
  <si>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</si>
  <si>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</si>
  <si>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</si>
  <si>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</si>
  <si>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</si>
  <si>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</si>
  <si>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</si>
  <si>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</si>
  <si>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</si>
  <si>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</si>
  <si>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</si>
  <si>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</si>
  <si>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</si>
  <si>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</si>
  <si>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</si>
  <si>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</si>
  <si>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</si>
  <si>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</si>
  <si>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</si>
  <si>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</si>
  <si>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</si>
  <si>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</si>
  <si>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</si>
  <si>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</si>
  <si>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</si>
  <si>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</si>
  <si>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</si>
  <si>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</si>
  <si>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</si>
  <si>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</si>
  <si>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</si>
  <si>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</si>
  <si>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</si>
  <si>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</si>
  <si>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</si>
  <si>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</si>
  <si>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</si>
  <si>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</si>
  <si>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</si>
  <si>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</si>
  <si>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</si>
  <si>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</si>
  <si>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</si>
  <si>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</si>
  <si>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</si>
  <si>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</si>
  <si>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</si>
  <si>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</si>
  <si>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</si>
  <si>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</si>
  <si>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</si>
  <si>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</si>
  <si>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</si>
  <si>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</si>
  <si>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</si>
  <si>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</si>
  <si>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</si>
  <si>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</si>
  <si>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</si>
  <si>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</si>
  <si>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</si>
  <si>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</si>
  <si>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</si>
  <si>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</si>
  <si>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</si>
  <si>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</si>
  <si>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</si>
  <si>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</si>
  <si>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</si>
  <si>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</si>
  <si>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</si>
  <si>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</si>
  <si>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</si>
  <si>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</si>
  <si>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</si>
  <si>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</si>
  <si>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</si>
  <si>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</si>
  <si>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</si>
  <si>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</si>
  <si>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</si>
  <si>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</si>
  <si>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</si>
  <si>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</si>
  <si>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</si>
  <si>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</si>
  <si>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</si>
  <si>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</si>
  <si>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</si>
  <si>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</si>
  <si>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</si>
  <si>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</si>
  <si>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</si>
  <si>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</si>
  <si>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</si>
  <si>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</si>
  <si>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</si>
  <si>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</si>
  <si>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</si>
  <si>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</si>
  <si>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</si>
  <si>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</si>
  <si>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</si>
  <si>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</si>
  <si>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</si>
  <si>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</si>
  <si>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</si>
  <si>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</si>
  <si>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</si>
  <si>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</si>
  <si>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</si>
  <si>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</si>
  <si>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</si>
  <si>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</si>
  <si>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</si>
  <si>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</si>
  <si>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</si>
  <si>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</si>
  <si>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</si>
  <si>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</si>
  <si>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</si>
  <si>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</si>
  <si>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</si>
  <si>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</si>
  <si>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</si>
  <si>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</si>
  <si>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</si>
  <si>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</si>
  <si>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</si>
  <si>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</si>
  <si>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</si>
  <si>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</si>
  <si>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</si>
  <si>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</si>
  <si>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</si>
  <si>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</si>
  <si>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</si>
  <si>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</si>
  <si>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</si>
  <si>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</si>
  <si>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</si>
  <si>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</si>
  <si>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</si>
  <si>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</si>
  <si>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</si>
  <si>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</si>
  <si>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</si>
  <si>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</si>
  <si>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</si>
  <si>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</si>
  <si>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</si>
  <si>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</si>
  <si>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</si>
  <si>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</si>
  <si>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</si>
  <si>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</si>
  <si>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</si>
  <si>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</si>
  <si>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</si>
  <si>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</si>
  <si>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</si>
  <si>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</si>
  <si>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</si>
  <si>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</si>
  <si>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</si>
  <si>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</si>
  <si>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</si>
  <si>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</si>
  <si>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</si>
  <si>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</si>
  <si>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</si>
  <si>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</si>
  <si>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</si>
  <si>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</si>
  <si>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</si>
  <si>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</si>
  <si>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</si>
  <si>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</si>
  <si>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</si>
  <si>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</si>
  <si>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</si>
  <si>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</si>
  <si>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</si>
  <si>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</si>
  <si>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</si>
  <si>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</si>
  <si>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</si>
  <si>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</si>
  <si>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</si>
  <si>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</si>
  <si>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</si>
  <si>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</si>
  <si>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</si>
  <si>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</si>
  <si>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</si>
  <si>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</si>
  <si>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</si>
  <si>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</si>
  <si>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</si>
  <si>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</si>
  <si>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</si>
  <si>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</si>
  <si>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</si>
  <si>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</si>
  <si>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</si>
  <si>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</si>
  <si>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</si>
  <si>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</si>
  <si>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</si>
  <si>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</si>
  <si>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</si>
  <si>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</si>
  <si>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</si>
  <si>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</si>
  <si>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</si>
  <si>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</si>
  <si>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</si>
  <si>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</si>
  <si>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</si>
  <si>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</si>
  <si>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</si>
  <si>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</si>
  <si>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</si>
  <si>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</si>
  <si>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</si>
  <si>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</si>
  <si>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</si>
  <si>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</si>
  <si>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</si>
  <si>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</si>
  <si>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</si>
  <si>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</si>
  <si>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</si>
  <si>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</si>
  <si>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</si>
  <si>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</si>
  <si>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</si>
  <si>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</si>
  <si>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</si>
  <si>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</si>
  <si>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</si>
  <si>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</si>
  <si>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</si>
  <si>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</si>
  <si>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</si>
  <si>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</si>
  <si>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</si>
  <si>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</si>
  <si>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</si>
  <si>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</si>
  <si>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</si>
  <si>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</si>
  <si>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</si>
  <si>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</si>
  <si>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</si>
  <si>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</si>
  <si>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</si>
  <si>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</si>
  <si>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</si>
  <si>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</si>
  <si>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</si>
  <si>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</si>
  <si>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</si>
  <si>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</si>
  <si>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</si>
  <si>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</si>
  <si>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</si>
  <si>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</si>
  <si>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</si>
  <si>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</si>
  <si>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</si>
  <si>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</si>
  <si>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</si>
  <si>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</si>
  <si>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</si>
  <si>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</si>
  <si>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</si>
  <si>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</si>
  <si>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</si>
  <si>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</si>
  <si>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</si>
  <si>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</si>
  <si>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</si>
  <si>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</si>
  <si>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</si>
  <si>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</si>
  <si>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</si>
  <si>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</si>
  <si>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</si>
  <si>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</si>
  <si>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</si>
  <si>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</si>
  <si>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</si>
  <si>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</si>
  <si>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</si>
  <si>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</si>
  <si>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</si>
  <si>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</si>
  <si>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</si>
  <si>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</si>
  <si>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</si>
  <si>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</si>
  <si>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</si>
  <si>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</si>
  <si>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</si>
  <si>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</si>
  <si>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</si>
  <si>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</si>
  <si>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</si>
  <si>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</si>
  <si>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</si>
  <si>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</si>
  <si>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</si>
  <si>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</si>
  <si>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</si>
  <si>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</si>
  <si>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</si>
  <si>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</si>
  <si>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</si>
  <si>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</si>
  <si>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</si>
  <si>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</si>
  <si>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</si>
  <si>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</si>
  <si>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</si>
  <si>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</si>
  <si>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</si>
  <si>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</si>
  <si>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</si>
  <si>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</si>
  <si>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</si>
  <si>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</si>
  <si>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</si>
  <si>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</si>
  <si>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</si>
  <si>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</si>
  <si>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</si>
  <si>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</si>
  <si>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</si>
  <si>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</si>
  <si>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</si>
  <si>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</si>
  <si>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</si>
  <si>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</si>
  <si>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</si>
  <si>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</si>
  <si>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</si>
  <si>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</si>
  <si>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</si>
  <si>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</si>
  <si>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</si>
  <si>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</si>
  <si>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</si>
  <si>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</si>
  <si>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</si>
  <si>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</si>
  <si>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</si>
  <si>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</si>
  <si>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</si>
  <si>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</si>
  <si>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</si>
  <si>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</si>
  <si>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</si>
  <si>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</si>
  <si>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</si>
  <si>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</si>
  <si>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</si>
  <si>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</si>
  <si>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</si>
  <si>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</si>
  <si>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</si>
  <si>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</si>
  <si>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</si>
  <si>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</si>
  <si>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</si>
  <si>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</si>
  <si>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</si>
  <si>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</si>
  <si>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</si>
  <si>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</si>
  <si>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</si>
  <si>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</si>
  <si>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</si>
  <si>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</si>
  <si>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</si>
  <si>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</si>
  <si>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</si>
  <si>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</si>
  <si>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</si>
  <si>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</si>
  <si>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</si>
  <si>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</si>
  <si>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</si>
  <si>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</si>
  <si>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</si>
  <si>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</si>
  <si>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</si>
  <si>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</si>
  <si>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</si>
  <si>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</si>
  <si>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</si>
  <si>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</si>
  <si>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</si>
  <si>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</si>
  <si>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</si>
  <si>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</si>
  <si>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</si>
  <si>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</si>
  <si>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</si>
  <si>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</si>
  <si>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</si>
  <si>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</si>
  <si>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</si>
  <si>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</si>
  <si>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</si>
  <si>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</si>
  <si>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</si>
  <si>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</si>
  <si>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</si>
  <si>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</si>
  <si>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</si>
  <si>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</si>
  <si>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</si>
  <si>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</si>
  <si>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</si>
  <si>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</si>
  <si>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</si>
  <si>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</si>
  <si>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</si>
  <si>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</si>
  <si>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</si>
  <si>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</si>
  <si>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</si>
  <si>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</si>
  <si>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</si>
  <si>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</si>
  <si>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</si>
  <si>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</si>
  <si>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</si>
  <si>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</si>
  <si>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</si>
  <si>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</si>
  <si>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</si>
  <si>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</si>
  <si>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</si>
  <si>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</si>
  <si>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H2GMD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</si>
</sst>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5">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631906" y="2190750"/>
          <a:ext cx="8732980" cy="2042140"/>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23813</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6328125" defaultRowHeight="14.25"/>
  <cols>
    <col min="1" max="4" width="21.6640625" customWidth="1"/>
    <col min="5" max="6" width="14.1328125" customWidth="1"/>
    <col min="7" max="7" width="12.1328125" customWidth="1"/>
    <col min="8" max="10" width="8.1328125" customWidth="1"/>
    <col min="11" max="11" width="9.6640625" customWidth="1"/>
    <col min="12" max="12" width="8.1328125" customWidth="1"/>
    <col min="13" max="13" width="10" customWidth="1"/>
    <col min="14" max="14" width="11.46484375" customWidth="1"/>
    <col min="15" max="15" width="13.4648437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5" t="s">
        <v>1114</v>
      </c>
      <c r="B16" s="715"/>
      <c r="C16" s="715"/>
      <c r="D16" s="715"/>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4" t="s">
        <v>1128</v>
      </c>
      <c r="C19" s="714"/>
      <c r="D19" s="714"/>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1115</v>
      </c>
      <c r="B20" s="714" t="s">
        <v>1127</v>
      </c>
      <c r="C20" s="714"/>
      <c r="D20" s="714"/>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1116</v>
      </c>
      <c r="B21" s="714" t="s">
        <v>1126</v>
      </c>
      <c r="C21" s="714"/>
      <c r="D21" s="714"/>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1117</v>
      </c>
      <c r="B23" s="714" t="s">
        <v>1125</v>
      </c>
      <c r="C23" s="714"/>
      <c r="D23" s="714"/>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4" t="s">
        <v>1129</v>
      </c>
      <c r="C24" s="714"/>
      <c r="D24" s="714"/>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1118</v>
      </c>
      <c r="B26" s="714" t="s">
        <v>1125</v>
      </c>
      <c r="C26" s="714"/>
      <c r="D26" s="714"/>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1119</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1120</v>
      </c>
      <c r="B30" s="716" t="s">
        <v>1121</v>
      </c>
      <c r="C30" s="714"/>
      <c r="D30" s="714"/>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1122</v>
      </c>
      <c r="B31" s="714" t="s">
        <v>1123</v>
      </c>
      <c r="C31" s="714"/>
      <c r="D31" s="714"/>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1124</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328125" defaultRowHeight="14.25"/>
  <cols>
    <col min="1" max="1" width="3.6640625" style="48" customWidth="1"/>
    <col min="2" max="2" width="19.53125" style="48" customWidth="1"/>
    <col min="3" max="3" width="37.6640625" style="48" customWidth="1"/>
    <col min="4" max="16384" width="9.1328125" style="48"/>
  </cols>
  <sheetData>
    <row r="2" spans="2:3" ht="18">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328125" defaultRowHeight="13.15"/>
  <cols>
    <col min="1" max="1" width="51.46484375" style="43" customWidth="1"/>
    <col min="2" max="2" width="15.6640625" style="38" customWidth="1"/>
    <col min="3" max="4" width="7.53125" style="44" bestFit="1" customWidth="1"/>
    <col min="5" max="5" width="9.1328125" style="44"/>
    <col min="6" max="6" width="6.1328125" style="45" customWidth="1"/>
    <col min="7" max="7" width="5.86328125" style="45" bestFit="1" customWidth="1"/>
    <col min="8" max="8" width="6.46484375" style="44" bestFit="1" customWidth="1"/>
    <col min="9" max="9" width="6.1328125" style="45" bestFit="1" customWidth="1"/>
    <col min="10" max="10" width="6" style="45" bestFit="1" customWidth="1"/>
    <col min="11" max="11" width="6.86328125" style="45" bestFit="1" customWidth="1"/>
    <col min="12" max="12" width="9.1328125" style="42" bestFit="1" customWidth="1"/>
    <col min="13" max="13" width="8.1328125" style="38" bestFit="1" customWidth="1"/>
    <col min="14" max="14" width="8.1328125" style="38" customWidth="1"/>
    <col min="15" max="15" width="5.33203125" style="38" customWidth="1"/>
    <col min="16" max="16" width="7.46484375" style="398" customWidth="1"/>
    <col min="17" max="17" width="7.46484375" style="38" bestFit="1" customWidth="1"/>
    <col min="18" max="18" width="8.1328125" style="38" bestFit="1" customWidth="1"/>
    <col min="19" max="19" width="7.33203125" style="38" bestFit="1" customWidth="1"/>
    <col min="20" max="20" width="7.46484375" style="38" bestFit="1" customWidth="1"/>
    <col min="21" max="21" width="8.46484375" style="399" bestFit="1" customWidth="1"/>
    <col min="22" max="22" width="6.86328125" style="38" bestFit="1" customWidth="1"/>
    <col min="23" max="25" width="5.46484375" style="38" customWidth="1"/>
    <col min="26" max="26" width="5.46484375" style="45" customWidth="1"/>
    <col min="27" max="27" width="8.1328125" style="42" bestFit="1" customWidth="1"/>
    <col min="28" max="28" width="6.6640625" style="42" bestFit="1" customWidth="1"/>
    <col min="29" max="30" width="5.53125" style="38" customWidth="1"/>
    <col min="31" max="31" width="8.6640625" style="38" bestFit="1" customWidth="1"/>
    <col min="32" max="32" width="8.6640625" style="38" customWidth="1"/>
    <col min="33" max="33" width="5.53125" style="38" customWidth="1"/>
    <col min="34" max="34" width="5.6640625" style="38" customWidth="1"/>
    <col min="35" max="36" width="7" style="400" customWidth="1"/>
    <col min="37" max="37" width="7" style="38" customWidth="1"/>
    <col min="38" max="40" width="5.53125" style="38" customWidth="1"/>
    <col min="41" max="41" width="8.6640625" style="42" bestFit="1" customWidth="1"/>
    <col min="42" max="42" width="4.46484375" style="42" bestFit="1" customWidth="1"/>
    <col min="43" max="43" width="9.33203125" style="38" bestFit="1" customWidth="1"/>
    <col min="44" max="44" width="9.1328125" style="38"/>
    <col min="45" max="45" width="9.1328125" style="40"/>
    <col min="46" max="16384" width="9.13281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1130</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1131</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1132</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1133</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1134</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1135</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1136</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1137</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1138</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1139</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1140</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1141</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1142</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1143</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1144</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328125" defaultRowHeight="14.25"/>
  <cols>
    <col min="1" max="1" width="12.1328125" customWidth="1"/>
    <col min="2" max="2" width="11.6640625" customWidth="1"/>
    <col min="3" max="3" width="3.1328125" bestFit="1" customWidth="1"/>
    <col min="4" max="4" width="8.53125" bestFit="1" customWidth="1"/>
    <col min="5" max="5" width="6.46484375" bestFit="1" customWidth="1"/>
    <col min="6" max="6" width="4.86328125" bestFit="1" customWidth="1"/>
    <col min="7" max="7" width="5.6640625" bestFit="1" customWidth="1"/>
    <col min="8" max="8" width="5.86328125" bestFit="1" customWidth="1"/>
    <col min="9" max="9" width="5.46484375" bestFit="1" customWidth="1"/>
    <col min="10" max="11" width="5.6640625" bestFit="1" customWidth="1"/>
    <col min="12" max="12" width="6.53125" bestFit="1" customWidth="1"/>
    <col min="13" max="13" width="6.1328125" bestFit="1" customWidth="1"/>
    <col min="14" max="14" width="6.6640625" bestFit="1" customWidth="1"/>
    <col min="15" max="15" width="6.53125" bestFit="1" customWidth="1"/>
    <col min="16" max="16" width="7.33203125" bestFit="1" customWidth="1"/>
    <col min="17" max="17" width="5.6640625" bestFit="1" customWidth="1"/>
    <col min="18" max="18" width="6.1328125" bestFit="1" customWidth="1"/>
    <col min="19" max="19" width="5.6640625" bestFit="1" customWidth="1"/>
    <col min="20" max="20" width="5.53125" bestFit="1" customWidth="1"/>
    <col min="21" max="21" width="5.86328125" bestFit="1" customWidth="1"/>
    <col min="22" max="22" width="6.6640625" bestFit="1" customWidth="1"/>
    <col min="23" max="23" width="4.86328125" bestFit="1" customWidth="1"/>
    <col min="24" max="24" width="7.53125" customWidth="1"/>
    <col min="25" max="25" width="6.6640625" bestFit="1" customWidth="1"/>
    <col min="26" max="26" width="6.1328125" bestFit="1" customWidth="1"/>
    <col min="27" max="28" width="6" bestFit="1" customWidth="1"/>
    <col min="29" max="29" width="5.6640625" bestFit="1" customWidth="1"/>
    <col min="30" max="30" width="6.66406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4.6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23813</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5"/>
  <sheetViews>
    <sheetView zoomScale="85" zoomScaleNormal="85" workbookViewId="0">
      <selection activeCell="C17" sqref="C17"/>
    </sheetView>
  </sheetViews>
  <sheetFormatPr defaultRowHeight="14.25"/>
  <cols>
    <col min="1" max="2" width="16.33203125" customWidth="1"/>
    <col min="3" max="3" width="12" bestFit="1" customWidth="1"/>
    <col min="4" max="4" width="51.86328125" bestFit="1" customWidth="1"/>
    <col min="5" max="6" width="8.86328125" customWidth="1"/>
    <col min="7" max="7" width="10.6640625" customWidth="1"/>
    <col min="8" max="8" width="11" customWidth="1"/>
    <col min="9" max="9" width="10.46484375" customWidth="1"/>
    <col min="12" max="12" width="26" bestFit="1" customWidth="1"/>
    <col min="13" max="13" width="60.33203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8.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1113</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4.6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C34" s="37"/>
      <c r="D34" s="37"/>
      <c r="F34" s="37"/>
      <c r="G34" s="37"/>
      <c r="H34" s="37"/>
      <c r="I34" s="37"/>
    </row>
    <row r="35" spans="1:9">
      <c r="A35" s="103" t="s">
        <v>710</v>
      </c>
      <c r="B35" s="103"/>
      <c r="H35" s="37"/>
      <c r="I35" s="37"/>
    </row>
    <row r="36" spans="1:9">
      <c r="A36" s="103" t="s">
        <v>711</v>
      </c>
      <c r="B36" s="103"/>
    </row>
    <row r="37" spans="1:9">
      <c r="A37" s="103" t="s">
        <v>709</v>
      </c>
      <c r="B37" s="103"/>
    </row>
    <row r="38" spans="1:9">
      <c r="A38" s="103" t="s">
        <v>712</v>
      </c>
      <c r="B38" s="103"/>
    </row>
    <row r="61" spans="10:10">
      <c r="J61" s="37"/>
    </row>
    <row r="64" spans="10:10">
      <c r="J64" s="37"/>
    </row>
    <row r="65" spans="10:10">
      <c r="J65" s="37"/>
    </row>
    <row r="93" spans="11:11">
      <c r="K93"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C54" sqref="C54"/>
    </sheetView>
  </sheetViews>
  <sheetFormatPr defaultRowHeight="14.25"/>
  <cols>
    <col min="3" max="3" width="11.33203125" customWidth="1"/>
    <col min="4" max="4" width="19.1328125" bestFit="1" customWidth="1"/>
    <col min="5" max="5" width="49.13281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tabSelected="1" zoomScale="85" zoomScaleNormal="85" workbookViewId="0">
      <selection activeCell="W24" sqref="W23:W24"/>
    </sheetView>
  </sheetViews>
  <sheetFormatPr defaultColWidth="8.86328125" defaultRowHeight="14.25"/>
  <cols>
    <col min="1" max="1" width="3.33203125" customWidth="1"/>
    <col min="2" max="2" width="8.6640625" customWidth="1"/>
    <col min="3" max="3" width="13" customWidth="1"/>
    <col min="4" max="4" width="20.33203125" bestFit="1" customWidth="1"/>
    <col min="5" max="5" width="11.33203125" customWidth="1"/>
    <col min="6" max="6" width="9.86328125" customWidth="1"/>
    <col min="7" max="7" width="12.86328125" bestFit="1" customWidth="1"/>
    <col min="8" max="9" width="14.86328125" bestFit="1" customWidth="1"/>
    <col min="10" max="10" width="14.1328125" customWidth="1"/>
    <col min="11" max="11" width="14.33203125" customWidth="1"/>
    <col min="12" max="12" width="16.1328125" customWidth="1"/>
    <col min="13" max="13" width="16.33203125" customWidth="1"/>
  </cols>
  <sheetData>
    <row r="2" spans="2:11">
      <c r="E2" s="260" t="s">
        <v>75</v>
      </c>
      <c r="F2" s="260"/>
      <c r="H2" s="260"/>
      <c r="I2" s="260"/>
      <c r="J2" s="260"/>
    </row>
    <row r="3" spans="2:11">
      <c r="B3" s="261" t="s">
        <v>768</v>
      </c>
      <c r="C3" s="261" t="s">
        <v>69</v>
      </c>
      <c r="D3" s="262" t="s">
        <v>76</v>
      </c>
      <c r="E3" s="261" t="s">
        <v>77</v>
      </c>
      <c r="F3" s="273" t="s">
        <v>788</v>
      </c>
      <c r="G3" s="263" t="s">
        <v>795</v>
      </c>
      <c r="H3" s="263" t="s">
        <v>1097</v>
      </c>
      <c r="I3" s="263" t="s">
        <v>1145</v>
      </c>
      <c r="J3" s="263" t="s">
        <v>1099</v>
      </c>
      <c r="K3" s="263" t="s">
        <v>1098</v>
      </c>
    </row>
    <row r="4" spans="2:11" ht="26.65" thickBot="1">
      <c r="B4" s="379" t="s">
        <v>768</v>
      </c>
      <c r="C4" s="379" t="s">
        <v>78</v>
      </c>
      <c r="D4" s="379" t="s">
        <v>79</v>
      </c>
      <c r="E4" s="379" t="s">
        <v>80</v>
      </c>
      <c r="F4" s="379" t="s">
        <v>759</v>
      </c>
      <c r="G4" s="379" t="s">
        <v>796</v>
      </c>
      <c r="H4" s="379"/>
      <c r="I4" s="379"/>
      <c r="J4" s="379"/>
      <c r="K4" s="379"/>
    </row>
    <row r="5" spans="2:11" ht="14.6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75">
      <c r="B17" s="258" t="str">
        <f>Processes!C56</f>
        <v>IE,IE-CW,IE-D,IE-KE,IE-KK,IE-LS,IE-LD,IE-LH,IE-MH,IE-OY,IE-WH,IE-WX,IE-WW,IE-CE,IE-CO,IE-KY,IE-LK,IE-TA,IE-WD,IE-G,IE-LM,IE-MO,IE-RN,IE-SO,IE-CN,IE-DL,IE-MN</v>
      </c>
      <c r="C17" s="258" t="str">
        <f>Processes!D56</f>
        <v>FT-TRAH2</v>
      </c>
      <c r="D17" s="259" t="s">
        <v>1151</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opLeftCell="A8" zoomScale="85" zoomScaleNormal="85" workbookViewId="0">
      <selection activeCell="G29" sqref="G29"/>
    </sheetView>
  </sheetViews>
  <sheetFormatPr defaultRowHeight="14.25"/>
  <cols>
    <col min="2" max="2" width="8.33203125" customWidth="1"/>
    <col min="3" max="3" width="23" customWidth="1"/>
    <col min="4" max="4" width="9" customWidth="1"/>
    <col min="5" max="5" width="18.6640625" customWidth="1"/>
    <col min="6" max="6" width="20.33203125" customWidth="1"/>
    <col min="7" max="9" width="15.53125" customWidth="1"/>
    <col min="10" max="31" width="9.33203125" customWidth="1"/>
    <col min="34" max="34" width="8.6640625" customWidth="1"/>
    <col min="35" max="35" width="34.4648437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3:92">
      <c r="C1" s="98"/>
    </row>
    <row r="2" spans="3:92">
      <c r="C2" s="98"/>
      <c r="AI2" t="s">
        <v>997</v>
      </c>
      <c r="BM2" t="s">
        <v>297</v>
      </c>
    </row>
    <row r="3" spans="3:92">
      <c r="F3" s="141" t="s">
        <v>900</v>
      </c>
      <c r="AI3" t="s">
        <v>985</v>
      </c>
      <c r="BM3" t="s">
        <v>994</v>
      </c>
    </row>
    <row r="4" spans="3:92" ht="14.6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-1.5195145150609974</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11.625551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1.4321167629556155</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2.6504335304279696E-2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1.5785214409581267</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1.6050257762624065</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-10.020525223737593</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4.6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1143.4046825822502</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10166.701000135683</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4.6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6.149999999999999">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405">
        <f>'EB2018'!U48/('EB2018'!U48+'EB2018'!AI48)</f>
        <v>0.95889311287254497</v>
      </c>
      <c r="G101" s="404">
        <v>1</v>
      </c>
      <c r="H101" s="404">
        <v>1</v>
      </c>
      <c r="I101" s="401">
        <v>5</v>
      </c>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f>F101</f>
        <v>0.95889311287254497</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0.95889311287254497</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0.95889311287254497</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0.95889311287254497</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0.95889311287254497</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3" customHeight="1">
      <c r="AH237" s="140"/>
    </row>
    <row r="243" spans="3:9" ht="106.25" customHeight="1"/>
    <row r="244" spans="3:9">
      <c r="C244" s="717" t="s">
        <v>475</v>
      </c>
      <c r="D244" s="717"/>
      <c r="E244" s="717"/>
      <c r="F244" s="717"/>
      <c r="G244" s="717"/>
      <c r="H244" s="717"/>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65.650000000000006">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65.650000000000006">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88.5">
      <c r="C299" s="382" t="s">
        <v>684</v>
      </c>
      <c r="D299" s="382"/>
      <c r="E299" s="382"/>
      <c r="F299" s="382"/>
    </row>
    <row r="300" spans="3:8" ht="14.65" thickBot="1">
      <c r="C300" s="396" t="s">
        <v>161</v>
      </c>
      <c r="D300" s="397"/>
      <c r="E300" s="397"/>
      <c r="F300" s="397"/>
      <c r="G300" s="397"/>
      <c r="H300" s="397"/>
    </row>
    <row r="301" spans="3:8" ht="23.65" thickBot="1">
      <c r="C301" s="229" t="s">
        <v>116</v>
      </c>
      <c r="D301" s="229" t="s">
        <v>162</v>
      </c>
      <c r="E301" s="229" t="s">
        <v>163</v>
      </c>
      <c r="F301" s="229" t="s">
        <v>164</v>
      </c>
      <c r="G301" s="229" t="s">
        <v>166</v>
      </c>
      <c r="H301" s="229" t="s">
        <v>165</v>
      </c>
    </row>
    <row r="302" spans="3:8" ht="51.4" thickBot="1">
      <c r="C302" s="225" t="s">
        <v>146</v>
      </c>
      <c r="D302" s="225" t="s">
        <v>147</v>
      </c>
      <c r="E302" s="225" t="s">
        <v>148</v>
      </c>
      <c r="F302" s="225" t="s">
        <v>149</v>
      </c>
      <c r="G302" s="226">
        <v>247</v>
      </c>
      <c r="H302" s="226">
        <f>2*6*52*G302</f>
        <v>154128</v>
      </c>
    </row>
    <row r="303" spans="3:8" ht="38.65" thickBot="1">
      <c r="C303" s="227" t="s">
        <v>150</v>
      </c>
      <c r="D303" s="227" t="s">
        <v>151</v>
      </c>
      <c r="E303" s="227" t="s">
        <v>148</v>
      </c>
      <c r="F303" s="227" t="s">
        <v>152</v>
      </c>
      <c r="G303" s="228">
        <v>317</v>
      </c>
      <c r="H303" s="228">
        <f>2*G303*2*52</f>
        <v>65936</v>
      </c>
    </row>
    <row r="304" spans="3:8" ht="127.9" thickBot="1">
      <c r="C304" s="225" t="s">
        <v>153</v>
      </c>
      <c r="D304" s="225" t="s">
        <v>154</v>
      </c>
      <c r="E304" s="225" t="s">
        <v>155</v>
      </c>
      <c r="F304" s="225" t="s">
        <v>156</v>
      </c>
      <c r="G304" s="226">
        <v>312</v>
      </c>
      <c r="H304" s="226">
        <f>2*G304*3*52</f>
        <v>97344</v>
      </c>
    </row>
    <row r="305" spans="3:8" ht="102.4"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topLeftCell="A15" zoomScaleNormal="100" workbookViewId="0">
      <selection activeCell="E31" sqref="E31"/>
    </sheetView>
  </sheetViews>
  <sheetFormatPr defaultRowHeight="14.25"/>
  <cols>
    <col min="2" max="2" width="22.46484375" bestFit="1" customWidth="1"/>
    <col min="3" max="4" width="13.6640625" customWidth="1"/>
    <col min="5" max="5" width="16.53125" bestFit="1" customWidth="1"/>
    <col min="6" max="13" width="9" customWidth="1"/>
    <col min="14" max="14" width="10.86328125" customWidth="1"/>
    <col min="15" max="31" width="9" customWidth="1"/>
  </cols>
  <sheetData>
    <row r="3" spans="2:31" ht="18">
      <c r="B3" s="719" t="s">
        <v>789</v>
      </c>
      <c r="C3" s="719"/>
      <c r="D3" s="719"/>
      <c r="E3" s="719"/>
    </row>
    <row r="5" spans="2:31">
      <c r="E5" s="357" t="s">
        <v>901</v>
      </c>
    </row>
    <row r="6" spans="2:31" ht="14.6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3.5246599999999999</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9.2237600000000004</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4.6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8.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18" t="s">
        <v>9</v>
      </c>
      <c r="C96" s="91" t="s">
        <v>428</v>
      </c>
      <c r="D96" s="91">
        <v>1.24</v>
      </c>
      <c r="E96" s="91">
        <v>1.25</v>
      </c>
      <c r="F96" s="91">
        <v>1.26</v>
      </c>
      <c r="G96" s="91">
        <v>1.26</v>
      </c>
      <c r="H96" s="91">
        <v>1.33</v>
      </c>
      <c r="I96" s="91">
        <v>1.34</v>
      </c>
      <c r="J96" s="91">
        <v>1.38</v>
      </c>
      <c r="K96" s="91">
        <v>1.38</v>
      </c>
    </row>
    <row r="97" spans="2:11">
      <c r="B97" s="718"/>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18" t="s">
        <v>10</v>
      </c>
      <c r="C98" s="91" t="s">
        <v>428</v>
      </c>
      <c r="D98" s="91">
        <v>1.21</v>
      </c>
      <c r="E98" s="91">
        <v>1.22</v>
      </c>
      <c r="F98" s="91">
        <v>1.23</v>
      </c>
      <c r="G98" s="91">
        <v>1.23</v>
      </c>
      <c r="H98" s="91">
        <v>1.2</v>
      </c>
      <c r="I98" s="91">
        <v>1.23</v>
      </c>
      <c r="J98" s="91">
        <v>1.22</v>
      </c>
      <c r="K98" s="91">
        <v>1.22</v>
      </c>
    </row>
    <row r="99" spans="2:11">
      <c r="B99" s="718"/>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18" t="s">
        <v>11</v>
      </c>
      <c r="C100" s="91" t="s">
        <v>428</v>
      </c>
      <c r="D100" s="91">
        <v>1.64</v>
      </c>
      <c r="E100" s="91">
        <v>1.65</v>
      </c>
      <c r="F100" s="91">
        <v>1.66</v>
      </c>
      <c r="G100" s="91">
        <v>1.68</v>
      </c>
      <c r="H100" s="91">
        <v>1.7</v>
      </c>
      <c r="I100" s="91">
        <v>1.83</v>
      </c>
      <c r="J100" s="91">
        <v>1.85</v>
      </c>
      <c r="K100" s="91">
        <v>1.85</v>
      </c>
    </row>
    <row r="101" spans="2:11">
      <c r="B101" s="718"/>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6"/>
  <sheetViews>
    <sheetView topLeftCell="A677" zoomScaleNormal="100" workbookViewId="0">
      <selection activeCell="C405" sqref="C405"/>
    </sheetView>
  </sheetViews>
  <sheetFormatPr defaultRowHeight="14.25"/>
  <cols>
    <col min="1" max="1" width="28" customWidth="1"/>
    <col min="2" max="2" width="18.86328125" customWidth="1"/>
    <col min="3" max="3" width="17.6640625" customWidth="1"/>
    <col min="4" max="4" width="16.86328125" customWidth="1"/>
    <col min="5" max="6" width="15.6640625" customWidth="1"/>
    <col min="7" max="7" width="16.19921875" customWidth="1"/>
    <col min="8" max="32" width="11.86328125" customWidth="1"/>
    <col min="33" max="46" width="10.6640625" customWidth="1"/>
    <col min="47" max="47" width="26" customWidth="1"/>
    <col min="48" max="55" width="10.6640625" customWidth="1"/>
    <col min="56" max="56" width="12" customWidth="1"/>
    <col min="57" max="88" width="10.6640625" customWidth="1"/>
  </cols>
  <sheetData>
    <row r="2" spans="1:29">
      <c r="A2" s="21" t="s">
        <v>791</v>
      </c>
      <c r="B2" s="37"/>
      <c r="C2" s="37"/>
      <c r="D2" s="37"/>
      <c r="E2" s="37"/>
      <c r="F2" s="37"/>
      <c r="G2" s="37"/>
    </row>
    <row r="3" spans="1:29" ht="14.6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 t="shared" ref="C7:AC7" si="3">(C479/1000)+C18</f>
        <v>11.625551</v>
      </c>
      <c r="D7" s="188">
        <f t="shared" si="3"/>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9"/>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9"/>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9"/>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2" t="s">
        <v>16</v>
      </c>
      <c r="B89" s="722"/>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5.7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5.7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5.7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5.7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5.7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5.7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5.7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1" t="s">
        <v>16</v>
      </c>
      <c r="B110" s="721"/>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3"/>
      <c r="H130" s="723"/>
      <c r="I130" s="172"/>
      <c r="J130" s="172"/>
      <c r="Z130" s="138"/>
      <c r="AA130" s="138"/>
      <c r="AB130" s="138"/>
    </row>
    <row r="131" spans="1:29" s="52" customFormat="1">
      <c r="A131" s="168" t="s">
        <v>36</v>
      </c>
      <c r="B131" s="173">
        <v>0.97050000000000003</v>
      </c>
      <c r="C131" s="173">
        <v>0.97640000000000005</v>
      </c>
      <c r="D131" s="138"/>
      <c r="E131" s="138"/>
      <c r="F131" s="138"/>
      <c r="G131" s="723"/>
      <c r="H131" s="723"/>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25" t="s">
        <v>863</v>
      </c>
      <c r="J206" s="725"/>
      <c r="K206" s="725"/>
      <c r="L206" s="725"/>
      <c r="M206" s="725"/>
      <c r="N206" s="725"/>
      <c r="O206" s="725"/>
      <c r="P206" s="725"/>
      <c r="Q206" s="725"/>
      <c r="R206" s="725"/>
      <c r="S206" s="725"/>
      <c r="T206" s="725"/>
      <c r="U206" s="725"/>
      <c r="V206" s="725"/>
      <c r="W206" s="725"/>
      <c r="X206" s="725"/>
      <c r="Y206" s="725"/>
      <c r="Z206" s="725"/>
      <c r="AA206" s="725"/>
      <c r="AB206" s="725"/>
    </row>
    <row r="207" spans="1:28">
      <c r="A207" s="82" t="s">
        <v>831</v>
      </c>
      <c r="B207" s="82" t="s">
        <v>419</v>
      </c>
      <c r="C207" s="82" t="s">
        <v>832</v>
      </c>
      <c r="I207" s="726" t="s">
        <v>854</v>
      </c>
      <c r="J207" s="728" t="s">
        <v>294</v>
      </c>
      <c r="K207" s="728"/>
      <c r="L207" s="728"/>
      <c r="M207" s="12"/>
      <c r="N207" s="728" t="s">
        <v>635</v>
      </c>
      <c r="O207" s="728"/>
      <c r="P207" s="728"/>
      <c r="Q207" s="12"/>
      <c r="R207" s="728" t="s">
        <v>296</v>
      </c>
      <c r="S207" s="728"/>
      <c r="T207" s="728"/>
      <c r="U207" s="12"/>
      <c r="V207" s="728" t="s">
        <v>855</v>
      </c>
      <c r="W207" s="728"/>
      <c r="X207" s="728"/>
      <c r="Y207" s="12"/>
      <c r="Z207" s="728" t="s">
        <v>530</v>
      </c>
      <c r="AA207" s="728"/>
      <c r="AB207" s="728"/>
    </row>
    <row r="208" spans="1:28" ht="21.4">
      <c r="A208" s="286"/>
      <c r="B208" s="289" t="s">
        <v>892</v>
      </c>
      <c r="C208" s="289" t="s">
        <v>833</v>
      </c>
      <c r="I208" s="727"/>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4"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7.25">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0"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0"/>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0"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0"/>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0"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0"/>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7.25">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0"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0"/>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0"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0"/>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0"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0"/>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75">
      <c r="A409" s="101" t="s">
        <v>1018</v>
      </c>
      <c r="C409" s="706"/>
      <c r="L409" s="304"/>
    </row>
    <row r="410" spans="1:31" ht="17.25">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0" t="s">
        <v>1010</v>
      </c>
      <c r="B411" t="s">
        <v>636</v>
      </c>
      <c r="E411" s="304"/>
      <c r="F411" s="729">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0"/>
      <c r="B412" t="s">
        <v>637</v>
      </c>
      <c r="C412">
        <v>292</v>
      </c>
      <c r="D412">
        <v>6667</v>
      </c>
      <c r="E412" s="364">
        <f>D412*1000/(C368+C369)</f>
        <v>20.719511209731053</v>
      </c>
      <c r="F412" s="729"/>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0" t="s">
        <v>1011</v>
      </c>
      <c r="B413" t="s">
        <v>638</v>
      </c>
      <c r="C413">
        <v>246</v>
      </c>
      <c r="D413">
        <v>4107</v>
      </c>
      <c r="E413" s="364">
        <f>D413*1000/(C370)</f>
        <v>904.6255506607929</v>
      </c>
      <c r="F413" s="730">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0"/>
      <c r="B414" t="s">
        <v>639</v>
      </c>
      <c r="C414">
        <v>894</v>
      </c>
      <c r="D414">
        <v>12416</v>
      </c>
      <c r="E414" s="364">
        <f>D414*1000/(C371)</f>
        <v>1911.9186941792423</v>
      </c>
      <c r="F414" s="730"/>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0" t="s">
        <v>1012</v>
      </c>
      <c r="B415" t="s">
        <v>640</v>
      </c>
      <c r="C415">
        <v>2606</v>
      </c>
      <c r="D415">
        <v>35975</v>
      </c>
      <c r="E415" s="364">
        <f>D415*1000/(C372)</f>
        <v>4375.45609340793</v>
      </c>
      <c r="F415" s="730">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0"/>
      <c r="B416" t="s">
        <v>641</v>
      </c>
      <c r="C416">
        <v>7500</v>
      </c>
      <c r="D416">
        <v>90871</v>
      </c>
      <c r="E416" s="364">
        <f>D416*1000/(C373)</f>
        <v>6766.7734008489088</v>
      </c>
      <c r="F416" s="730"/>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7.25">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7.25">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4" t="s">
        <v>659</v>
      </c>
      <c r="C443" s="724"/>
      <c r="D443" s="724"/>
      <c r="E443" s="724"/>
      <c r="F443" s="724"/>
      <c r="G443" s="724"/>
      <c r="H443" s="724"/>
      <c r="I443" s="724"/>
      <c r="J443" s="724"/>
      <c r="K443" s="724"/>
      <c r="L443" s="724"/>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31" t="s">
        <v>664</v>
      </c>
      <c r="C461" s="731"/>
      <c r="D461" s="731"/>
      <c r="E461" s="731"/>
      <c r="F461" s="731"/>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4" t="s">
        <v>659</v>
      </c>
      <c r="C487" s="724"/>
      <c r="D487" s="724"/>
      <c r="E487" s="724"/>
      <c r="F487" s="724"/>
      <c r="G487" s="724"/>
      <c r="H487" s="724"/>
      <c r="I487" s="724"/>
      <c r="J487" s="724"/>
      <c r="K487" s="724"/>
      <c r="L487" s="724"/>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4" t="s">
        <v>659</v>
      </c>
      <c r="C506" s="724"/>
      <c r="D506" s="724"/>
      <c r="E506" s="724"/>
      <c r="F506" s="724"/>
      <c r="G506" s="724"/>
      <c r="H506" s="724"/>
      <c r="I506" s="724"/>
      <c r="J506" s="724"/>
      <c r="K506" s="724"/>
      <c r="L506" s="724"/>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7" t="s">
        <v>682</v>
      </c>
      <c r="B524" s="717"/>
      <c r="C524" s="717"/>
      <c r="D524" s="717"/>
      <c r="E524" s="717"/>
      <c r="F524" s="717"/>
      <c r="G524" s="717"/>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32" t="s">
        <v>681</v>
      </c>
      <c r="B536" s="732"/>
      <c r="C536" s="732"/>
      <c r="D536" s="732"/>
      <c r="E536" s="732"/>
      <c r="F536" s="732"/>
      <c r="G536" s="732"/>
    </row>
    <row r="537" spans="1:7">
      <c r="A537" s="733" t="s">
        <v>683</v>
      </c>
      <c r="B537" s="733"/>
      <c r="C537" s="733"/>
      <c r="D537" s="733"/>
      <c r="E537" s="733"/>
      <c r="F537" s="733"/>
      <c r="G537" s="733"/>
    </row>
    <row r="544" spans="1:7" ht="15.75">
      <c r="A544" s="101" t="s">
        <v>701</v>
      </c>
    </row>
    <row r="545" spans="1:12" ht="15.75">
      <c r="A545" s="82" t="s">
        <v>316</v>
      </c>
      <c r="B545" s="724" t="s">
        <v>659</v>
      </c>
      <c r="C545" s="724"/>
      <c r="D545" s="724"/>
      <c r="E545" s="724"/>
      <c r="F545" s="724"/>
      <c r="G545" s="724"/>
      <c r="H545" s="724"/>
      <c r="I545" s="724"/>
      <c r="J545" s="724"/>
      <c r="K545" s="724"/>
      <c r="L545" s="724"/>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31" t="s">
        <v>664</v>
      </c>
      <c r="C563" s="731"/>
      <c r="D563" s="731"/>
      <c r="E563" s="731"/>
      <c r="F563" s="731"/>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7.25">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7.25">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1148</v>
      </c>
      <c r="E691" t="s">
        <v>1147</v>
      </c>
    </row>
    <row r="692" spans="1:7">
      <c r="A692" s="82" t="s">
        <v>676</v>
      </c>
      <c r="B692" s="82" t="s">
        <v>1056</v>
      </c>
      <c r="C692" s="80" t="s">
        <v>1146</v>
      </c>
      <c r="D692" s="80" t="s">
        <v>577</v>
      </c>
      <c r="E692" s="80" t="s">
        <v>1146</v>
      </c>
      <c r="F692" s="80" t="s">
        <v>1149</v>
      </c>
      <c r="G692" s="80" t="s">
        <v>1150</v>
      </c>
    </row>
    <row r="693" spans="1:7">
      <c r="A693" t="s">
        <v>1053</v>
      </c>
      <c r="B693" t="s">
        <v>1047</v>
      </c>
      <c r="C693" s="707">
        <f>((C403*Stock!G29*AF!D24)+(C403*Stock!G28*AF!D23))/1000</f>
        <v>0.30440398839397392</v>
      </c>
      <c r="D693" s="708">
        <f>C606</f>
        <v>2.5114928752301518E-2</v>
      </c>
      <c r="E693" s="710">
        <f>D693*$C$7</f>
        <v>0.29197488507124764</v>
      </c>
      <c r="F693" s="5">
        <f>C693-E693</f>
        <v>1.2429103322726287E-2</v>
      </c>
      <c r="G693" s="705">
        <f>E693/C693</f>
        <v>0.95916905232319116</v>
      </c>
    </row>
    <row r="694" spans="1:7">
      <c r="A694" t="s">
        <v>1054</v>
      </c>
      <c r="B694" t="s">
        <v>1048</v>
      </c>
      <c r="C694" s="707">
        <f>C404*Stock!G30*AF!D25/1000</f>
        <v>1.1099384754504258</v>
      </c>
      <c r="D694" s="708">
        <f t="shared" ref="D694:D695" si="259">C607</f>
        <v>9.8051434169944274E-2</v>
      </c>
      <c r="E694" s="710">
        <f t="shared" ref="E694:E695" si="260">D694*$C$7</f>
        <v>1.1399019485658297</v>
      </c>
      <c r="F694" s="5">
        <f t="shared" ref="F694:F695" si="261">C694-E694</f>
        <v>-2.9963473115403927E-2</v>
      </c>
      <c r="G694" s="188">
        <f>ROUNDUP(E694/C694,2)</f>
        <v>1.03</v>
      </c>
    </row>
    <row r="695" spans="1:7">
      <c r="A695" s="79" t="s">
        <v>1055</v>
      </c>
      <c r="B695" s="79" t="s">
        <v>1049</v>
      </c>
      <c r="C695" s="709">
        <f>C405*Stock!G31*AF!D26/1000</f>
        <v>9.7750280090047017</v>
      </c>
      <c r="D695" s="711">
        <f t="shared" si="259"/>
        <v>0.86921736291355867</v>
      </c>
      <c r="E695" s="712">
        <f t="shared" si="260"/>
        <v>10.105130782637085</v>
      </c>
      <c r="F695" s="250">
        <f t="shared" si="261"/>
        <v>-0.33010277363238316</v>
      </c>
      <c r="G695" s="713">
        <f>ROUNDUP(E695/C695,2)</f>
        <v>1.04</v>
      </c>
    </row>
    <row r="696" spans="1:7">
      <c r="C696" s="5">
        <f>SUM(C693:C695)</f>
        <v>11.189370472849102</v>
      </c>
      <c r="E696" s="705">
        <f>SUM(E693:E695)</f>
        <v>11.537007616274161</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34" zoomScale="70" zoomScaleNormal="70" workbookViewId="0">
      <selection activeCell="F80" sqref="F80"/>
    </sheetView>
  </sheetViews>
  <sheetFormatPr defaultRowHeight="14.25"/>
  <cols>
    <col min="2" max="2" width="22.46484375" bestFit="1" customWidth="1"/>
    <col min="3" max="3" width="12.1328125" customWidth="1"/>
    <col min="4" max="4" width="11" customWidth="1"/>
    <col min="5" max="30" width="9.53125" customWidth="1"/>
  </cols>
  <sheetData>
    <row r="1" spans="2:31">
      <c r="F1" s="2"/>
    </row>
    <row r="3" spans="2:31">
      <c r="D3" s="141"/>
    </row>
    <row r="4" spans="2:31" ht="14.6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4.6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 t="shared" ref="E44:AE44" si="12">E9/1000</f>
        <v>0.40118080181954258</v>
      </c>
      <c r="F44" s="10">
        <f t="shared" si="12"/>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1095</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 t="shared" ref="E162:AD162" si="61">1.085*SUMPRODUCT(E137:E143,E150:E156)</f>
        <v>1.7174841547644963</v>
      </c>
      <c r="F162" s="177">
        <f t="shared" si="61"/>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1096</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4.25"/>
  <cols>
    <col min="1" max="1" width="5.46484375" customWidth="1"/>
    <col min="2" max="2" width="22.46484375" bestFit="1" customWidth="1"/>
    <col min="3" max="3" width="15.46484375" customWidth="1"/>
    <col min="4" max="30" width="10" customWidth="1"/>
    <col min="31" max="31" width="16.46484375" bestFit="1" customWidth="1"/>
  </cols>
  <sheetData>
    <row r="2" spans="2:30">
      <c r="C2" s="141" t="s">
        <v>902</v>
      </c>
    </row>
    <row r="3" spans="2:30" ht="14.6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4.6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4.6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
      <c r="B105" s="270" t="s">
        <v>780</v>
      </c>
    </row>
    <row r="106" spans="2:30" ht="14.6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7.25">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0"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0"/>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0"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0"/>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0"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4"/>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25"/>
  <cols>
    <col min="1" max="1" width="28.6640625" customWidth="1"/>
    <col min="2" max="2" width="9.4648437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328125" defaultRowHeight="14.25"/>
  <cols>
    <col min="1" max="16384" width="9.1328125" style="37"/>
  </cols>
  <sheetData>
    <row r="1" spans="1:5">
      <c r="A1" s="122" t="s">
        <v>1112</v>
      </c>
      <c r="B1" s="122"/>
    </row>
    <row r="2" spans="1:5">
      <c r="A2" s="37" t="s">
        <v>1111</v>
      </c>
      <c r="B2" s="3" t="s">
        <v>1101</v>
      </c>
      <c r="C2" s="37">
        <v>4.1868000000000002E-2</v>
      </c>
      <c r="D2" s="37" t="s">
        <v>86</v>
      </c>
    </row>
    <row r="3" spans="1:5">
      <c r="A3" s="37" t="s">
        <v>1110</v>
      </c>
      <c r="B3" s="3" t="s">
        <v>1101</v>
      </c>
      <c r="C3" s="37">
        <v>1.0550999999999999</v>
      </c>
      <c r="D3" s="37" t="s">
        <v>1106</v>
      </c>
    </row>
    <row r="4" spans="1:5">
      <c r="A4" s="37" t="s">
        <v>1109</v>
      </c>
      <c r="B4" s="3" t="s">
        <v>1101</v>
      </c>
      <c r="C4" s="37">
        <v>7.33</v>
      </c>
      <c r="D4" s="37" t="s">
        <v>1108</v>
      </c>
      <c r="E4" s="417"/>
    </row>
    <row r="5" spans="1:5">
      <c r="A5" s="37" t="s">
        <v>1107</v>
      </c>
      <c r="B5" s="3" t="s">
        <v>1101</v>
      </c>
      <c r="C5" s="37">
        <f>C2/C4*1000</f>
        <v>5.7118690313778995</v>
      </c>
      <c r="D5" s="37" t="s">
        <v>1106</v>
      </c>
    </row>
    <row r="9" spans="1:5">
      <c r="A9" s="122" t="s">
        <v>1105</v>
      </c>
    </row>
    <row r="10" spans="1:5">
      <c r="A10" s="37" t="s">
        <v>1104</v>
      </c>
      <c r="B10" s="3" t="s">
        <v>1101</v>
      </c>
      <c r="C10" s="37">
        <v>1.1194745098039223</v>
      </c>
      <c r="D10" s="37" t="s">
        <v>1103</v>
      </c>
    </row>
    <row r="11" spans="1:5">
      <c r="A11" s="37" t="s">
        <v>1102</v>
      </c>
      <c r="B11" s="3" t="s">
        <v>1101</v>
      </c>
      <c r="C11" s="37">
        <v>1.1809545098039216</v>
      </c>
      <c r="D11" s="37" t="s">
        <v>1100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Olexandr Balyk</cp:lastModifiedBy>
  <dcterms:created xsi:type="dcterms:W3CDTF">2015-07-22T10:23:34Z</dcterms:created>
  <dcterms:modified xsi:type="dcterms:W3CDTF">2023-12-08T16:51:22Z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