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 codeName="ThisWorkbook" defaultThemeVersion="124226"/>
  <xr:revisionPtr revIDLastSave="0" documentId="13_ncr:1_{D04D08B5-E573-4B72-B994-D74CF8F3E9CA}" xr6:coauthVersionLast="47" xr6:coauthVersionMax="47" xr10:uidLastSave="{00000000-0000-0000-0000-000000000000}"/>
  <bookViews>
    <workbookView xWindow="-120" yWindow="-120" windowWidth="29040" windowHeight="15720" firstSheet="9" activeTab="15" xr2:uid="{F335C8D5-97D0-472C-8A37-4FEE0846C68E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DwellingStocks" sheetId="27" r:id="rId13"/>
    <sheet name="SHWLP-Apt" sheetId="28" r:id="rId14"/>
    <sheet name="SHWLP-Att" sheetId="51" r:id="rId15"/>
    <sheet name="SHWLP-Det" sheetId="52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ver" localSheetId="13" hidden="1">17</definedName>
    <definedName name="solver_ver" localSheetId="14" hidden="1">17</definedName>
    <definedName name="solver_ver" localSheetId="15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46" i="52" l="1"/>
  <c r="L47" i="52"/>
  <c r="L48" i="52"/>
  <c r="L38" i="52"/>
  <c r="L39" i="52"/>
  <c r="L20" i="52"/>
  <c r="L21" i="52"/>
  <c r="L22" i="52"/>
  <c r="L12" i="52"/>
  <c r="L13" i="52"/>
  <c r="L46" i="51"/>
  <c r="L47" i="51"/>
  <c r="L48" i="51"/>
  <c r="L38" i="51"/>
  <c r="L39" i="51"/>
  <c r="L20" i="51"/>
  <c r="L21" i="51"/>
  <c r="L22" i="51"/>
  <c r="L12" i="51"/>
  <c r="L13" i="51"/>
  <c r="L46" i="28"/>
  <c r="L47" i="28"/>
  <c r="L48" i="28"/>
  <c r="L38" i="28"/>
  <c r="L39" i="28"/>
  <c r="L12" i="28"/>
  <c r="L13" i="28"/>
  <c r="L20" i="28"/>
  <c r="L21" i="28"/>
  <c r="L22" i="28"/>
  <c r="B106" i="56"/>
  <c r="B107" i="56"/>
  <c r="B108" i="56"/>
  <c r="B109" i="56"/>
  <c r="B110" i="56"/>
  <c r="B111" i="56"/>
  <c r="B112" i="56"/>
  <c r="B113" i="56"/>
  <c r="B114" i="56"/>
  <c r="B115" i="56"/>
  <c r="B116" i="56"/>
  <c r="B117" i="56"/>
  <c r="B118" i="56"/>
  <c r="B119" i="56"/>
  <c r="B120" i="56"/>
  <c r="B121" i="56"/>
  <c r="B122" i="56"/>
  <c r="B123" i="56"/>
  <c r="B124" i="56"/>
  <c r="B125" i="56"/>
  <c r="B126" i="56"/>
  <c r="B127" i="56"/>
  <c r="B128" i="56"/>
  <c r="B129" i="56"/>
  <c r="B130" i="56"/>
  <c r="B131" i="56"/>
  <c r="B132" i="56"/>
  <c r="B133" i="56"/>
  <c r="B134" i="56"/>
  <c r="B135" i="56"/>
  <c r="B136" i="56"/>
  <c r="B137" i="56"/>
  <c r="B138" i="56"/>
  <c r="B139" i="56"/>
  <c r="B140" i="56"/>
  <c r="B141" i="56"/>
  <c r="B142" i="56"/>
  <c r="B143" i="56"/>
  <c r="B144" i="56"/>
  <c r="B145" i="56"/>
  <c r="B146" i="56"/>
  <c r="B147" i="56"/>
  <c r="B148" i="56"/>
  <c r="B149" i="56"/>
  <c r="B150" i="56"/>
  <c r="B56" i="56"/>
  <c r="B57" i="56"/>
  <c r="B58" i="56"/>
  <c r="B59" i="56"/>
  <c r="B60" i="56"/>
  <c r="B61" i="56"/>
  <c r="B62" i="56"/>
  <c r="B63" i="56"/>
  <c r="B64" i="56"/>
  <c r="B65" i="56"/>
  <c r="B66" i="56"/>
  <c r="B67" i="56"/>
  <c r="B68" i="56"/>
  <c r="B69" i="56"/>
  <c r="B70" i="56"/>
  <c r="B71" i="56"/>
  <c r="B72" i="56"/>
  <c r="B73" i="56"/>
  <c r="B74" i="56"/>
  <c r="B75" i="56"/>
  <c r="B76" i="56"/>
  <c r="B77" i="56"/>
  <c r="B78" i="56"/>
  <c r="B79" i="56"/>
  <c r="B80" i="56"/>
  <c r="B81" i="56"/>
  <c r="B82" i="56"/>
  <c r="B83" i="56"/>
  <c r="B84" i="56"/>
  <c r="B85" i="56"/>
  <c r="B86" i="56"/>
  <c r="B87" i="56"/>
  <c r="B88" i="56"/>
  <c r="B89" i="56"/>
  <c r="B90" i="56"/>
  <c r="B91" i="56"/>
  <c r="B92" i="56"/>
  <c r="B93" i="56"/>
  <c r="B94" i="56"/>
  <c r="B95" i="56"/>
  <c r="B96" i="56"/>
  <c r="B97" i="56"/>
  <c r="B98" i="56"/>
  <c r="B99" i="56"/>
  <c r="B100" i="56"/>
  <c r="B6" i="56"/>
  <c r="B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32" i="56"/>
  <c r="B33" i="56"/>
  <c r="B34" i="56"/>
  <c r="B35" i="56"/>
  <c r="B36" i="56"/>
  <c r="B37" i="56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E150" i="56"/>
  <c r="E149" i="56"/>
  <c r="E148" i="56"/>
  <c r="E147" i="56"/>
  <c r="E145" i="56"/>
  <c r="E144" i="56"/>
  <c r="E143" i="56"/>
  <c r="E142" i="56"/>
  <c r="E140" i="56"/>
  <c r="E139" i="56"/>
  <c r="E138" i="56"/>
  <c r="E137" i="56"/>
  <c r="E135" i="56"/>
  <c r="E134" i="56"/>
  <c r="E133" i="56"/>
  <c r="E132" i="56"/>
  <c r="E130" i="56"/>
  <c r="E129" i="56"/>
  <c r="E128" i="56"/>
  <c r="E127" i="56"/>
  <c r="E125" i="56"/>
  <c r="E124" i="56"/>
  <c r="E123" i="56"/>
  <c r="E122" i="56"/>
  <c r="E120" i="56"/>
  <c r="E119" i="56"/>
  <c r="E118" i="56"/>
  <c r="E117" i="56"/>
  <c r="E115" i="56"/>
  <c r="E114" i="56"/>
  <c r="E113" i="56"/>
  <c r="E112" i="56"/>
  <c r="E110" i="56"/>
  <c r="E109" i="56"/>
  <c r="E108" i="56"/>
  <c r="E107" i="56"/>
  <c r="E100" i="56"/>
  <c r="E99" i="56"/>
  <c r="E98" i="56"/>
  <c r="E97" i="56"/>
  <c r="E95" i="56"/>
  <c r="E94" i="56"/>
  <c r="E93" i="56"/>
  <c r="E92" i="56"/>
  <c r="E90" i="56"/>
  <c r="E89" i="56"/>
  <c r="E88" i="56"/>
  <c r="E87" i="56"/>
  <c r="E85" i="56"/>
  <c r="E84" i="56"/>
  <c r="E83" i="56"/>
  <c r="E82" i="56"/>
  <c r="E80" i="56"/>
  <c r="E79" i="56"/>
  <c r="E78" i="56"/>
  <c r="E77" i="56"/>
  <c r="E75" i="56"/>
  <c r="E74" i="56"/>
  <c r="E73" i="56"/>
  <c r="E72" i="56"/>
  <c r="E70" i="56"/>
  <c r="E69" i="56"/>
  <c r="E68" i="56"/>
  <c r="E67" i="56"/>
  <c r="E65" i="56"/>
  <c r="E64" i="56"/>
  <c r="E63" i="56"/>
  <c r="E62" i="56"/>
  <c r="E60" i="56"/>
  <c r="E59" i="56"/>
  <c r="E58" i="56"/>
  <c r="E57" i="56"/>
  <c r="E50" i="56"/>
  <c r="E49" i="56"/>
  <c r="E48" i="56"/>
  <c r="E47" i="56"/>
  <c r="E45" i="56"/>
  <c r="E44" i="56"/>
  <c r="E43" i="56"/>
  <c r="E42" i="56"/>
  <c r="E40" i="56"/>
  <c r="E39" i="56"/>
  <c r="E38" i="56"/>
  <c r="E37" i="56"/>
  <c r="E35" i="56"/>
  <c r="E34" i="56"/>
  <c r="E33" i="56"/>
  <c r="E32" i="56"/>
  <c r="E30" i="56"/>
  <c r="E29" i="56"/>
  <c r="E28" i="56"/>
  <c r="E27" i="56"/>
  <c r="E25" i="56"/>
  <c r="E24" i="56"/>
  <c r="E23" i="56"/>
  <c r="E22" i="56"/>
  <c r="E20" i="56"/>
  <c r="E19" i="56"/>
  <c r="E18" i="56"/>
  <c r="E17" i="56"/>
  <c r="E15" i="56"/>
  <c r="E14" i="56"/>
  <c r="E13" i="56"/>
  <c r="E12" i="56"/>
  <c r="E10" i="56"/>
  <c r="E9" i="56"/>
  <c r="E8" i="56"/>
  <c r="E7" i="56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F146" i="56"/>
  <c r="F141" i="56"/>
  <c r="F136" i="56"/>
  <c r="F131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D6" i="56"/>
  <c r="AA60" i="56"/>
  <c r="Y60" i="56"/>
  <c r="AA43" i="56"/>
  <c r="Y43" i="56"/>
  <c r="AA59" i="56"/>
  <c r="Y59" i="56"/>
  <c r="AA42" i="56"/>
  <c r="Y42" i="56"/>
  <c r="AA58" i="56"/>
  <c r="Y58" i="56"/>
  <c r="AA41" i="56"/>
  <c r="Y41" i="56"/>
  <c r="Z32" i="56"/>
  <c r="Y32" i="56"/>
  <c r="Z31" i="56"/>
  <c r="Y31" i="56"/>
  <c r="Z30" i="56"/>
  <c r="Y30" i="56"/>
  <c r="Z29" i="56"/>
  <c r="Y29" i="56"/>
  <c r="Z28" i="56"/>
  <c r="Y28" i="56"/>
  <c r="Z27" i="56"/>
  <c r="Y27" i="56"/>
  <c r="Z26" i="56"/>
  <c r="Y26" i="56"/>
  <c r="Z25" i="56"/>
  <c r="Y25" i="56"/>
  <c r="Z24" i="56"/>
  <c r="Y24" i="56"/>
  <c r="Z23" i="56"/>
  <c r="Y23" i="56"/>
  <c r="Z22" i="56"/>
  <c r="Y22" i="56"/>
  <c r="Z21" i="56"/>
  <c r="Y21" i="56"/>
  <c r="Z20" i="56"/>
  <c r="Y20" i="56"/>
  <c r="Z19" i="56"/>
  <c r="Y19" i="56"/>
  <c r="Z18" i="56"/>
  <c r="Y18" i="56"/>
  <c r="Z17" i="56"/>
  <c r="Y17" i="56"/>
  <c r="Z16" i="56"/>
  <c r="Y16" i="56"/>
  <c r="Z15" i="56"/>
  <c r="Y15" i="56"/>
  <c r="Z14" i="56"/>
  <c r="Y14" i="56"/>
  <c r="Z13" i="56"/>
  <c r="Y13" i="56"/>
  <c r="Z12" i="56"/>
  <c r="Y12" i="56"/>
  <c r="Z11" i="56"/>
  <c r="Y11" i="56"/>
  <c r="Z10" i="56"/>
  <c r="Y10" i="56"/>
  <c r="Z9" i="56"/>
  <c r="Y9" i="56"/>
  <c r="Z8" i="56"/>
  <c r="Y8" i="56"/>
  <c r="Z7" i="56"/>
  <c r="Y7" i="56"/>
  <c r="Z6" i="56"/>
  <c r="Y6" i="56"/>
  <c r="X32" i="56"/>
  <c r="X31" i="56"/>
  <c r="X30" i="56"/>
  <c r="X29" i="56"/>
  <c r="X28" i="56"/>
  <c r="X27" i="56"/>
  <c r="X26" i="56"/>
  <c r="X25" i="56"/>
  <c r="X24" i="56"/>
  <c r="X23" i="56"/>
  <c r="X22" i="56"/>
  <c r="X21" i="56"/>
  <c r="X20" i="56"/>
  <c r="X19" i="56"/>
  <c r="X18" i="56"/>
  <c r="X17" i="56"/>
  <c r="X16" i="56"/>
  <c r="X15" i="56"/>
  <c r="X14" i="56"/>
  <c r="X13" i="56"/>
  <c r="X12" i="56"/>
  <c r="X11" i="56"/>
  <c r="X10" i="56"/>
  <c r="X9" i="56"/>
  <c r="X8" i="56"/>
  <c r="X7" i="56"/>
  <c r="X6" i="56"/>
  <c r="U153" i="56"/>
  <c r="T115" i="56" s="1"/>
  <c r="U115" i="56" s="1"/>
  <c r="U151" i="56"/>
  <c r="T145" i="56"/>
  <c r="U145" i="56" s="1"/>
  <c r="T140" i="56"/>
  <c r="U140" i="56" s="1"/>
  <c r="T135" i="56"/>
  <c r="T130" i="56"/>
  <c r="U130" i="56" s="1"/>
  <c r="T125" i="56"/>
  <c r="U125" i="56" s="1"/>
  <c r="T120" i="56"/>
  <c r="T110" i="56"/>
  <c r="S153" i="56"/>
  <c r="R129" i="56" s="1"/>
  <c r="S129" i="56" s="1"/>
  <c r="S151" i="56"/>
  <c r="R149" i="56"/>
  <c r="S149" i="56" s="1"/>
  <c r="R144" i="56"/>
  <c r="S144" i="56" s="1"/>
  <c r="R139" i="56"/>
  <c r="R134" i="56"/>
  <c r="R119" i="56"/>
  <c r="S119" i="56" s="1"/>
  <c r="R114" i="56"/>
  <c r="S114" i="56" s="1"/>
  <c r="R109" i="56"/>
  <c r="Q153" i="56"/>
  <c r="Q151" i="56"/>
  <c r="P148" i="56"/>
  <c r="Q148" i="56" s="1"/>
  <c r="P143" i="56"/>
  <c r="P138" i="56"/>
  <c r="P133" i="56"/>
  <c r="P128" i="56"/>
  <c r="Q128" i="56" s="1"/>
  <c r="P123" i="56"/>
  <c r="Q123" i="56" s="1"/>
  <c r="P118" i="56"/>
  <c r="Q118" i="56" s="1"/>
  <c r="P113" i="56"/>
  <c r="P108" i="56"/>
  <c r="Q108" i="56" s="1"/>
  <c r="N146" i="56"/>
  <c r="O146" i="56" s="1"/>
  <c r="N141" i="56"/>
  <c r="O141" i="56" s="1"/>
  <c r="N136" i="56"/>
  <c r="O136" i="56" s="1"/>
  <c r="N131" i="56"/>
  <c r="O131" i="56" s="1"/>
  <c r="N126" i="56"/>
  <c r="O126" i="56" s="1"/>
  <c r="N121" i="56"/>
  <c r="O121" i="56" s="1"/>
  <c r="N116" i="56"/>
  <c r="O116" i="56" s="1"/>
  <c r="N111" i="56"/>
  <c r="N106" i="56"/>
  <c r="O106" i="56" s="1"/>
  <c r="Q143" i="56"/>
  <c r="Q138" i="56"/>
  <c r="O153" i="56"/>
  <c r="O151" i="56"/>
  <c r="S139" i="56"/>
  <c r="U135" i="56"/>
  <c r="S134" i="56"/>
  <c r="Q133" i="56"/>
  <c r="U120" i="56"/>
  <c r="U110" i="56"/>
  <c r="S109" i="56"/>
  <c r="N56" i="56"/>
  <c r="L56" i="56" s="1"/>
  <c r="U103" i="56"/>
  <c r="L99" i="56"/>
  <c r="L98" i="56"/>
  <c r="L96" i="56"/>
  <c r="L95" i="56"/>
  <c r="L94" i="56"/>
  <c r="L93" i="56"/>
  <c r="L91" i="56"/>
  <c r="L89" i="56"/>
  <c r="L88" i="56"/>
  <c r="L86" i="56"/>
  <c r="L85" i="56"/>
  <c r="L84" i="56"/>
  <c r="L83" i="56"/>
  <c r="L81" i="56"/>
  <c r="L79" i="56"/>
  <c r="L78" i="56"/>
  <c r="L76" i="56"/>
  <c r="L74" i="56"/>
  <c r="L73" i="56"/>
  <c r="L71" i="56"/>
  <c r="L69" i="56"/>
  <c r="L68" i="56"/>
  <c r="L66" i="56"/>
  <c r="L64" i="56"/>
  <c r="L63" i="56"/>
  <c r="L61" i="56"/>
  <c r="L59" i="56"/>
  <c r="L58" i="56"/>
  <c r="T60" i="56"/>
  <c r="L60" i="56" s="1"/>
  <c r="T95" i="56"/>
  <c r="T100" i="56"/>
  <c r="L100" i="56" s="1"/>
  <c r="T90" i="56"/>
  <c r="L90" i="56" s="1"/>
  <c r="T85" i="56"/>
  <c r="T80" i="56"/>
  <c r="L80" i="56" s="1"/>
  <c r="T75" i="56"/>
  <c r="L75" i="56" s="1"/>
  <c r="T70" i="56"/>
  <c r="L70" i="56" s="1"/>
  <c r="T65" i="56"/>
  <c r="L65" i="56" s="1"/>
  <c r="S103" i="56"/>
  <c r="R69" i="56"/>
  <c r="R99" i="56"/>
  <c r="R94" i="56"/>
  <c r="R89" i="56"/>
  <c r="R84" i="56"/>
  <c r="R79" i="56"/>
  <c r="R74" i="56"/>
  <c r="R64" i="56"/>
  <c r="R59" i="56"/>
  <c r="Q103" i="56"/>
  <c r="P98" i="56" s="1"/>
  <c r="P93" i="56"/>
  <c r="P88" i="56"/>
  <c r="P83" i="56"/>
  <c r="P78" i="56"/>
  <c r="P73" i="56"/>
  <c r="P68" i="56"/>
  <c r="P63" i="56"/>
  <c r="P58" i="56"/>
  <c r="U101" i="56"/>
  <c r="S101" i="56"/>
  <c r="Q101" i="56"/>
  <c r="AC59" i="51"/>
  <c r="AC34" i="51"/>
  <c r="AB59" i="51"/>
  <c r="AC47" i="51"/>
  <c r="AB33" i="51"/>
  <c r="U51" i="56"/>
  <c r="S51" i="56"/>
  <c r="T150" i="56" l="1"/>
  <c r="U150" i="56" s="1"/>
  <c r="R124" i="56"/>
  <c r="S124" i="56" s="1"/>
  <c r="U60" i="56"/>
  <c r="U53" i="56"/>
  <c r="Y51" i="56"/>
  <c r="R11" i="51" s="1"/>
  <c r="Y52" i="56"/>
  <c r="Y50" i="56"/>
  <c r="S7" i="28"/>
  <c r="G6" i="56"/>
  <c r="R12" i="51"/>
  <c r="R16" i="51"/>
  <c r="R7" i="51"/>
  <c r="AJ17" i="56"/>
  <c r="AJ9" i="56"/>
  <c r="AJ10" i="56"/>
  <c r="AJ11" i="56"/>
  <c r="AJ12" i="56"/>
  <c r="AJ13" i="56"/>
  <c r="AJ14" i="56"/>
  <c r="AJ15" i="56"/>
  <c r="AJ16" i="56"/>
  <c r="AJ8" i="56"/>
  <c r="K19" i="27"/>
  <c r="J19" i="27"/>
  <c r="I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U154" i="56" l="1"/>
  <c r="U155" i="56" s="1"/>
  <c r="S154" i="56"/>
  <c r="S155" i="56" s="1"/>
  <c r="Z28" i="27"/>
  <c r="Z29" i="27" s="1"/>
  <c r="Y28" i="27"/>
  <c r="Y29" i="27" s="1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N20" i="9"/>
  <c r="P19" i="9"/>
  <c r="O19" i="9"/>
  <c r="N19" i="9"/>
  <c r="P18" i="9"/>
  <c r="O18" i="9"/>
  <c r="N18" i="9"/>
  <c r="O17" i="9"/>
  <c r="O16" i="9"/>
  <c r="O15" i="9"/>
  <c r="P23" i="9"/>
  <c r="N23" i="9"/>
  <c r="P22" i="9"/>
  <c r="N22" i="9"/>
  <c r="P21" i="9"/>
  <c r="N21" i="9"/>
  <c r="P17" i="9"/>
  <c r="N17" i="9"/>
  <c r="P16" i="9"/>
  <c r="N16" i="9"/>
  <c r="P15" i="9"/>
  <c r="N15" i="9"/>
  <c r="P14" i="9"/>
  <c r="N14" i="9"/>
  <c r="P13" i="9"/>
  <c r="N13" i="9"/>
  <c r="P12" i="9"/>
  <c r="N12" i="9"/>
  <c r="P11" i="9"/>
  <c r="N11" i="9"/>
  <c r="P10" i="9"/>
  <c r="N10" i="9"/>
  <c r="P9" i="9"/>
  <c r="N9" i="9"/>
  <c r="Z29" i="22" l="1"/>
  <c r="AB71" i="56" l="1"/>
  <c r="AB70" i="56"/>
  <c r="AB69" i="56"/>
  <c r="B29" i="54" l="1"/>
  <c r="B28" i="54"/>
  <c r="R38" i="52" l="1"/>
  <c r="R37" i="52"/>
  <c r="R12" i="52"/>
  <c r="R11" i="52"/>
  <c r="R38" i="51"/>
  <c r="R37" i="51"/>
  <c r="AB73" i="56" l="1"/>
  <c r="X71" i="56"/>
  <c r="X70" i="56"/>
  <c r="X69" i="56"/>
  <c r="G146" i="56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G91" i="56"/>
  <c r="G86" i="56"/>
  <c r="G81" i="56"/>
  <c r="G76" i="56"/>
  <c r="AU70" i="56"/>
  <c r="L150" i="56" s="1"/>
  <c r="AT70" i="56"/>
  <c r="L149" i="56" s="1"/>
  <c r="AS70" i="56"/>
  <c r="L148" i="56" s="1"/>
  <c r="AR70" i="56"/>
  <c r="L146" i="56" s="1"/>
  <c r="AU69" i="56"/>
  <c r="L145" i="56" s="1"/>
  <c r="AT69" i="56"/>
  <c r="L144" i="56" s="1"/>
  <c r="AS69" i="56"/>
  <c r="L143" i="56" s="1"/>
  <c r="AR69" i="56"/>
  <c r="L141" i="56" s="1"/>
  <c r="AU68" i="56"/>
  <c r="L140" i="56" s="1"/>
  <c r="AT68" i="56"/>
  <c r="L139" i="56" s="1"/>
  <c r="AS68" i="56"/>
  <c r="L138" i="56" s="1"/>
  <c r="AR68" i="56"/>
  <c r="L136" i="56" s="1"/>
  <c r="AU67" i="56"/>
  <c r="L135" i="56" s="1"/>
  <c r="AT67" i="56"/>
  <c r="L134" i="56" s="1"/>
  <c r="AS67" i="56"/>
  <c r="L133" i="56" s="1"/>
  <c r="AR67" i="56"/>
  <c r="L131" i="56" s="1"/>
  <c r="AU66" i="56"/>
  <c r="L130" i="56" s="1"/>
  <c r="AT66" i="56"/>
  <c r="L129" i="56" s="1"/>
  <c r="AS66" i="56"/>
  <c r="L128" i="56" s="1"/>
  <c r="AR66" i="56"/>
  <c r="L126" i="56" s="1"/>
  <c r="G71" i="56"/>
  <c r="AU65" i="56"/>
  <c r="L125" i="56" s="1"/>
  <c r="AT65" i="56"/>
  <c r="L124" i="56" s="1"/>
  <c r="AS65" i="56"/>
  <c r="L123" i="56" s="1"/>
  <c r="AR65" i="56"/>
  <c r="L121" i="56" s="1"/>
  <c r="AU64" i="56"/>
  <c r="L120" i="56" s="1"/>
  <c r="AT64" i="56"/>
  <c r="L119" i="56" s="1"/>
  <c r="AS64" i="56"/>
  <c r="L118" i="56" s="1"/>
  <c r="AR64" i="56"/>
  <c r="L116" i="56" s="1"/>
  <c r="AU63" i="56"/>
  <c r="L115" i="56" s="1"/>
  <c r="AT63" i="56"/>
  <c r="L114" i="56" s="1"/>
  <c r="AS63" i="56"/>
  <c r="AR63" i="56"/>
  <c r="L111" i="56" s="1"/>
  <c r="AU62" i="56"/>
  <c r="L110" i="56" s="1"/>
  <c r="AT62" i="56"/>
  <c r="L109" i="56" s="1"/>
  <c r="AS62" i="56"/>
  <c r="L108" i="56" s="1"/>
  <c r="AR62" i="56"/>
  <c r="G66" i="56"/>
  <c r="AB59" i="56"/>
  <c r="AU56" i="56"/>
  <c r="T50" i="56" s="1"/>
  <c r="AT56" i="56"/>
  <c r="AS56" i="56"/>
  <c r="AR56" i="56"/>
  <c r="G61" i="56"/>
  <c r="AU55" i="56"/>
  <c r="T45" i="56" s="1"/>
  <c r="AT55" i="56"/>
  <c r="AS55" i="56"/>
  <c r="AR55" i="56"/>
  <c r="AU54" i="56"/>
  <c r="T40" i="56" s="1"/>
  <c r="AT54" i="56"/>
  <c r="AS54" i="56"/>
  <c r="AR54" i="56"/>
  <c r="AU53" i="56"/>
  <c r="T35" i="56" s="1"/>
  <c r="AT53" i="56"/>
  <c r="AS53" i="56"/>
  <c r="AR53" i="56"/>
  <c r="AU52" i="56"/>
  <c r="T30" i="56" s="1"/>
  <c r="AT52" i="56"/>
  <c r="AS52" i="56"/>
  <c r="AR52" i="56"/>
  <c r="AU51" i="56"/>
  <c r="T25" i="56" s="1"/>
  <c r="AT51" i="56"/>
  <c r="AS51" i="56"/>
  <c r="AR51" i="56"/>
  <c r="G56" i="56"/>
  <c r="AU50" i="56"/>
  <c r="T20" i="56" s="1"/>
  <c r="AT50" i="56"/>
  <c r="AS50" i="56"/>
  <c r="AR50" i="56"/>
  <c r="AU49" i="56"/>
  <c r="T15" i="56" s="1"/>
  <c r="AT49" i="56"/>
  <c r="AS49" i="56"/>
  <c r="AR49" i="56"/>
  <c r="AU48" i="56"/>
  <c r="T10" i="56" s="1"/>
  <c r="AT48" i="56"/>
  <c r="AS48" i="56"/>
  <c r="AR48" i="56"/>
  <c r="G46" i="56"/>
  <c r="H46" i="56" s="1"/>
  <c r="AU41" i="56"/>
  <c r="AT41" i="56"/>
  <c r="AS41" i="56"/>
  <c r="AR41" i="56"/>
  <c r="G41" i="56"/>
  <c r="H41" i="56" s="1"/>
  <c r="AU40" i="56"/>
  <c r="AT40" i="56"/>
  <c r="AS40" i="56"/>
  <c r="AR40" i="56"/>
  <c r="AU39" i="56"/>
  <c r="AT39" i="56"/>
  <c r="AS39" i="56"/>
  <c r="AR39" i="56"/>
  <c r="AU38" i="56"/>
  <c r="AT38" i="56"/>
  <c r="AS38" i="56"/>
  <c r="AR38" i="56"/>
  <c r="AU37" i="56"/>
  <c r="AT37" i="56"/>
  <c r="AS37" i="56"/>
  <c r="AR37" i="56"/>
  <c r="AU36" i="56"/>
  <c r="AT36" i="56"/>
  <c r="AS36" i="56"/>
  <c r="AR36" i="56"/>
  <c r="G36" i="56"/>
  <c r="H36" i="56" s="1"/>
  <c r="AU35" i="56"/>
  <c r="AT35" i="56"/>
  <c r="AS35" i="56"/>
  <c r="AR35" i="56"/>
  <c r="AU34" i="56"/>
  <c r="AT34" i="56"/>
  <c r="AS34" i="56"/>
  <c r="AR34" i="56"/>
  <c r="AV33" i="56"/>
  <c r="AV42" i="56" s="1"/>
  <c r="AU33" i="56"/>
  <c r="AT33" i="56"/>
  <c r="AS33" i="56"/>
  <c r="AR33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C6" i="56"/>
  <c r="H6" i="56"/>
  <c r="U40" i="56" l="1"/>
  <c r="L40" i="56"/>
  <c r="H61" i="56"/>
  <c r="S64" i="56"/>
  <c r="U65" i="56"/>
  <c r="Q63" i="56"/>
  <c r="H71" i="56"/>
  <c r="U75" i="56"/>
  <c r="S74" i="56"/>
  <c r="Q73" i="56"/>
  <c r="H91" i="56"/>
  <c r="Q93" i="56"/>
  <c r="U95" i="56"/>
  <c r="S94" i="56"/>
  <c r="H96" i="56"/>
  <c r="U100" i="56"/>
  <c r="S99" i="56"/>
  <c r="Q98" i="56"/>
  <c r="L10" i="56"/>
  <c r="U10" i="56"/>
  <c r="U25" i="56"/>
  <c r="L25" i="56"/>
  <c r="H66" i="56"/>
  <c r="S69" i="56"/>
  <c r="Q68" i="56"/>
  <c r="U70" i="56"/>
  <c r="H86" i="56"/>
  <c r="U90" i="56"/>
  <c r="Q88" i="56"/>
  <c r="S89" i="56"/>
  <c r="H81" i="56"/>
  <c r="U85" i="56"/>
  <c r="Q83" i="56"/>
  <c r="S84" i="56"/>
  <c r="U20" i="56"/>
  <c r="L20" i="56"/>
  <c r="H76" i="56"/>
  <c r="U80" i="56"/>
  <c r="Q78" i="56"/>
  <c r="S79" i="56"/>
  <c r="U50" i="56"/>
  <c r="L50" i="56"/>
  <c r="U35" i="56"/>
  <c r="L35" i="56"/>
  <c r="H56" i="56"/>
  <c r="S59" i="56"/>
  <c r="Q58" i="56"/>
  <c r="U45" i="56"/>
  <c r="L45" i="56"/>
  <c r="U15" i="56"/>
  <c r="L15" i="56"/>
  <c r="U30" i="56"/>
  <c r="L30" i="56"/>
  <c r="AS71" i="56"/>
  <c r="AU57" i="56"/>
  <c r="AR57" i="56"/>
  <c r="AR71" i="56"/>
  <c r="L106" i="56"/>
  <c r="AS57" i="56"/>
  <c r="AU42" i="56"/>
  <c r="AT57" i="56"/>
  <c r="AB60" i="56"/>
  <c r="Z59" i="56"/>
  <c r="AB42" i="56"/>
  <c r="Z60" i="56"/>
  <c r="Z42" i="56"/>
  <c r="Z41" i="56"/>
  <c r="AB43" i="56"/>
  <c r="AB41" i="56"/>
  <c r="Z43" i="56"/>
  <c r="AS42" i="56"/>
  <c r="AT42" i="56"/>
  <c r="L113" i="56"/>
  <c r="AR42" i="56"/>
  <c r="AT71" i="56"/>
  <c r="AU71" i="56"/>
  <c r="U104" i="56" l="1"/>
  <c r="U105" i="56" s="1"/>
  <c r="S104" i="56"/>
  <c r="S105" i="56" s="1"/>
  <c r="Q104" i="56"/>
  <c r="Q105" i="56" s="1"/>
  <c r="U54" i="56"/>
  <c r="U55" i="56" s="1"/>
  <c r="J18" i="54"/>
  <c r="B18" i="54"/>
  <c r="X51" i="51" l="1"/>
  <c r="X44" i="51" l="1"/>
  <c r="R18" i="27" l="1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8" i="28" l="1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Y71" i="56" s="1"/>
  <c r="O7" i="9"/>
  <c r="Y70" i="56" s="1"/>
  <c r="P7" i="9"/>
  <c r="Z70" i="56" s="1"/>
  <c r="P8" i="9"/>
  <c r="Z71" i="56" s="1"/>
  <c r="O6" i="9"/>
  <c r="Y69" i="56" s="1"/>
  <c r="P6" i="9"/>
  <c r="Z69" i="56" s="1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J13" i="54"/>
  <c r="B11" i="54"/>
  <c r="B13" i="54"/>
  <c r="J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J15" i="54"/>
  <c r="B10" i="54"/>
  <c r="D9" i="9"/>
  <c r="D17" i="9"/>
  <c r="D25" i="9"/>
  <c r="D33" i="9"/>
  <c r="N8" i="9"/>
  <c r="N31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B12" i="48"/>
  <c r="J14" i="54"/>
  <c r="D24" i="9"/>
  <c r="N38" i="9"/>
  <c r="AG16" i="52"/>
  <c r="AG20" i="52"/>
  <c r="AG37" i="52"/>
  <c r="AG48" i="52"/>
  <c r="L51" i="52"/>
  <c r="L7" i="52"/>
  <c r="L8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J16" i="54"/>
  <c r="B12" i="54"/>
  <c r="D10" i="9"/>
  <c r="D18" i="9"/>
  <c r="D26" i="9"/>
  <c r="D34" i="9"/>
  <c r="N24" i="9"/>
  <c r="N32" i="9"/>
  <c r="AG9" i="52"/>
  <c r="L33" i="52"/>
  <c r="L10" i="52"/>
  <c r="AG47" i="51"/>
  <c r="AG18" i="28"/>
  <c r="L50" i="28"/>
  <c r="J9" i="54"/>
  <c r="D21" i="9"/>
  <c r="N35" i="9"/>
  <c r="L40" i="28"/>
  <c r="B22" i="48"/>
  <c r="B8" i="54"/>
  <c r="D15" i="9"/>
  <c r="N37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AG45" i="51"/>
  <c r="AG35" i="51"/>
  <c r="AG12" i="51"/>
  <c r="AG14" i="28"/>
  <c r="AG34" i="28"/>
  <c r="AG45" i="28"/>
  <c r="L35" i="28"/>
  <c r="B26" i="48"/>
  <c r="B6" i="48"/>
  <c r="J7" i="54"/>
  <c r="J17" i="54"/>
  <c r="B14" i="54"/>
  <c r="D11" i="9"/>
  <c r="D19" i="9"/>
  <c r="D27" i="9"/>
  <c r="D35" i="9"/>
  <c r="N25" i="9"/>
  <c r="N33" i="9"/>
  <c r="AG41" i="52"/>
  <c r="L11" i="51"/>
  <c r="AG37" i="51"/>
  <c r="AG36" i="28"/>
  <c r="L16" i="28"/>
  <c r="Q8" i="48"/>
  <c r="D13" i="9"/>
  <c r="N27" i="9"/>
  <c r="L8" i="28"/>
  <c r="D7" i="9"/>
  <c r="N29" i="9"/>
  <c r="AG46" i="52"/>
  <c r="L14" i="52"/>
  <c r="AG41" i="51"/>
  <c r="AG22" i="28"/>
  <c r="L42" i="28"/>
  <c r="D8" i="9"/>
  <c r="N30" i="9"/>
  <c r="AG8" i="52"/>
  <c r="AG22" i="52"/>
  <c r="AG39" i="52"/>
  <c r="AG59" i="52"/>
  <c r="L42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J8" i="54"/>
  <c r="J6" i="54"/>
  <c r="B15" i="54"/>
  <c r="D12" i="9"/>
  <c r="D20" i="9"/>
  <c r="D28" i="9"/>
  <c r="D36" i="9"/>
  <c r="N26" i="9"/>
  <c r="N34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33" i="51"/>
  <c r="L44" i="51"/>
  <c r="AG48" i="51"/>
  <c r="AG38" i="51"/>
  <c r="AG7" i="51"/>
  <c r="AG8" i="28"/>
  <c r="AG20" i="28"/>
  <c r="AG37" i="28"/>
  <c r="AG48" i="28"/>
  <c r="L51" i="28"/>
  <c r="L7" i="28"/>
  <c r="B21" i="48"/>
  <c r="B10" i="48"/>
  <c r="Q9" i="48"/>
  <c r="J10" i="54"/>
  <c r="B7" i="54"/>
  <c r="B17" i="54"/>
  <c r="D14" i="9"/>
  <c r="D22" i="9"/>
  <c r="D30" i="9"/>
  <c r="D38" i="9"/>
  <c r="N28" i="9"/>
  <c r="N36" i="9"/>
  <c r="AG11" i="52"/>
  <c r="AG34" i="52"/>
  <c r="AG45" i="52"/>
  <c r="L35" i="52"/>
  <c r="L14" i="51"/>
  <c r="L34" i="51"/>
  <c r="AG43" i="51"/>
  <c r="AG39" i="51"/>
  <c r="AG8" i="51"/>
  <c r="AG9" i="28"/>
  <c r="AG21" i="28"/>
  <c r="L44" i="28"/>
  <c r="J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E28" i="54"/>
  <c r="C28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122" i="27" s="1"/>
  <c r="O122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O86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AE85" i="27" a="1"/>
  <c r="AE85" i="27" s="1"/>
  <c r="M50" i="27" s="1"/>
  <c r="N50" i="27" s="1"/>
  <c r="O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N62" i="27" l="1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S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AB34" i="27" s="1" a="1"/>
  <c r="AB34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T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S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S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T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S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T25" i="27" s="1"/>
  <c r="N55" i="27"/>
  <c r="O55" i="27" s="1"/>
  <c r="N54" i="27"/>
  <c r="O54" i="27" s="1"/>
  <c r="N53" i="27"/>
  <c r="O53" i="27" s="1"/>
  <c r="CH34" i="27" s="1" a="1"/>
  <c r="CH34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AQ34" i="27" s="1" a="1"/>
  <c r="AQ34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T21" i="27" s="1"/>
  <c r="N89" i="27"/>
  <c r="O89" i="27" s="1"/>
  <c r="N91" i="27"/>
  <c r="O91" i="27" s="1"/>
  <c r="N90" i="27"/>
  <c r="O90" i="27" s="1"/>
  <c r="BA45" i="45"/>
  <c r="BA46" i="45" s="1"/>
  <c r="J20" i="27" s="1"/>
  <c r="S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Y34" i="27" l="1" a="1"/>
  <c r="Y34" i="27" s="1"/>
  <c r="AD34" i="27" a="1"/>
  <c r="AD34" i="27" s="1"/>
  <c r="J34" i="27" a="1"/>
  <c r="J34" i="27" s="1"/>
  <c r="AV34" i="27" a="1"/>
  <c r="AV34" i="27" s="1"/>
  <c r="BQ34" i="27" a="1"/>
  <c r="BQ34" i="27" s="1"/>
  <c r="AL34" i="27" a="1"/>
  <c r="AL34" i="27" s="1"/>
  <c r="AF34" i="27" a="1"/>
  <c r="AF34" i="27" s="1"/>
  <c r="BS34" i="27" a="1"/>
  <c r="BS34" i="27" s="1"/>
  <c r="AO34" i="27" a="1"/>
  <c r="AO34" i="27" s="1"/>
  <c r="O34" i="27" a="1"/>
  <c r="O34" i="27" s="1"/>
  <c r="CD34" i="27" a="1"/>
  <c r="CD34" i="27" s="1"/>
  <c r="BG34" i="27" a="1"/>
  <c r="BG34" i="27" s="1"/>
  <c r="AJ34" i="27" a="1"/>
  <c r="AJ34" i="27" s="1"/>
  <c r="M34" i="27" a="1"/>
  <c r="M34" i="27" s="1"/>
  <c r="BY34" i="27" a="1"/>
  <c r="BY34" i="27" s="1"/>
  <c r="BY43" i="27" s="1"/>
  <c r="AT34" i="27" a="1"/>
  <c r="AT34" i="27" s="1"/>
  <c r="BN34" i="27" a="1"/>
  <c r="BN34" i="27" s="1"/>
  <c r="BI34" i="27" a="1"/>
  <c r="BI34" i="27" s="1"/>
  <c r="BV34" i="27" a="1"/>
  <c r="BV34" i="27" s="1"/>
  <c r="CA34" i="27" a="1"/>
  <c r="CA34" i="27" s="1"/>
  <c r="BO34" i="27" a="1"/>
  <c r="BO34" i="27" s="1"/>
  <c r="BB34" i="27" a="1"/>
  <c r="BB34" i="27" s="1"/>
  <c r="W34" i="27" a="1"/>
  <c r="W34" i="27" s="1"/>
  <c r="X34" i="27" a="1"/>
  <c r="X34" i="27" s="1"/>
  <c r="BE34" i="27" a="1"/>
  <c r="BE34" i="27" s="1"/>
  <c r="AH34" i="27" a="1"/>
  <c r="AH34" i="27" s="1"/>
  <c r="K34" i="27" a="1"/>
  <c r="K34" i="27" s="1"/>
  <c r="BW34" i="27" a="1"/>
  <c r="BW34" i="27" s="1"/>
  <c r="AZ34" i="27" a="1"/>
  <c r="AZ34" i="27" s="1"/>
  <c r="AC34" i="27" a="1"/>
  <c r="AC34" i="27" s="1"/>
  <c r="S34" i="27" a="1"/>
  <c r="S34" i="27" s="1"/>
  <c r="BJ34" i="27" a="1"/>
  <c r="BJ34" i="27" s="1"/>
  <c r="BT34" i="27" a="1"/>
  <c r="BT34" i="27" s="1"/>
  <c r="CF34" i="27" a="1"/>
  <c r="CF34" i="27" s="1"/>
  <c r="AY34" i="27" a="1"/>
  <c r="AY34" i="27" s="1"/>
  <c r="AN34" i="27" a="1"/>
  <c r="AN34" i="27" s="1"/>
  <c r="CG34" i="27" a="1"/>
  <c r="CG34" i="27" s="1"/>
  <c r="AE34" i="27" a="1"/>
  <c r="AE34" i="27" s="1"/>
  <c r="CB34" i="27" a="1"/>
  <c r="CB34" i="27" s="1"/>
  <c r="BM34" i="27" a="1"/>
  <c r="BM34" i="27" s="1"/>
  <c r="AP34" i="27" a="1"/>
  <c r="AP34" i="27" s="1"/>
  <c r="P34" i="27" a="1"/>
  <c r="P34" i="27" s="1"/>
  <c r="CE34" i="27" a="1"/>
  <c r="CE34" i="27" s="1"/>
  <c r="BH34" i="27" a="1"/>
  <c r="BH34" i="27" s="1"/>
  <c r="AK34" i="27" a="1"/>
  <c r="AK34" i="27" s="1"/>
  <c r="BL34" i="27" a="1"/>
  <c r="BL34" i="27" s="1"/>
  <c r="BR34" i="27" a="1"/>
  <c r="BR34" i="27" s="1"/>
  <c r="BC34" i="27" a="1"/>
  <c r="BC34" i="27" s="1"/>
  <c r="Q34" i="27" a="1"/>
  <c r="Q34" i="27" s="1"/>
  <c r="AG34" i="27" a="1"/>
  <c r="AG34" i="27" s="1"/>
  <c r="R34" i="27" a="1"/>
  <c r="R34" i="27" s="1"/>
  <c r="AW34" i="27" a="1"/>
  <c r="AW34" i="27" s="1"/>
  <c r="U34" i="27" a="1"/>
  <c r="U34" i="27" s="1"/>
  <c r="AM34" i="27" a="1"/>
  <c r="AM34" i="27" s="1"/>
  <c r="I34" i="27" a="1"/>
  <c r="I34" i="27" s="1"/>
  <c r="BU34" i="27" a="1"/>
  <c r="BU34" i="27" s="1"/>
  <c r="AX34" i="27" a="1"/>
  <c r="AX34" i="27" s="1"/>
  <c r="AA34" i="27" a="1"/>
  <c r="AA34" i="27" s="1"/>
  <c r="BD34" i="27" a="1"/>
  <c r="BD34" i="27" s="1"/>
  <c r="BP34" i="27" a="1"/>
  <c r="BP34" i="27" s="1"/>
  <c r="AS34" i="27" a="1"/>
  <c r="AS34" i="27" s="1"/>
  <c r="L34" i="27" a="1"/>
  <c r="L34" i="27" s="1"/>
  <c r="BZ34" i="27" a="1"/>
  <c r="BZ34" i="27" s="1"/>
  <c r="BK34" i="27" a="1"/>
  <c r="BK34" i="27" s="1"/>
  <c r="Z34" i="27" a="1"/>
  <c r="Z34" i="27" s="1"/>
  <c r="AR34" i="27" a="1"/>
  <c r="AR34" i="27" s="1"/>
  <c r="AU34" i="27" a="1"/>
  <c r="AU34" i="27" s="1"/>
  <c r="T34" i="27" a="1"/>
  <c r="T34" i="27" s="1"/>
  <c r="CC34" i="27" a="1"/>
  <c r="CC34" i="27" s="1"/>
  <c r="BF34" i="27" a="1"/>
  <c r="BF34" i="27" s="1"/>
  <c r="AI34" i="27" a="1"/>
  <c r="AI34" i="27" s="1"/>
  <c r="N34" i="27" a="1"/>
  <c r="N34" i="27" s="1"/>
  <c r="BX34" i="27" a="1"/>
  <c r="BX34" i="27" s="1"/>
  <c r="BA34" i="27" a="1"/>
  <c r="BA34" i="27" s="1"/>
  <c r="V34" i="27" a="1"/>
  <c r="V34" i="27" s="1"/>
  <c r="W35" i="27" a="1"/>
  <c r="W35" i="27" s="1"/>
  <c r="I42" i="27" a="1"/>
  <c r="I42" i="27" s="1"/>
  <c r="L39" i="27" a="1"/>
  <c r="L39" i="27" s="1"/>
  <c r="W38" i="27" a="1"/>
  <c r="W38" i="27" s="1"/>
  <c r="K42" i="27" a="1"/>
  <c r="K42" i="27" s="1"/>
  <c r="M38" i="27" a="1"/>
  <c r="M38" i="27" s="1"/>
  <c r="CC42" i="27" a="1"/>
  <c r="CC42" i="27" s="1"/>
  <c r="CA37" i="27" a="1"/>
  <c r="CA37" i="27" s="1"/>
  <c r="BS42" i="27" a="1"/>
  <c r="BS42" i="27" s="1"/>
  <c r="BL41" i="27" a="1"/>
  <c r="BL41" i="27" s="1"/>
  <c r="BB39" i="27" a="1"/>
  <c r="BB39" i="27" s="1"/>
  <c r="AX37" i="27" a="1"/>
  <c r="AX37" i="27" s="1"/>
  <c r="AT36" i="27" a="1"/>
  <c r="AT36" i="27" s="1"/>
  <c r="AJ35" i="27" a="1"/>
  <c r="AJ35" i="27" s="1"/>
  <c r="AA42" i="27" a="1"/>
  <c r="AA42" i="27" s="1"/>
  <c r="V41" i="27" a="1"/>
  <c r="V41" i="27" s="1"/>
  <c r="CC36" i="27" a="1"/>
  <c r="CC36" i="27" s="1"/>
  <c r="BY39" i="27" a="1"/>
  <c r="BY39" i="27" s="1"/>
  <c r="BS38" i="27" a="1"/>
  <c r="BS38" i="27" s="1"/>
  <c r="BM36" i="27" a="1"/>
  <c r="BM36" i="27" s="1"/>
  <c r="BC36" i="27" a="1"/>
  <c r="BC36" i="27" s="1"/>
  <c r="AM41" i="27" a="1"/>
  <c r="AM41" i="27" s="1"/>
  <c r="AI39" i="27" a="1"/>
  <c r="AI39" i="27" s="1"/>
  <c r="CG41" i="27" a="1"/>
  <c r="CG41" i="27" s="1"/>
  <c r="CB36" i="27" a="1"/>
  <c r="CB36" i="27" s="1"/>
  <c r="BQ42" i="27" a="1"/>
  <c r="BQ42" i="27" s="1"/>
  <c r="BK41" i="27" a="1"/>
  <c r="BK41" i="27" s="1"/>
  <c r="BG39" i="27" a="1"/>
  <c r="BG39" i="27" s="1"/>
  <c r="AX38" i="27" a="1"/>
  <c r="AX38" i="27" s="1"/>
  <c r="AR36" i="27" a="1"/>
  <c r="AR36" i="27" s="1"/>
  <c r="Y41" i="27" a="1"/>
  <c r="Y41" i="27" s="1"/>
  <c r="R40" i="27" a="1"/>
  <c r="R40" i="27" s="1"/>
  <c r="CA41" i="27" a="1"/>
  <c r="CA41" i="27" s="1"/>
  <c r="BT36" i="27" a="1"/>
  <c r="BT36" i="27" s="1"/>
  <c r="BJ42" i="27" a="1"/>
  <c r="BJ42" i="27" s="1"/>
  <c r="BF39" i="27" a="1"/>
  <c r="BF39" i="27" s="1"/>
  <c r="AW38" i="27" a="1"/>
  <c r="AW38" i="27" s="1"/>
  <c r="AS37" i="27" a="1"/>
  <c r="AS37" i="27" s="1"/>
  <c r="AO35" i="27" a="1"/>
  <c r="AO35" i="27" s="1"/>
  <c r="CD38" i="27" a="1"/>
  <c r="CD38" i="27" s="1"/>
  <c r="BX41" i="27" a="1"/>
  <c r="BX41" i="27" s="1"/>
  <c r="BR39" i="27" a="1"/>
  <c r="BR39" i="27" s="1"/>
  <c r="BL37" i="27" a="1"/>
  <c r="BL37" i="27" s="1"/>
  <c r="BF35" i="27" a="1"/>
  <c r="BF35" i="27" s="1"/>
  <c r="AJ41" i="27" a="1"/>
  <c r="AJ41" i="27" s="1"/>
  <c r="AF39" i="27" a="1"/>
  <c r="AF39" i="27" s="1"/>
  <c r="Z37" i="27" a="1"/>
  <c r="Z37" i="27" s="1"/>
  <c r="V35" i="27" a="1"/>
  <c r="V35" i="27" s="1"/>
  <c r="CE35" i="27" a="1"/>
  <c r="CE35" i="27" s="1"/>
  <c r="BV38" i="27" a="1"/>
  <c r="BV38" i="27" s="1"/>
  <c r="BS36" i="27" a="1"/>
  <c r="BS36" i="27" s="1"/>
  <c r="BI36" i="27" a="1"/>
  <c r="BI36" i="27" s="1"/>
  <c r="AU40" i="27" a="1"/>
  <c r="AU40" i="27" s="1"/>
  <c r="AM39" i="27" a="1"/>
  <c r="AM39" i="27" s="1"/>
  <c r="AI37" i="27" a="1"/>
  <c r="AI37" i="27" s="1"/>
  <c r="AC35" i="27" a="1"/>
  <c r="AC35" i="27" s="1"/>
  <c r="CC40" i="27" a="1"/>
  <c r="CC40" i="27" s="1"/>
  <c r="BU41" i="27" a="1"/>
  <c r="BU41" i="27" s="1"/>
  <c r="BO39" i="27" a="1"/>
  <c r="BO39" i="27" s="1"/>
  <c r="BI37" i="27" a="1"/>
  <c r="BI37" i="27" s="1"/>
  <c r="BC35" i="27" a="1"/>
  <c r="BC35" i="27" s="1"/>
  <c r="AT42" i="27" a="1"/>
  <c r="AT42" i="27" s="1"/>
  <c r="AM40" i="27" a="1"/>
  <c r="AM40" i="27" s="1"/>
  <c r="AI38" i="27" a="1"/>
  <c r="AI38" i="27" s="1"/>
  <c r="AC36" i="27" a="1"/>
  <c r="AC36" i="27" s="1"/>
  <c r="S35" i="27" a="1"/>
  <c r="S35" i="27" s="1"/>
  <c r="AG39" i="27" a="1"/>
  <c r="AG39" i="27" s="1"/>
  <c r="O38" i="27" a="1"/>
  <c r="O38" i="27" s="1"/>
  <c r="L42" i="27" a="1"/>
  <c r="L42" i="27" s="1"/>
  <c r="BZ38" i="27" a="1"/>
  <c r="BZ38" i="27" s="1"/>
  <c r="AC42" i="27" a="1"/>
  <c r="AC42" i="27" s="1"/>
  <c r="Q37" i="27" a="1"/>
  <c r="Q37" i="27" s="1"/>
  <c r="AF40" i="27" a="1"/>
  <c r="AF40" i="27" s="1"/>
  <c r="AX40" i="27" a="1"/>
  <c r="AX40" i="27" s="1"/>
  <c r="R36" i="27" a="1"/>
  <c r="R36" i="27" s="1"/>
  <c r="K37" i="27" a="1"/>
  <c r="K37" i="27" s="1"/>
  <c r="BN42" i="27" a="1"/>
  <c r="BN42" i="27" s="1"/>
  <c r="L36" i="27" a="1"/>
  <c r="L36" i="27" s="1"/>
  <c r="BV41" i="27" a="1"/>
  <c r="BV41" i="27" s="1"/>
  <c r="X41" i="27" a="1"/>
  <c r="X41" i="27" s="1"/>
  <c r="Q36" i="27" a="1"/>
  <c r="Q36" i="27" s="1"/>
  <c r="J35" i="27" a="1"/>
  <c r="J35" i="27" s="1"/>
  <c r="BL38" i="27" a="1"/>
  <c r="BL38" i="27" s="1"/>
  <c r="W42" i="27" a="1"/>
  <c r="W42" i="27" s="1"/>
  <c r="N36" i="27" a="1"/>
  <c r="N36" i="27" s="1"/>
  <c r="J42" i="27" a="1"/>
  <c r="J42" i="27" s="1"/>
  <c r="CH39" i="27" a="1"/>
  <c r="CH39" i="27" s="1"/>
  <c r="BR41" i="27" a="1"/>
  <c r="BR41" i="27" s="1"/>
  <c r="BL40" i="27" a="1"/>
  <c r="BL40" i="27" s="1"/>
  <c r="BF37" i="27" a="1"/>
  <c r="BF37" i="27" s="1"/>
  <c r="AV36" i="27" a="1"/>
  <c r="AV36" i="27" s="1"/>
  <c r="AR35" i="27" a="1"/>
  <c r="AR35" i="27" s="1"/>
  <c r="AH42" i="27" a="1"/>
  <c r="AH42" i="27" s="1"/>
  <c r="AA41" i="27" a="1"/>
  <c r="AA41" i="27" s="1"/>
  <c r="T40" i="27" a="1"/>
  <c r="T40" i="27" s="1"/>
  <c r="BY38" i="27" a="1"/>
  <c r="BY38" i="27" s="1"/>
  <c r="BQ37" i="27" a="1"/>
  <c r="BQ37" i="27" s="1"/>
  <c r="BK35" i="27" a="1"/>
  <c r="BK35" i="27" s="1"/>
  <c r="AR42" i="27" a="1"/>
  <c r="AR42" i="27" s="1"/>
  <c r="AK40" i="27" a="1"/>
  <c r="AK40" i="27" s="1"/>
  <c r="AG38" i="27" a="1"/>
  <c r="AG38" i="27" s="1"/>
  <c r="CG40" i="27" a="1"/>
  <c r="CG40" i="27" s="1"/>
  <c r="BP41" i="27" a="1"/>
  <c r="BP41" i="27" s="1"/>
  <c r="BJ40" i="27" a="1"/>
  <c r="BJ40" i="27" s="1"/>
  <c r="BF38" i="27" a="1"/>
  <c r="BF38" i="27" s="1"/>
  <c r="AV37" i="27" a="1"/>
  <c r="AV37" i="27" s="1"/>
  <c r="AP35" i="27" a="1"/>
  <c r="AP35" i="27" s="1"/>
  <c r="AF42" i="27" a="1"/>
  <c r="AF42" i="27" s="1"/>
  <c r="Y40" i="27" a="1"/>
  <c r="Y40" i="27" s="1"/>
  <c r="CG42" i="27" a="1"/>
  <c r="CG42" i="27" s="1"/>
  <c r="BZ39" i="27" a="1"/>
  <c r="BZ39" i="27" s="1"/>
  <c r="BJ41" i="27" a="1"/>
  <c r="BJ41" i="27" s="1"/>
  <c r="BE38" i="27" a="1"/>
  <c r="BE38" i="27" s="1"/>
  <c r="BA36" i="27" a="1"/>
  <c r="BA36" i="27" s="1"/>
  <c r="AQ36" i="27" a="1"/>
  <c r="AQ36" i="27" s="1"/>
  <c r="CH36" i="27" a="1"/>
  <c r="CH36" i="27" s="1"/>
  <c r="BW40" i="27" a="1"/>
  <c r="BW40" i="27" s="1"/>
  <c r="BP38" i="27" a="1"/>
  <c r="BP38" i="27" s="1"/>
  <c r="BJ36" i="27" a="1"/>
  <c r="BJ36" i="27" s="1"/>
  <c r="AP42" i="27" a="1"/>
  <c r="AP42" i="27" s="1"/>
  <c r="AN39" i="27" a="1"/>
  <c r="AN39" i="27" s="1"/>
  <c r="AD38" i="27" a="1"/>
  <c r="AD38" i="27" s="1"/>
  <c r="X36" i="27" a="1"/>
  <c r="X36" i="27" s="1"/>
  <c r="BT37" i="27" a="1"/>
  <c r="BT37" i="27" s="1"/>
  <c r="BQ35" i="27" a="1"/>
  <c r="BQ35" i="27" s="1"/>
  <c r="BA41" i="27" a="1"/>
  <c r="BA41" i="27" s="1"/>
  <c r="AT39" i="27" a="1"/>
  <c r="AT39" i="27" s="1"/>
  <c r="AK38" i="27" a="1"/>
  <c r="AK38" i="27" s="1"/>
  <c r="AG36" i="27" a="1"/>
  <c r="AG36" i="27" s="1"/>
  <c r="CG37" i="27" a="1"/>
  <c r="CG37" i="27" s="1"/>
  <c r="BU40" i="27" a="1"/>
  <c r="BU40" i="27" s="1"/>
  <c r="BS37" i="27" a="1"/>
  <c r="BS37" i="27" s="1"/>
  <c r="BM35" i="27" a="1"/>
  <c r="BM35" i="27" s="1"/>
  <c r="BA42" i="27" a="1"/>
  <c r="BA42" i="27" s="1"/>
  <c r="AS40" i="27" a="1"/>
  <c r="AS40" i="27" s="1"/>
  <c r="AK39" i="27" a="1"/>
  <c r="AK39" i="27" s="1"/>
  <c r="AG37" i="27" a="1"/>
  <c r="AG37" i="27" s="1"/>
  <c r="AA35" i="27" a="1"/>
  <c r="AA35" i="27" s="1"/>
  <c r="Q42" i="27" a="1"/>
  <c r="Q42" i="27" s="1"/>
  <c r="P35" i="27" a="1"/>
  <c r="P35" i="27" s="1"/>
  <c r="J40" i="27" a="1"/>
  <c r="J40" i="27" s="1"/>
  <c r="BW35" i="27" a="1"/>
  <c r="BW35" i="27" s="1"/>
  <c r="Y39" i="27" a="1"/>
  <c r="Y39" i="27" s="1"/>
  <c r="O35" i="27" a="1"/>
  <c r="O35" i="27" s="1"/>
  <c r="V36" i="27" a="1"/>
  <c r="V36" i="27" s="1"/>
  <c r="AJ38" i="27" a="1"/>
  <c r="AJ38" i="27" s="1"/>
  <c r="J39" i="27" a="1"/>
  <c r="J39" i="27" s="1"/>
  <c r="BD40" i="27" a="1"/>
  <c r="BD40" i="27" s="1"/>
  <c r="S40" i="27" a="1"/>
  <c r="S40" i="27" s="1"/>
  <c r="M42" i="27" a="1"/>
  <c r="M42" i="27" s="1"/>
  <c r="BR40" i="27" a="1"/>
  <c r="BR40" i="27" s="1"/>
  <c r="AC37" i="27" a="1"/>
  <c r="AC37" i="27" s="1"/>
  <c r="BH36" i="27" a="1"/>
  <c r="BH36" i="27" s="1"/>
  <c r="BB38" i="27" a="1"/>
  <c r="BB38" i="27" s="1"/>
  <c r="T39" i="27" a="1"/>
  <c r="T39" i="27" s="1"/>
  <c r="N38" i="27" a="1"/>
  <c r="N38" i="27" s="1"/>
  <c r="CD35" i="27" a="1"/>
  <c r="CD35" i="27" s="1"/>
  <c r="CH38" i="27" a="1"/>
  <c r="CH38" i="27" s="1"/>
  <c r="BU42" i="27" a="1"/>
  <c r="BU42" i="27" s="1"/>
  <c r="BP40" i="27" a="1"/>
  <c r="BP40" i="27" s="1"/>
  <c r="BJ38" i="27" a="1"/>
  <c r="BJ38" i="27" s="1"/>
  <c r="BD36" i="27" a="1"/>
  <c r="BD36" i="27" s="1"/>
  <c r="AF41" i="27" a="1"/>
  <c r="AF41" i="27" s="1"/>
  <c r="Z40" i="27" a="1"/>
  <c r="Z40" i="27" s="1"/>
  <c r="R39" i="27" a="1"/>
  <c r="R39" i="27" s="1"/>
  <c r="BZ42" i="27" a="1"/>
  <c r="BZ42" i="27" s="1"/>
  <c r="BX37" i="27" a="1"/>
  <c r="BX37" i="27" s="1"/>
  <c r="BO36" i="27" a="1"/>
  <c r="BO36" i="27" s="1"/>
  <c r="AY42" i="27" a="1"/>
  <c r="AY42" i="27" s="1"/>
  <c r="AR41" i="27" a="1"/>
  <c r="AR41" i="27" s="1"/>
  <c r="AO38" i="27" a="1"/>
  <c r="AO38" i="27" s="1"/>
  <c r="AE37" i="27" a="1"/>
  <c r="AE37" i="27" s="1"/>
  <c r="CF38" i="27" a="1"/>
  <c r="CF38" i="27" s="1"/>
  <c r="BY41" i="27" a="1"/>
  <c r="BY41" i="27" s="1"/>
  <c r="BN40" i="27" a="1"/>
  <c r="BN40" i="27" s="1"/>
  <c r="BJ39" i="27" a="1"/>
  <c r="BJ39" i="27" s="1"/>
  <c r="BD37" i="27" a="1"/>
  <c r="BD37" i="27" s="1"/>
  <c r="AZ35" i="27" a="1"/>
  <c r="AZ35" i="27" s="1"/>
  <c r="AN42" i="27" a="1"/>
  <c r="AN42" i="27" s="1"/>
  <c r="AD41" i="27" a="1"/>
  <c r="AD41" i="27" s="1"/>
  <c r="X39" i="27" a="1"/>
  <c r="X39" i="27" s="1"/>
  <c r="CF40" i="27" a="1"/>
  <c r="CF40" i="27" s="1"/>
  <c r="CA36" i="27" a="1"/>
  <c r="CA36" i="27" s="1"/>
  <c r="BO41" i="27" a="1"/>
  <c r="BO41" i="27" s="1"/>
  <c r="BI39" i="27" a="1"/>
  <c r="BI39" i="27" s="1"/>
  <c r="BC37" i="27" a="1"/>
  <c r="BC37" i="27" s="1"/>
  <c r="AY35" i="27" a="1"/>
  <c r="AY35" i="27" s="1"/>
  <c r="AE42" i="27" a="1"/>
  <c r="AE42" i="27" s="1"/>
  <c r="CF35" i="27" a="1"/>
  <c r="CF35" i="27" s="1"/>
  <c r="BW39" i="27" a="1"/>
  <c r="BW39" i="27" s="1"/>
  <c r="BN37" i="27" a="1"/>
  <c r="BN37" i="27" s="1"/>
  <c r="BH35" i="27" a="1"/>
  <c r="BH35" i="27" s="1"/>
  <c r="AV42" i="27" a="1"/>
  <c r="AV42" i="27" s="1"/>
  <c r="AU39" i="27" a="1"/>
  <c r="AU39" i="27" s="1"/>
  <c r="AL38" i="27" a="1"/>
  <c r="AL38" i="27" s="1"/>
  <c r="AH36" i="27" a="1"/>
  <c r="AH36" i="27" s="1"/>
  <c r="O41" i="27" a="1"/>
  <c r="O41" i="27" s="1"/>
  <c r="CB40" i="27" a="1"/>
  <c r="CB40" i="27" s="1"/>
  <c r="BX35" i="27" a="1"/>
  <c r="BX35" i="27" s="1"/>
  <c r="BF42" i="27" a="1"/>
  <c r="BF42" i="27" s="1"/>
  <c r="AY40" i="27" a="1"/>
  <c r="AY40" i="27" s="1"/>
  <c r="AS38" i="27" a="1"/>
  <c r="AS38" i="27" s="1"/>
  <c r="AO36" i="27" a="1"/>
  <c r="AO36" i="27" s="1"/>
  <c r="AE35" i="27" a="1"/>
  <c r="AE35" i="27" s="1"/>
  <c r="S42" i="27" a="1"/>
  <c r="S42" i="27" s="1"/>
  <c r="CE36" i="27" a="1"/>
  <c r="CE36" i="27" s="1"/>
  <c r="BT38" i="27" a="1"/>
  <c r="BT38" i="27" s="1"/>
  <c r="BQ36" i="27" a="1"/>
  <c r="BQ36" i="27" s="1"/>
  <c r="AY41" i="27" a="1"/>
  <c r="AY41" i="27" s="1"/>
  <c r="AS39" i="27" a="1"/>
  <c r="AS39" i="27" s="1"/>
  <c r="AO37" i="27" a="1"/>
  <c r="AO37" i="27" s="1"/>
  <c r="AE36" i="27" a="1"/>
  <c r="AE36" i="27" s="1"/>
  <c r="BY36" i="27" a="1"/>
  <c r="BY36" i="27" s="1"/>
  <c r="Y36" i="27" a="1"/>
  <c r="Y36" i="27" s="1"/>
  <c r="L35" i="27" a="1"/>
  <c r="L35" i="27" s="1"/>
  <c r="I40" i="27" a="1"/>
  <c r="I40" i="27" s="1"/>
  <c r="AB35" i="27" a="1"/>
  <c r="AB35" i="27" s="1"/>
  <c r="M35" i="27" a="1"/>
  <c r="M35" i="27" s="1"/>
  <c r="M39" i="27" a="1"/>
  <c r="M39" i="27" s="1"/>
  <c r="AE38" i="27" a="1"/>
  <c r="AE38" i="27" s="1"/>
  <c r="O40" i="27" a="1"/>
  <c r="O40" i="27" s="1"/>
  <c r="AV39" i="27" a="1"/>
  <c r="AV39" i="27" s="1"/>
  <c r="U37" i="27" a="1"/>
  <c r="U37" i="27" s="1"/>
  <c r="K36" i="27" a="1"/>
  <c r="K36" i="27" s="1"/>
  <c r="BM39" i="27" a="1"/>
  <c r="BM39" i="27" s="1"/>
  <c r="M36" i="27" a="1"/>
  <c r="M36" i="27" s="1"/>
  <c r="X40" i="27" a="1"/>
  <c r="X40" i="27" s="1"/>
  <c r="AX36" i="27" a="1"/>
  <c r="AX36" i="27" s="1"/>
  <c r="S37" i="27" a="1"/>
  <c r="S37" i="27" s="1"/>
  <c r="L41" i="27" a="1"/>
  <c r="L41" i="27" s="1"/>
  <c r="BU39" i="27" a="1"/>
  <c r="BU39" i="27" s="1"/>
  <c r="CF37" i="27" a="1"/>
  <c r="CF37" i="27" s="1"/>
  <c r="BT40" i="27" a="1"/>
  <c r="BT40" i="27" s="1"/>
  <c r="BN39" i="27" a="1"/>
  <c r="BN39" i="27" s="1"/>
  <c r="BH37" i="27" a="1"/>
  <c r="BH37" i="27" s="1"/>
  <c r="BB35" i="27" a="1"/>
  <c r="BB35" i="27" s="1"/>
  <c r="AS42" i="27" a="1"/>
  <c r="AS42" i="27" s="1"/>
  <c r="AN41" i="27" a="1"/>
  <c r="AN41" i="27" s="1"/>
  <c r="AD40" i="27" a="1"/>
  <c r="AD40" i="27" s="1"/>
  <c r="Z39" i="27" a="1"/>
  <c r="Z39" i="27" s="1"/>
  <c r="CH41" i="27" a="1"/>
  <c r="CH41" i="27" s="1"/>
  <c r="CB39" i="27" a="1"/>
  <c r="CB39" i="27" s="1"/>
  <c r="BV36" i="27" a="1"/>
  <c r="BV36" i="27" s="1"/>
  <c r="BC42" i="27" a="1"/>
  <c r="BC42" i="27" s="1"/>
  <c r="AW41" i="27" a="1"/>
  <c r="AW41" i="27" s="1"/>
  <c r="AQ39" i="27" a="1"/>
  <c r="AQ39" i="27" s="1"/>
  <c r="AM37" i="27" a="1"/>
  <c r="AM37" i="27" s="1"/>
  <c r="AI35" i="27" a="1"/>
  <c r="AI35" i="27" s="1"/>
  <c r="CD37" i="27" a="1"/>
  <c r="CD37" i="27" s="1"/>
  <c r="BY40" i="27" a="1"/>
  <c r="BY40" i="27" s="1"/>
  <c r="BR38" i="27" a="1"/>
  <c r="BR38" i="27" s="1"/>
  <c r="BH38" i="27" a="1"/>
  <c r="BH38" i="27" s="1"/>
  <c r="BB36" i="27" a="1"/>
  <c r="BB36" i="27" s="1"/>
  <c r="AL41" i="27" a="1"/>
  <c r="AL41" i="27" s="1"/>
  <c r="AH39" i="27" a="1"/>
  <c r="AH39" i="27" s="1"/>
  <c r="AB37" i="27" a="1"/>
  <c r="AB37" i="27" s="1"/>
  <c r="CF39" i="27" a="1"/>
  <c r="CF39" i="27" s="1"/>
  <c r="BY42" i="27" a="1"/>
  <c r="BY42" i="27" s="1"/>
  <c r="BS39" i="27" a="1"/>
  <c r="BS39" i="27" s="1"/>
  <c r="BM37" i="27" a="1"/>
  <c r="BM37" i="27" s="1"/>
  <c r="BG35" i="27" a="1"/>
  <c r="BG35" i="27" s="1"/>
  <c r="AM42" i="27" a="1"/>
  <c r="AM42" i="27" s="1"/>
  <c r="AI40" i="27" a="1"/>
  <c r="AI40" i="27" s="1"/>
  <c r="BU37" i="27" a="1"/>
  <c r="BU37" i="27" s="1"/>
  <c r="BR35" i="27" a="1"/>
  <c r="BR35" i="27" s="1"/>
  <c r="BG42" i="27" a="1"/>
  <c r="BG42" i="27" s="1"/>
  <c r="AZ40" i="27" a="1"/>
  <c r="AZ40" i="27" s="1"/>
  <c r="AT38" i="27" a="1"/>
  <c r="AT38" i="27" s="1"/>
  <c r="AJ37" i="27" a="1"/>
  <c r="AJ37" i="27" s="1"/>
  <c r="AF35" i="27" a="1"/>
  <c r="AF35" i="27" s="1"/>
  <c r="T42" i="27" a="1"/>
  <c r="T42" i="27" s="1"/>
  <c r="CE42" i="27" a="1"/>
  <c r="CE42" i="27" s="1"/>
  <c r="CA38" i="27" a="1"/>
  <c r="CA38" i="27" s="1"/>
  <c r="BI42" i="27" a="1"/>
  <c r="BI42" i="27" s="1"/>
  <c r="BE40" i="27" a="1"/>
  <c r="BE40" i="27" s="1"/>
  <c r="AW39" i="27" a="1"/>
  <c r="AW39" i="27" s="1"/>
  <c r="AQ37" i="27" a="1"/>
  <c r="AQ37" i="27" s="1"/>
  <c r="AM35" i="27" a="1"/>
  <c r="AM35" i="27" s="1"/>
  <c r="AC41" i="27" a="1"/>
  <c r="AC41" i="27" s="1"/>
  <c r="W40" i="27" a="1"/>
  <c r="W40" i="27" s="1"/>
  <c r="CC35" i="27" a="1"/>
  <c r="CC35" i="27" s="1"/>
  <c r="BX36" i="27" a="1"/>
  <c r="BX36" i="27" s="1"/>
  <c r="BO35" i="27" a="1"/>
  <c r="BO35" i="27" s="1"/>
  <c r="BD42" i="27" a="1"/>
  <c r="BD42" i="27" s="1"/>
  <c r="AW40" i="27" a="1"/>
  <c r="AW40" i="27" s="1"/>
  <c r="AQ38" i="27" a="1"/>
  <c r="AQ38" i="27" s="1"/>
  <c r="AM36" i="27" a="1"/>
  <c r="AM36" i="27" s="1"/>
  <c r="W41" i="27" a="1"/>
  <c r="W41" i="27" s="1"/>
  <c r="BP35" i="27" a="1"/>
  <c r="BP35" i="27" s="1"/>
  <c r="U41" i="27" a="1"/>
  <c r="U41" i="27" s="1"/>
  <c r="N39" i="27" a="1"/>
  <c r="N39" i="27" s="1"/>
  <c r="CB42" i="27" a="1"/>
  <c r="CB42" i="27" s="1"/>
  <c r="BE42" i="27" a="1"/>
  <c r="BE42" i="27" s="1"/>
  <c r="S41" i="27" a="1"/>
  <c r="S41" i="27" s="1"/>
  <c r="N37" i="27" a="1"/>
  <c r="N37" i="27" s="1"/>
  <c r="CD36" i="27" a="1"/>
  <c r="CD36" i="27" s="1"/>
  <c r="BT39" i="27" a="1"/>
  <c r="BT39" i="27" s="1"/>
  <c r="BR37" i="27" a="1"/>
  <c r="BR37" i="27" s="1"/>
  <c r="BL35" i="27" a="1"/>
  <c r="BL35" i="27" s="1"/>
  <c r="AZ42" i="27" a="1"/>
  <c r="AZ42" i="27" s="1"/>
  <c r="AS41" i="27" a="1"/>
  <c r="AS41" i="27" s="1"/>
  <c r="AL40" i="27" a="1"/>
  <c r="AL40" i="27" s="1"/>
  <c r="AH38" i="27" a="1"/>
  <c r="AH38" i="27" s="1"/>
  <c r="X38" i="27" a="1"/>
  <c r="X38" i="27" s="1"/>
  <c r="CH40" i="27" a="1"/>
  <c r="CH40" i="27" s="1"/>
  <c r="BZ37" i="27" a="1"/>
  <c r="BZ37" i="27" s="1"/>
  <c r="BT35" i="27" a="1"/>
  <c r="BT35" i="27" s="1"/>
  <c r="BL42" i="27" a="1"/>
  <c r="BL42" i="27" s="1"/>
  <c r="BB41" i="27" a="1"/>
  <c r="BB41" i="27" s="1"/>
  <c r="BA39" i="27" a="1"/>
  <c r="BA39" i="27" s="1"/>
  <c r="AU37" i="27" a="1"/>
  <c r="AU37" i="27" s="1"/>
  <c r="AK36" i="27" a="1"/>
  <c r="AK36" i="27" s="1"/>
  <c r="CH35" i="27" a="1"/>
  <c r="CH35" i="27" s="1"/>
  <c r="BX38" i="27" a="1"/>
  <c r="BX38" i="27" s="1"/>
  <c r="BP37" i="27" a="1"/>
  <c r="BP37" i="27" s="1"/>
  <c r="BL36" i="27" a="1"/>
  <c r="BL36" i="27" s="1"/>
  <c r="AQ41" i="27" a="1"/>
  <c r="AQ41" i="27" s="1"/>
  <c r="AJ40" i="27" a="1"/>
  <c r="AJ40" i="27" s="1"/>
  <c r="AF38" i="27" a="1"/>
  <c r="AF38" i="27" s="1"/>
  <c r="Z36" i="27" a="1"/>
  <c r="Z36" i="27" s="1"/>
  <c r="CE38" i="27" a="1"/>
  <c r="CE38" i="27" s="1"/>
  <c r="BX40" i="27" a="1"/>
  <c r="BX40" i="27" s="1"/>
  <c r="BQ38" i="27" a="1"/>
  <c r="BQ38" i="27" s="1"/>
  <c r="BK36" i="27" a="1"/>
  <c r="BK36" i="27" s="1"/>
  <c r="AQ42" i="27" a="1"/>
  <c r="AQ42" i="27" s="1"/>
  <c r="AK41" i="27" a="1"/>
  <c r="AK41" i="27" s="1"/>
  <c r="CF42" i="27" a="1"/>
  <c r="CF42" i="27" s="1"/>
  <c r="BZ41" i="27" a="1"/>
  <c r="BZ41" i="27" s="1"/>
  <c r="BY35" i="27" a="1"/>
  <c r="BY35" i="27" s="1"/>
  <c r="BF41" i="27" a="1"/>
  <c r="BF41" i="27" s="1"/>
  <c r="AX39" i="27" a="1"/>
  <c r="AX39" i="27" s="1"/>
  <c r="AR37" i="27" a="1"/>
  <c r="AR37" i="27" s="1"/>
  <c r="AN35" i="27" a="1"/>
  <c r="AN35" i="27" s="1"/>
  <c r="R41" i="27" a="1"/>
  <c r="R41" i="27" s="1"/>
  <c r="CE41" i="27" a="1"/>
  <c r="CE41" i="27" s="1"/>
  <c r="CB35" i="27" a="1"/>
  <c r="CB35" i="27" s="1"/>
  <c r="BO42" i="27" a="1"/>
  <c r="BO42" i="27" s="1"/>
  <c r="BH41" i="27" a="1"/>
  <c r="BH41" i="27" s="1"/>
  <c r="BE39" i="27" a="1"/>
  <c r="BE39" i="27" s="1"/>
  <c r="BA37" i="27" a="1"/>
  <c r="BA37" i="27" s="1"/>
  <c r="AU35" i="27" a="1"/>
  <c r="AU35" i="27" s="1"/>
  <c r="AC40" i="27" a="1"/>
  <c r="AC40" i="27" s="1"/>
  <c r="U39" i="27" a="1"/>
  <c r="U39" i="27" s="1"/>
  <c r="CA40" i="27" a="1"/>
  <c r="CA40" i="27" s="1"/>
  <c r="BV35" i="27" a="1"/>
  <c r="BV35" i="27" s="1"/>
  <c r="BM41" i="27" a="1"/>
  <c r="BM41" i="27" s="1"/>
  <c r="BD41" i="27" a="1"/>
  <c r="BD41" i="27" s="1"/>
  <c r="BA38" i="27" a="1"/>
  <c r="BA38" i="27" s="1"/>
  <c r="AU36" i="27" a="1"/>
  <c r="AU36" i="27" s="1"/>
  <c r="AK35" i="27" a="1"/>
  <c r="AK35" i="27" s="1"/>
  <c r="AB42" i="27" a="1"/>
  <c r="AB42" i="27" s="1"/>
  <c r="U40" i="27" a="1"/>
  <c r="U40" i="27" s="1"/>
  <c r="U38" i="27" a="1"/>
  <c r="U38" i="27" s="1"/>
  <c r="N41" i="27" a="1"/>
  <c r="N41" i="27" s="1"/>
  <c r="AJ42" i="27" a="1"/>
  <c r="AJ42" i="27" s="1"/>
  <c r="AZ41" i="27" a="1"/>
  <c r="AZ41" i="27" s="1"/>
  <c r="R38" i="27" a="1"/>
  <c r="R38" i="27" s="1"/>
  <c r="L40" i="27" a="1"/>
  <c r="L40" i="27" s="1"/>
  <c r="CA35" i="27" a="1"/>
  <c r="CA35" i="27" s="1"/>
  <c r="AC38" i="27" a="1"/>
  <c r="AC38" i="27" s="1"/>
  <c r="AD35" i="27" a="1"/>
  <c r="AD35" i="27" s="1"/>
  <c r="AN36" i="27" a="1"/>
  <c r="AN36" i="27" s="1"/>
  <c r="I38" i="27" a="1"/>
  <c r="I38" i="27" s="1"/>
  <c r="AZ37" i="27" a="1"/>
  <c r="AZ37" i="27" s="1"/>
  <c r="T37" i="27" a="1"/>
  <c r="T37" i="27" s="1"/>
  <c r="N40" i="27" a="1"/>
  <c r="N40" i="27" s="1"/>
  <c r="K40" i="27" a="1"/>
  <c r="K40" i="27" s="1"/>
  <c r="O42" i="27" a="1"/>
  <c r="O42" i="27" s="1"/>
  <c r="I36" i="27" a="1"/>
  <c r="I36" i="27" s="1"/>
  <c r="BJ37" i="27" a="1"/>
  <c r="BJ37" i="27" s="1"/>
  <c r="BY37" i="27" a="1"/>
  <c r="BY37" i="27" s="1"/>
  <c r="BP36" i="27" a="1"/>
  <c r="BP36" i="27" s="1"/>
  <c r="AX41" i="27" a="1"/>
  <c r="AX41" i="27" s="1"/>
  <c r="AR40" i="27" a="1"/>
  <c r="AR40" i="27" s="1"/>
  <c r="AJ39" i="27" a="1"/>
  <c r="AJ39" i="27" s="1"/>
  <c r="AF37" i="27" a="1"/>
  <c r="AF37" i="27" s="1"/>
  <c r="AB36" i="27" a="1"/>
  <c r="AB36" i="27" s="1"/>
  <c r="CG39" i="27" a="1"/>
  <c r="CG39" i="27" s="1"/>
  <c r="BR42" i="27" a="1"/>
  <c r="BR42" i="27" s="1"/>
  <c r="BK40" i="27" a="1"/>
  <c r="BK40" i="27" s="1"/>
  <c r="BB40" i="27" a="1"/>
  <c r="BB40" i="27" s="1"/>
  <c r="AY38" i="27" a="1"/>
  <c r="AY38" i="27" s="1"/>
  <c r="AS36" i="27" a="1"/>
  <c r="AS36" i="27" s="1"/>
  <c r="Z42" i="27" a="1"/>
  <c r="Z42" i="27" s="1"/>
  <c r="BW37" i="27" a="1"/>
  <c r="BW37" i="27" s="1"/>
  <c r="BN36" i="27" a="1"/>
  <c r="BN36" i="27" s="1"/>
  <c r="BJ35" i="27" a="1"/>
  <c r="BJ35" i="27" s="1"/>
  <c r="AX42" i="27" a="1"/>
  <c r="AX42" i="27" s="1"/>
  <c r="AQ40" i="27" a="1"/>
  <c r="AQ40" i="27" s="1"/>
  <c r="AN38" i="27" a="1"/>
  <c r="AN38" i="27" s="1"/>
  <c r="AD37" i="27" a="1"/>
  <c r="AD37" i="27" s="1"/>
  <c r="X35" i="27" a="1"/>
  <c r="X35" i="27" s="1"/>
  <c r="CC37" i="27" a="1"/>
  <c r="CC37" i="27" s="1"/>
  <c r="BX39" i="27" a="1"/>
  <c r="BX39" i="27" s="1"/>
  <c r="BO37" i="27" a="1"/>
  <c r="BO37" i="27" s="1"/>
  <c r="BI35" i="27" a="1"/>
  <c r="BI35" i="27" s="1"/>
  <c r="AW42" i="27" a="1"/>
  <c r="AW42" i="27" s="1"/>
  <c r="AP41" i="27" a="1"/>
  <c r="AP41" i="27" s="1"/>
  <c r="AO39" i="27" a="1"/>
  <c r="AO39" i="27" s="1"/>
  <c r="CF41" i="27" a="1"/>
  <c r="CF41" i="27" s="1"/>
  <c r="CB38" i="27" a="1"/>
  <c r="CB38" i="27" s="1"/>
  <c r="BI41" i="27" a="1"/>
  <c r="BI41" i="27" s="1"/>
  <c r="BF40" i="27" a="1"/>
  <c r="BF40" i="27" s="1"/>
  <c r="AV38" i="27" a="1"/>
  <c r="AV38" i="27" s="1"/>
  <c r="AP36" i="27" a="1"/>
  <c r="AP36" i="27" s="1"/>
  <c r="X42" i="27" a="1"/>
  <c r="X42" i="27" s="1"/>
  <c r="V39" i="27" a="1"/>
  <c r="V39" i="27" s="1"/>
  <c r="CD39" i="27" a="1"/>
  <c r="CD39" i="27" s="1"/>
  <c r="BW42" i="27" a="1"/>
  <c r="BW42" i="27" s="1"/>
  <c r="BS40" i="27" a="1"/>
  <c r="BS40" i="27" s="1"/>
  <c r="BH40" i="27" a="1"/>
  <c r="BH40" i="27" s="1"/>
  <c r="BC38" i="27" a="1"/>
  <c r="BC38" i="27" s="1"/>
  <c r="AY36" i="27" a="1"/>
  <c r="AY36" i="27" s="1"/>
  <c r="AI41" i="27" a="1"/>
  <c r="AI41" i="27" s="1"/>
  <c r="AB39" i="27" a="1"/>
  <c r="AB39" i="27" s="1"/>
  <c r="S38" i="27" a="1"/>
  <c r="S38" i="27" s="1"/>
  <c r="CB37" i="27" a="1"/>
  <c r="CB37" i="27" s="1"/>
  <c r="BM40" i="27" a="1"/>
  <c r="BM40" i="27" s="1"/>
  <c r="BC39" i="27" a="1"/>
  <c r="BC39" i="27" s="1"/>
  <c r="AY37" i="27" a="1"/>
  <c r="AY37" i="27" s="1"/>
  <c r="AS35" i="27" a="1"/>
  <c r="AS35" i="27" s="1"/>
  <c r="AI42" i="27" a="1"/>
  <c r="AI42" i="27" s="1"/>
  <c r="AA40" i="27" a="1"/>
  <c r="AA40" i="27" s="1"/>
  <c r="S39" i="27" a="1"/>
  <c r="S39" i="27" s="1"/>
  <c r="T36" i="27" a="1"/>
  <c r="T36" i="27" s="1"/>
  <c r="K39" i="27" a="1"/>
  <c r="K39" i="27" s="1"/>
  <c r="V38" i="27" a="1"/>
  <c r="V38" i="27" s="1"/>
  <c r="AT40" i="27" a="1"/>
  <c r="AT40" i="27" s="1"/>
  <c r="S36" i="27" a="1"/>
  <c r="S36" i="27" s="1"/>
  <c r="K38" i="27" a="1"/>
  <c r="K38" i="27" s="1"/>
  <c r="Y35" i="27" a="1"/>
  <c r="Y35" i="27" s="1"/>
  <c r="N35" i="27" a="1"/>
  <c r="N35" i="27" s="1"/>
  <c r="CA42" i="27" a="1"/>
  <c r="CA42" i="27" s="1"/>
  <c r="BW36" i="27" a="1"/>
  <c r="BW36" i="27" s="1"/>
  <c r="BN35" i="27" a="1"/>
  <c r="BN35" i="27" s="1"/>
  <c r="BC41" i="27" a="1"/>
  <c r="BC41" i="27" s="1"/>
  <c r="AV40" i="27" a="1"/>
  <c r="AV40" i="27" s="1"/>
  <c r="AR39" i="27" a="1"/>
  <c r="AR39" i="27" s="1"/>
  <c r="AN37" i="27" a="1"/>
  <c r="AN37" i="27" s="1"/>
  <c r="AD36" i="27" a="1"/>
  <c r="AD36" i="27" s="1"/>
  <c r="Z35" i="27" a="1"/>
  <c r="Z35" i="27" s="1"/>
  <c r="CG38" i="27" a="1"/>
  <c r="CG38" i="27" s="1"/>
  <c r="BT42" i="27" a="1"/>
  <c r="BT42" i="27" s="1"/>
  <c r="BQ41" i="27" a="1"/>
  <c r="BQ41" i="27" s="1"/>
  <c r="BK39" i="27" a="1"/>
  <c r="BK39" i="27" s="1"/>
  <c r="BG38" i="27" a="1"/>
  <c r="BG38" i="27" s="1"/>
  <c r="AW37" i="27" a="1"/>
  <c r="AW37" i="27" s="1"/>
  <c r="AQ35" i="27" a="1"/>
  <c r="AQ35" i="27" s="1"/>
  <c r="AG42" i="27" a="1"/>
  <c r="AG42" i="27" s="1"/>
  <c r="Z41" i="27" a="1"/>
  <c r="Z41" i="27" s="1"/>
  <c r="CB41" i="27" a="1"/>
  <c r="CB41" i="27" s="1"/>
  <c r="BU36" i="27" a="1"/>
  <c r="BU36" i="27" s="1"/>
  <c r="AV41" i="27" a="1"/>
  <c r="AV41" i="27" s="1"/>
  <c r="AP39" i="27" a="1"/>
  <c r="AP39" i="27" s="1"/>
  <c r="AL37" i="27" a="1"/>
  <c r="AL37" i="27" s="1"/>
  <c r="AH35" i="27" a="1"/>
  <c r="AH35" i="27" s="1"/>
  <c r="V42" i="27" a="1"/>
  <c r="V42" i="27" s="1"/>
  <c r="CG35" i="27" a="1"/>
  <c r="CG35" i="27" s="1"/>
  <c r="BW38" i="27" a="1"/>
  <c r="BW38" i="27" s="1"/>
  <c r="BS35" i="27" a="1"/>
  <c r="BS35" i="27" s="1"/>
  <c r="BG41" i="27" a="1"/>
  <c r="BG41" i="27" s="1"/>
  <c r="BA40" i="27" a="1"/>
  <c r="BA40" i="27" s="1"/>
  <c r="AP40" i="27" a="1"/>
  <c r="AP40" i="27" s="1"/>
  <c r="AM38" i="27" a="1"/>
  <c r="AM38" i="27" s="1"/>
  <c r="CE40" i="27" a="1"/>
  <c r="CE40" i="27" s="1"/>
  <c r="BZ36" i="27" a="1"/>
  <c r="BZ36" i="27" s="1"/>
  <c r="BP42" i="27" a="1"/>
  <c r="BP42" i="27" s="1"/>
  <c r="BI40" i="27" a="1"/>
  <c r="BI40" i="27" s="1"/>
  <c r="BD38" i="27" a="1"/>
  <c r="BD38" i="27" s="1"/>
  <c r="AZ36" i="27" a="1"/>
  <c r="AZ36" i="27" s="1"/>
  <c r="AD42" i="27" a="1"/>
  <c r="AD42" i="27" s="1"/>
  <c r="AC39" i="27" a="1"/>
  <c r="AC39" i="27" s="1"/>
  <c r="T38" i="27" a="1"/>
  <c r="T38" i="27" s="1"/>
  <c r="CC38" i="27" a="1"/>
  <c r="CC38" i="27" s="1"/>
  <c r="BW41" i="27" a="1"/>
  <c r="BW41" i="27" s="1"/>
  <c r="BQ39" i="27" a="1"/>
  <c r="BQ39" i="27" s="1"/>
  <c r="BM38" i="27" a="1"/>
  <c r="BM38" i="27" s="1"/>
  <c r="BG36" i="27" a="1"/>
  <c r="BG36" i="27" s="1"/>
  <c r="AW35" i="27" a="1"/>
  <c r="AW35" i="27" s="1"/>
  <c r="AK42" i="27" a="1"/>
  <c r="AK42" i="27" s="1"/>
  <c r="AG40" i="27" a="1"/>
  <c r="AG40" i="27" s="1"/>
  <c r="AA38" i="27" a="1"/>
  <c r="AA38" i="27" s="1"/>
  <c r="CD42" i="27" a="1"/>
  <c r="CD42" i="27" s="1"/>
  <c r="BZ35" i="27" a="1"/>
  <c r="BZ35" i="27" s="1"/>
  <c r="BS41" i="27" a="1"/>
  <c r="BS41" i="27" s="1"/>
  <c r="BL39" i="27" a="1"/>
  <c r="BL39" i="27" s="1"/>
  <c r="BG37" i="27" a="1"/>
  <c r="BG37" i="27" s="1"/>
  <c r="AW36" i="27" a="1"/>
  <c r="AW36" i="27" s="1"/>
  <c r="AQ43" i="27"/>
  <c r="AG41" i="27" a="1"/>
  <c r="AG41" i="27" s="1"/>
  <c r="AA39" i="27" a="1"/>
  <c r="AA39" i="27" s="1"/>
  <c r="W37" i="27" a="1"/>
  <c r="W37" i="27" s="1"/>
  <c r="AT41" i="27" a="1"/>
  <c r="AT41" i="27" s="1"/>
  <c r="J41" i="27" a="1"/>
  <c r="J41" i="27" s="1"/>
  <c r="AL39" i="27" a="1"/>
  <c r="AL39" i="27" s="1"/>
  <c r="I39" i="27" a="1"/>
  <c r="I39" i="27" s="1"/>
  <c r="BH42" i="27" a="1"/>
  <c r="BH42" i="27" s="1"/>
  <c r="V40" i="27" a="1"/>
  <c r="V40" i="27" s="1"/>
  <c r="L38" i="27" a="1"/>
  <c r="L38" i="27" s="1"/>
  <c r="M37" i="27" a="1"/>
  <c r="M37" i="27" s="1"/>
  <c r="AB41" i="27" a="1"/>
  <c r="AB41" i="27" s="1"/>
  <c r="O37" i="27" a="1"/>
  <c r="O37" i="27" s="1"/>
  <c r="J36" i="27" a="1"/>
  <c r="J36" i="27" s="1"/>
  <c r="AL35" i="27" a="1"/>
  <c r="AL35" i="27" s="1"/>
  <c r="P42" i="27" a="1"/>
  <c r="P42" i="27" s="1"/>
  <c r="K35" i="27" a="1"/>
  <c r="K35" i="27" s="1"/>
  <c r="BV40" i="27" a="1"/>
  <c r="BV40" i="27" s="1"/>
  <c r="AB40" i="27" a="1"/>
  <c r="AB40" i="27" s="1"/>
  <c r="P36" i="27" a="1"/>
  <c r="P36" i="27" s="1"/>
  <c r="AA36" i="27" a="1"/>
  <c r="AA36" i="27" s="1"/>
  <c r="AV35" i="27" a="1"/>
  <c r="AV35" i="27" s="1"/>
  <c r="BZ40" i="27" a="1"/>
  <c r="BZ40" i="27" s="1"/>
  <c r="BU35" i="27" a="1"/>
  <c r="BU35" i="27" s="1"/>
  <c r="BM42" i="27" a="1"/>
  <c r="BM42" i="27" s="1"/>
  <c r="BC40" i="27" a="1"/>
  <c r="BC40" i="27" s="1"/>
  <c r="AZ38" i="27" a="1"/>
  <c r="AZ38" i="27" s="1"/>
  <c r="AP38" i="27" a="1"/>
  <c r="AP38" i="27" s="1"/>
  <c r="AL36" i="27" a="1"/>
  <c r="AL36" i="27" s="1"/>
  <c r="CE37" i="27" a="1"/>
  <c r="CE37" i="27" s="1"/>
  <c r="BT41" i="27" a="1"/>
  <c r="BT41" i="27" s="1"/>
  <c r="BO40" i="27" a="1"/>
  <c r="BO40" i="27" s="1"/>
  <c r="BI38" i="27" a="1"/>
  <c r="BI38" i="27" s="1"/>
  <c r="BE37" i="27" a="1"/>
  <c r="BE37" i="27" s="1"/>
  <c r="BA35" i="27" a="1"/>
  <c r="BA35" i="27" s="1"/>
  <c r="AO42" i="27" a="1"/>
  <c r="AO42" i="27" s="1"/>
  <c r="AE41" i="27" a="1"/>
  <c r="AE41" i="27" s="1"/>
  <c r="CH42" i="27" a="1"/>
  <c r="CH42" i="27" s="1"/>
  <c r="CA39" i="27" a="1"/>
  <c r="CA39" i="27" s="1"/>
  <c r="BK42" i="27" a="1"/>
  <c r="BK42" i="27" s="1"/>
  <c r="BB42" i="27" a="1"/>
  <c r="BB42" i="27" s="1"/>
  <c r="AZ39" i="27" a="1"/>
  <c r="AZ39" i="27" s="1"/>
  <c r="AT37" i="27" a="1"/>
  <c r="AT37" i="27" s="1"/>
  <c r="AJ36" i="27" a="1"/>
  <c r="AJ36" i="27" s="1"/>
  <c r="T41" i="27" a="1"/>
  <c r="T41" i="27" s="1"/>
  <c r="BV37" i="27" a="1"/>
  <c r="BV37" i="27" s="1"/>
  <c r="BG40" i="27" a="1"/>
  <c r="BG40" i="27" s="1"/>
  <c r="AY39" i="27" a="1"/>
  <c r="AY39" i="27" s="1"/>
  <c r="AU38" i="27" a="1"/>
  <c r="AU38" i="27" s="1"/>
  <c r="AK37" i="27" a="1"/>
  <c r="AK37" i="27" s="1"/>
  <c r="CE39" i="27" a="1"/>
  <c r="CE39" i="27" s="1"/>
  <c r="BX42" i="27" a="1"/>
  <c r="BX42" i="27" s="1"/>
  <c r="BN41" i="27" a="1"/>
  <c r="BN41" i="27" s="1"/>
  <c r="BH39" i="27" a="1"/>
  <c r="BH39" i="27" s="1"/>
  <c r="BB37" i="27" a="1"/>
  <c r="BB37" i="27" s="1"/>
  <c r="AX35" i="27" a="1"/>
  <c r="AX35" i="27" s="1"/>
  <c r="AL42" i="27" a="1"/>
  <c r="AL42" i="27" s="1"/>
  <c r="AH40" i="27" a="1"/>
  <c r="AH40" i="27" s="1"/>
  <c r="AB38" i="27" a="1"/>
  <c r="AB38" i="27" s="1"/>
  <c r="R37" i="27" a="1"/>
  <c r="R37" i="27" s="1"/>
  <c r="CG36" i="27" a="1"/>
  <c r="CG36" i="27" s="1"/>
  <c r="BV39" i="27" a="1"/>
  <c r="BV39" i="27" s="1"/>
  <c r="BO38" i="27" a="1"/>
  <c r="BO38" i="27" s="1"/>
  <c r="BK37" i="27" a="1"/>
  <c r="BK37" i="27" s="1"/>
  <c r="BE35" i="27" a="1"/>
  <c r="BE35" i="27" s="1"/>
  <c r="AU41" i="27" a="1"/>
  <c r="AU41" i="27" s="1"/>
  <c r="AO40" i="27" a="1"/>
  <c r="AO40" i="27" s="1"/>
  <c r="AE39" i="27" a="1"/>
  <c r="AE39" i="27" s="1"/>
  <c r="Y37" i="27" a="1"/>
  <c r="Y37" i="27" s="1"/>
  <c r="CC41" i="27" a="1"/>
  <c r="CC41" i="27" s="1"/>
  <c r="BV42" i="27" a="1"/>
  <c r="BV42" i="27" s="1"/>
  <c r="BQ40" i="27" a="1"/>
  <c r="BQ40" i="27" s="1"/>
  <c r="BK38" i="27" a="1"/>
  <c r="BK38" i="27" s="1"/>
  <c r="BE36" i="27" a="1"/>
  <c r="BE36" i="27" s="1"/>
  <c r="AO41" i="27" a="1"/>
  <c r="AO41" i="27" s="1"/>
  <c r="AE40" i="27" a="1"/>
  <c r="AE40" i="27" s="1"/>
  <c r="Y38" i="27" a="1"/>
  <c r="Y38" i="27" s="1"/>
  <c r="U36" i="27" a="1"/>
  <c r="U36" i="27" s="1"/>
  <c r="AN40" i="27" a="1"/>
  <c r="AN40" i="27" s="1"/>
  <c r="Q40" i="27" a="1"/>
  <c r="Q40" i="27" s="1"/>
  <c r="I41" i="27" a="1"/>
  <c r="I41" i="27" s="1"/>
  <c r="CD41" i="27" a="1"/>
  <c r="CD41" i="27" s="1"/>
  <c r="AD39" i="27" a="1"/>
  <c r="AD39" i="27" s="1"/>
  <c r="P40" i="27" a="1"/>
  <c r="P40" i="27" s="1"/>
  <c r="BR36" i="27" a="1"/>
  <c r="BR36" i="27" s="1"/>
  <c r="BE41" i="27" a="1"/>
  <c r="BE41" i="27" s="1"/>
  <c r="V37" i="27" a="1"/>
  <c r="V37" i="27" s="1"/>
  <c r="M40" i="27" a="1"/>
  <c r="M40" i="27" s="1"/>
  <c r="CC39" i="27" a="1"/>
  <c r="CC39" i="27" s="1"/>
  <c r="Z38" i="27" a="1"/>
  <c r="Z38" i="27" s="1"/>
  <c r="CH37" i="27" a="1"/>
  <c r="CH37" i="27" s="1"/>
  <c r="AI36" i="27" a="1"/>
  <c r="AI36" i="27" s="1"/>
  <c r="P39" i="27" a="1"/>
  <c r="P39" i="27" s="1"/>
  <c r="I37" i="27" a="1"/>
  <c r="I37" i="27" s="1"/>
  <c r="BP39" i="27" a="1"/>
  <c r="BP39" i="27" s="1"/>
  <c r="AA37" i="27" a="1"/>
  <c r="AA37" i="27" s="1"/>
  <c r="Q35" i="27" a="1"/>
  <c r="Q35" i="27" s="1"/>
  <c r="P38" i="27" a="1"/>
  <c r="P38" i="27" s="1"/>
  <c r="L37" i="27" a="1"/>
  <c r="L37" i="27" s="1"/>
  <c r="U42" i="27" a="1"/>
  <c r="U42" i="27" s="1"/>
  <c r="O39" i="27" a="1"/>
  <c r="O39" i="27" s="1"/>
  <c r="U35" i="27" a="1"/>
  <c r="U35" i="27" s="1"/>
  <c r="AH37" i="27" a="1"/>
  <c r="AH37" i="27" s="1"/>
  <c r="R42" i="27" a="1"/>
  <c r="R42" i="27" s="1"/>
  <c r="X37" i="27" a="1"/>
  <c r="X37" i="27" s="1"/>
  <c r="T35" i="27" a="1"/>
  <c r="T35" i="27" s="1"/>
  <c r="W39" i="27" a="1"/>
  <c r="W39" i="27" s="1"/>
  <c r="AR38" i="27" a="1"/>
  <c r="AR38" i="27" s="1"/>
  <c r="BD35" i="27" a="1"/>
  <c r="BD35" i="27" s="1"/>
  <c r="O36" i="27" a="1"/>
  <c r="O36" i="27" s="1"/>
  <c r="AG35" i="27" a="1"/>
  <c r="AG35" i="27" s="1"/>
  <c r="AF36" i="27" a="1"/>
  <c r="AF36" i="27" s="1"/>
  <c r="AP37" i="27" a="1"/>
  <c r="AP37" i="27" s="1"/>
  <c r="Q38" i="27" a="1"/>
  <c r="Q38" i="27" s="1"/>
  <c r="AH41" i="27" a="1"/>
  <c r="AH41" i="27" s="1"/>
  <c r="AT35" i="27" a="1"/>
  <c r="AT35" i="27" s="1"/>
  <c r="BD39" i="27" a="1"/>
  <c r="BD39" i="27" s="1"/>
  <c r="BU38" i="27" a="1"/>
  <c r="BU38" i="27" s="1"/>
  <c r="CF36" i="27" a="1"/>
  <c r="CF36" i="27" s="1"/>
  <c r="J37" i="27" a="1"/>
  <c r="J37" i="27" s="1"/>
  <c r="P37" i="27" a="1"/>
  <c r="P37" i="27" s="1"/>
  <c r="BF36" i="27" a="1"/>
  <c r="BF36" i="27" s="1"/>
  <c r="K41" i="27" a="1"/>
  <c r="K41" i="27" s="1"/>
  <c r="R35" i="27" a="1"/>
  <c r="R35" i="27" s="1"/>
  <c r="BN38" i="27" a="1"/>
  <c r="BN38" i="27" s="1"/>
  <c r="P41" i="27" a="1"/>
  <c r="P41" i="27" s="1"/>
  <c r="J38" i="27" a="1"/>
  <c r="J38" i="27" s="1"/>
  <c r="Y42" i="27" a="1"/>
  <c r="Y42" i="27" s="1"/>
  <c r="Q41" i="27" a="1"/>
  <c r="Q41" i="27" s="1"/>
  <c r="M41" i="27" a="1"/>
  <c r="M41" i="27" s="1"/>
  <c r="W36" i="27" a="1"/>
  <c r="W36" i="27" s="1"/>
  <c r="AU42" i="27" a="1"/>
  <c r="AU42" i="27" s="1"/>
  <c r="N42" i="27" a="1"/>
  <c r="N42" i="27" s="1"/>
  <c r="Q39" i="27" a="1"/>
  <c r="Q39" i="27" s="1"/>
  <c r="CD40" i="27" a="1"/>
  <c r="CD40" i="27" s="1"/>
  <c r="I35" i="27" a="1"/>
  <c r="I35" i="27" s="1"/>
  <c r="BB58" i="45"/>
  <c r="BB59" i="45" s="1"/>
  <c r="T20" i="27" s="1"/>
  <c r="BF32" i="45"/>
  <c r="BF33" i="45" s="1"/>
  <c r="I25" i="27" s="1"/>
  <c r="R24" i="27" s="1"/>
  <c r="BB45" i="45"/>
  <c r="BB46" i="45" s="1"/>
  <c r="J21" i="27" s="1"/>
  <c r="S20" i="27" s="1"/>
  <c r="BD58" i="45"/>
  <c r="BD59" i="45" s="1"/>
  <c r="K23" i="27" s="1"/>
  <c r="T22" i="27" s="1"/>
  <c r="BW34" i="45"/>
  <c r="BW42" i="45"/>
  <c r="BW50" i="45"/>
  <c r="BD32" i="45"/>
  <c r="BD33" i="45" s="1"/>
  <c r="I23" i="27" s="1"/>
  <c r="R22" i="27" s="1"/>
  <c r="AZ58" i="45"/>
  <c r="BB32" i="45"/>
  <c r="BB33" i="45" s="1"/>
  <c r="I21" i="27" s="1"/>
  <c r="R20" i="27" s="1"/>
  <c r="BG32" i="45"/>
  <c r="BG33" i="45" s="1"/>
  <c r="I26" i="27" s="1"/>
  <c r="R25" i="27" s="1"/>
  <c r="BE32" i="45"/>
  <c r="BE33" i="45" s="1"/>
  <c r="I24" i="27" s="1"/>
  <c r="R23" i="27" s="1"/>
  <c r="BW37" i="45"/>
  <c r="BF58" i="45"/>
  <c r="BF59" i="45" s="1"/>
  <c r="K25" i="27" s="1"/>
  <c r="T24" i="27" s="1"/>
  <c r="BW47" i="45"/>
  <c r="BW24" i="45"/>
  <c r="BH32" i="45"/>
  <c r="BH33" i="45" s="1"/>
  <c r="I27" i="27" s="1"/>
  <c r="R26" i="27" s="1"/>
  <c r="BH45" i="45"/>
  <c r="BH46" i="45" s="1"/>
  <c r="J27" i="27" s="1"/>
  <c r="S26" i="27" s="1"/>
  <c r="BW36" i="45"/>
  <c r="BW49" i="45"/>
  <c r="BH58" i="45"/>
  <c r="BH59" i="45" s="1"/>
  <c r="K27" i="27" s="1"/>
  <c r="T26" i="27" s="1"/>
  <c r="BC32" i="45"/>
  <c r="BC33" i="45" s="1"/>
  <c r="I22" i="27" s="1"/>
  <c r="R21" i="27" s="1"/>
  <c r="BW38" i="45"/>
  <c r="BW51" i="45"/>
  <c r="BA32" i="45"/>
  <c r="BA33" i="45" s="1"/>
  <c r="I20" i="27" s="1"/>
  <c r="R19" i="27" s="1"/>
  <c r="BW53" i="45"/>
  <c r="BW28" i="45"/>
  <c r="BC45" i="45"/>
  <c r="BC46" i="45" s="1"/>
  <c r="J22" i="27" s="1"/>
  <c r="S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O128" i="27"/>
  <c r="W43" i="27" l="1"/>
  <c r="BW43" i="27"/>
  <c r="AJ43" i="27"/>
  <c r="CB43" i="27"/>
  <c r="BJ43" i="27"/>
  <c r="M43" i="27"/>
  <c r="BQ43" i="27"/>
  <c r="N43" i="27"/>
  <c r="CE43" i="27"/>
  <c r="AT43" i="27"/>
  <c r="BA43" i="27"/>
  <c r="AO43" i="27"/>
  <c r="CH43" i="27"/>
  <c r="BP43" i="27"/>
  <c r="CD43" i="27"/>
  <c r="AA43" i="27"/>
  <c r="CC43" i="27"/>
  <c r="BX43" i="27"/>
  <c r="AL43" i="27"/>
  <c r="L43" i="27"/>
  <c r="AF43" i="27"/>
  <c r="BB43" i="27"/>
  <c r="BT43" i="27"/>
  <c r="BO43" i="27"/>
  <c r="T43" i="27"/>
  <c r="BC43" i="27"/>
  <c r="AN43" i="27"/>
  <c r="X43" i="27"/>
  <c r="BH43" i="27"/>
  <c r="BU43" i="27"/>
  <c r="R43" i="27"/>
  <c r="AK43" i="27"/>
  <c r="Z43" i="27"/>
  <c r="Y43" i="27"/>
  <c r="AP43" i="27"/>
  <c r="BZ43" i="27"/>
  <c r="AV43" i="27"/>
  <c r="P43" i="27"/>
  <c r="V43" i="27"/>
  <c r="AH43" i="27"/>
  <c r="U43" i="27"/>
  <c r="BR43" i="27"/>
  <c r="AD43" i="27"/>
  <c r="AW43" i="27"/>
  <c r="BI43" i="27"/>
  <c r="AZ43" i="27"/>
  <c r="AM43" i="27"/>
  <c r="CG43" i="27"/>
  <c r="AY43" i="27"/>
  <c r="AG43" i="27"/>
  <c r="BV43" i="27"/>
  <c r="BN43" i="27"/>
  <c r="AB43" i="27"/>
  <c r="S43" i="27"/>
  <c r="AE43" i="27"/>
  <c r="BM43" i="27"/>
  <c r="AX43" i="27"/>
  <c r="Q43" i="27"/>
  <c r="AR43" i="27"/>
  <c r="AS43" i="27"/>
  <c r="CF43" i="27"/>
  <c r="CA43" i="27"/>
  <c r="BL43" i="27"/>
  <c r="BE43" i="27"/>
  <c r="AI43" i="27"/>
  <c r="O43" i="27"/>
  <c r="BD43" i="27"/>
  <c r="BF43" i="27"/>
  <c r="BS43" i="27"/>
  <c r="BK43" i="27"/>
  <c r="AU43" i="27"/>
  <c r="BG43" i="27"/>
  <c r="AC43" i="27"/>
  <c r="L20" i="27"/>
  <c r="L24" i="27"/>
  <c r="L21" i="27"/>
  <c r="L26" i="27"/>
  <c r="L23" i="27"/>
  <c r="L22" i="27"/>
  <c r="L25" i="27"/>
  <c r="L27" i="27"/>
  <c r="BI32" i="45"/>
  <c r="BI59" i="45"/>
  <c r="BI33" i="45"/>
  <c r="BI46" i="45"/>
  <c r="J43" i="27"/>
  <c r="I43" i="27"/>
  <c r="K43" i="27"/>
  <c r="J28" i="27" l="1"/>
  <c r="S51" i="51" s="1"/>
  <c r="S18" i="27"/>
  <c r="I28" i="27"/>
  <c r="L19" i="27"/>
  <c r="K28" i="27"/>
  <c r="T18" i="27"/>
  <c r="S12" i="52" l="1"/>
  <c r="S11" i="52"/>
  <c r="S59" i="28"/>
  <c r="S60" i="51"/>
  <c r="T60" i="51" s="1"/>
  <c r="S59" i="51"/>
  <c r="T59" i="51" s="1"/>
  <c r="S51" i="52"/>
  <c r="S51" i="28"/>
  <c r="S9" i="52"/>
  <c r="S60" i="52"/>
  <c r="T60" i="52" s="1"/>
  <c r="AC60" i="52" s="1"/>
  <c r="AB60" i="52" s="1"/>
  <c r="S59" i="52"/>
  <c r="T59" i="52" s="1"/>
  <c r="AC59" i="52" s="1"/>
  <c r="AB59" i="52" s="1"/>
  <c r="S37" i="52"/>
  <c r="T37" i="52" s="1"/>
  <c r="S10" i="52"/>
  <c r="S7" i="52"/>
  <c r="S20" i="52"/>
  <c r="S49" i="52"/>
  <c r="T49" i="52" s="1"/>
  <c r="T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R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AB34" i="51" s="1"/>
  <c r="S46" i="51"/>
  <c r="T46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S38" i="51"/>
  <c r="T38" i="51" s="1"/>
  <c r="S27" i="27"/>
  <c r="S42" i="51"/>
  <c r="T42" i="51" s="1"/>
  <c r="S23" i="51"/>
  <c r="S24" i="51"/>
  <c r="S36" i="51"/>
  <c r="T36" i="51" s="1"/>
  <c r="S44" i="51"/>
  <c r="S12" i="51"/>
  <c r="S14" i="51"/>
  <c r="S16" i="51"/>
  <c r="S10" i="51"/>
  <c r="S8" i="51"/>
  <c r="S27" i="51" l="1"/>
  <c r="T23" i="51"/>
  <c r="T10" i="5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AB60" i="28" s="1"/>
  <c r="T59" i="28"/>
  <c r="AC59" i="28" s="1"/>
  <c r="AB59" i="28" s="1"/>
  <c r="V59" i="28" s="1"/>
  <c r="G5" i="48"/>
  <c r="G6" i="48"/>
  <c r="I6" i="48" s="1"/>
  <c r="G8" i="48"/>
  <c r="I8" i="48" s="1"/>
  <c r="G7" i="48"/>
  <c r="I7" i="48" s="1"/>
  <c r="AC23" i="28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AC10" i="5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V34" i="51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AC49" i="28"/>
  <c r="AC49" i="52"/>
  <c r="S27" i="52"/>
  <c r="V9" i="52"/>
  <c r="T9" i="52"/>
  <c r="F24" i="22" l="1"/>
  <c r="AC48" i="52"/>
  <c r="AB48" i="52" s="1"/>
  <c r="AC47" i="52"/>
  <c r="AC21" i="51"/>
  <c r="AC20" i="51"/>
  <c r="AB20" i="51" s="1"/>
  <c r="T51" i="51"/>
  <c r="F17" i="22"/>
  <c r="V11" i="52"/>
  <c r="M10" i="48"/>
  <c r="L10" i="48" s="1"/>
  <c r="F24" i="48" s="1"/>
  <c r="U29" i="22"/>
  <c r="AB11" i="51"/>
  <c r="V11" i="51" s="1"/>
  <c r="AC51" i="52"/>
  <c r="AB51" i="52" s="1"/>
  <c r="V51" i="52" s="1"/>
  <c r="G27" i="22"/>
  <c r="G17" i="22"/>
  <c r="AB24" i="28"/>
  <c r="V24" i="28" s="1"/>
  <c r="G24" i="22"/>
  <c r="Y24" i="22" s="1"/>
  <c r="AC51" i="28"/>
  <c r="AB51" i="28" s="1"/>
  <c r="V51" i="28" s="1"/>
  <c r="G13" i="22"/>
  <c r="V59" i="52"/>
  <c r="V60" i="28"/>
  <c r="V60" i="51"/>
  <c r="AB47" i="52"/>
  <c r="K28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V46" i="52" l="1"/>
  <c r="G9" i="22"/>
  <c r="G28" i="22"/>
  <c r="G10" i="22"/>
  <c r="AB21" i="51"/>
  <c r="AB27" i="51" s="1"/>
  <c r="O51" i="56" s="1"/>
  <c r="O53" i="56" s="1"/>
  <c r="N6" i="56" s="1"/>
  <c r="L6" i="56" s="1"/>
  <c r="Y27" i="22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V33" i="52"/>
  <c r="V7" i="51"/>
  <c r="V7" i="52"/>
  <c r="Y11" i="22"/>
  <c r="AE11" i="22" s="1"/>
  <c r="O6" i="56" l="1"/>
  <c r="N16" i="56"/>
  <c r="L16" i="56" s="1"/>
  <c r="N11" i="56"/>
  <c r="L11" i="56" s="1"/>
  <c r="N21" i="56"/>
  <c r="L21" i="56" s="1"/>
  <c r="N46" i="56"/>
  <c r="N41" i="56"/>
  <c r="L41" i="56" s="1"/>
  <c r="N31" i="56"/>
  <c r="L31" i="56" s="1"/>
  <c r="N36" i="56"/>
  <c r="L36" i="56" s="1"/>
  <c r="N26" i="56"/>
  <c r="L26" i="56" s="1"/>
  <c r="V20" i="51"/>
  <c r="Y28" i="22"/>
  <c r="AE13" i="22"/>
  <c r="AA13" i="22"/>
  <c r="AE18" i="22"/>
  <c r="AA18" i="22"/>
  <c r="Y9" i="22"/>
  <c r="AA9" i="22" s="1"/>
  <c r="F21" i="48"/>
  <c r="I9" i="48"/>
  <c r="Z35" i="22"/>
  <c r="Z36" i="22"/>
  <c r="AB27" i="52"/>
  <c r="AB54" i="51"/>
  <c r="Q51" i="56" s="1"/>
  <c r="Q53" i="56" s="1"/>
  <c r="P8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Q8" i="56" l="1"/>
  <c r="L8" i="56"/>
  <c r="O46" i="56"/>
  <c r="L46" i="56"/>
  <c r="P43" i="56"/>
  <c r="P38" i="56"/>
  <c r="P33" i="56"/>
  <c r="P13" i="56"/>
  <c r="P28" i="56"/>
  <c r="P23" i="56"/>
  <c r="P18" i="56"/>
  <c r="P48" i="56"/>
  <c r="O41" i="56"/>
  <c r="O36" i="56"/>
  <c r="O31" i="56"/>
  <c r="O26" i="56"/>
  <c r="O21" i="56"/>
  <c r="O16" i="56"/>
  <c r="O11" i="56"/>
  <c r="AE9" i="22"/>
  <c r="AA19" i="22"/>
  <c r="AA10" i="22"/>
  <c r="Q13" i="56" l="1"/>
  <c r="L13" i="56"/>
  <c r="Q43" i="56"/>
  <c r="L43" i="56"/>
  <c r="Q18" i="56"/>
  <c r="Q54" i="56" s="1"/>
  <c r="Q55" i="56" s="1"/>
  <c r="L18" i="56"/>
  <c r="Q38" i="56"/>
  <c r="L38" i="56"/>
  <c r="Q23" i="56"/>
  <c r="L23" i="56"/>
  <c r="Q33" i="56"/>
  <c r="L33" i="56"/>
  <c r="Q48" i="56"/>
  <c r="L48" i="56"/>
  <c r="Q28" i="56"/>
  <c r="L28" i="56"/>
  <c r="O54" i="56"/>
  <c r="O55" i="56" s="1"/>
  <c r="M12" i="48"/>
  <c r="L12" i="48" s="1"/>
  <c r="F26" i="48" l="1"/>
  <c r="I12" i="48"/>
  <c r="S30" i="22"/>
  <c r="Z38" i="22" l="1"/>
  <c r="L11" i="48" l="1"/>
  <c r="I11" i="48" l="1"/>
  <c r="F25" i="48"/>
  <c r="R37" i="28" l="1"/>
  <c r="R38" i="28"/>
  <c r="S38" i="28" s="1"/>
  <c r="T38" i="28" s="1"/>
  <c r="AC38" i="28" s="1"/>
  <c r="R11" i="28"/>
  <c r="R12" i="28"/>
  <c r="S12" i="28" s="1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S11" i="28"/>
  <c r="R6" i="28"/>
  <c r="S37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O101" i="56" s="1"/>
  <c r="O103" i="56" s="1"/>
  <c r="V11" i="28"/>
  <c r="AC54" i="28"/>
  <c r="AB37" i="28"/>
  <c r="I26" i="22"/>
  <c r="I29" i="22" s="1"/>
  <c r="I30" i="22" s="1"/>
  <c r="N71" i="56" l="1"/>
  <c r="O71" i="56" s="1"/>
  <c r="N61" i="56"/>
  <c r="O61" i="56" s="1"/>
  <c r="N76" i="56"/>
  <c r="O76" i="56" s="1"/>
  <c r="O56" i="56"/>
  <c r="N96" i="56"/>
  <c r="O96" i="56" s="1"/>
  <c r="N86" i="56"/>
  <c r="O86" i="56" s="1"/>
  <c r="N91" i="56"/>
  <c r="O91" i="56" s="1"/>
  <c r="N66" i="56"/>
  <c r="O66" i="56" s="1"/>
  <c r="N81" i="56"/>
  <c r="O81" i="56" s="1"/>
  <c r="V37" i="28"/>
  <c r="AB54" i="28"/>
  <c r="Z34" i="22"/>
  <c r="Z33" i="22"/>
  <c r="Y26" i="22"/>
  <c r="O104" i="56" l="1"/>
  <c r="O105" i="56" s="1"/>
  <c r="AE26" i="22"/>
  <c r="AA26" i="22"/>
  <c r="Y29" i="22"/>
  <c r="AA29" i="22" l="1"/>
  <c r="P30" i="22"/>
  <c r="M30" i="22"/>
  <c r="R30" i="22"/>
  <c r="T30" i="22"/>
  <c r="G30" i="22"/>
  <c r="J30" i="22"/>
  <c r="Y30" i="22" l="1"/>
  <c r="S53" i="56" l="1"/>
  <c r="R19" i="56" l="1"/>
  <c r="R9" i="56"/>
  <c r="R14" i="56"/>
  <c r="R49" i="56"/>
  <c r="R34" i="56"/>
  <c r="R44" i="56"/>
  <c r="R29" i="56"/>
  <c r="R39" i="56"/>
  <c r="R24" i="56"/>
  <c r="S44" i="56" l="1"/>
  <c r="L44" i="56"/>
  <c r="S39" i="56"/>
  <c r="L39" i="56"/>
  <c r="S9" i="56"/>
  <c r="S54" i="56" s="1"/>
  <c r="S55" i="56" s="1"/>
  <c r="L9" i="56"/>
  <c r="S29" i="56"/>
  <c r="L29" i="56"/>
  <c r="S34" i="56"/>
  <c r="L34" i="56"/>
  <c r="S49" i="56"/>
  <c r="L49" i="56"/>
  <c r="S14" i="56"/>
  <c r="L14" i="56"/>
  <c r="S24" i="56"/>
  <c r="L24" i="56"/>
  <c r="S19" i="56"/>
  <c r="L19" i="56"/>
  <c r="O111" i="56"/>
  <c r="O154" i="56" s="1"/>
  <c r="O155" i="56" s="1"/>
  <c r="Q113" i="56"/>
  <c r="Q154" i="56" s="1"/>
  <c r="Q1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<sst xmlns="http://schemas.openxmlformats.org/spreadsheetml/2006/main" count="69056" uniqueCount="973">
  <si>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</si>
  <si>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</si>
  <si>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</si>
  <si>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</si>
  <si>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</si>
  <si>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</si>
  <si>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</si>
  <si>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</si>
  <si>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</si>
  <si>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</si>
  <si>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</si>
  <si>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</si>
  <si>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</si>
  <si>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</si>
  <si>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</si>
  <si>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</si>
  <si>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</si>
  <si>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</si>
  <si>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</si>
  <si>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</si>
  <si>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</si>
  <si>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</si>
  <si>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</si>
  <si>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</si>
  <si>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</si>
  <si>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</si>
  <si>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</si>
  <si>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</si>
  <si>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</si>
  <si>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</si>
  <si>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</si>
  <si>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</si>
  <si>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</si>
  <si>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</si>
  <si>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</si>
  <si>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</si>
  <si>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</si>
  <si>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</si>
  <si>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</si>
  <si>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</si>
  <si>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</si>
  <si>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</si>
  <si>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</si>
  <si>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</si>
  <si>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</si>
  <si>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</si>
  <si>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</si>
  <si>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</si>
  <si>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</si>
  <si>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</si>
  <si>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</si>
  <si>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</si>
  <si>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</si>
  <si>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</si>
  <si>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</si>
  <si>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</si>
  <si>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</si>
  <si>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</si>
  <si>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</si>
  <si>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</si>
  <si>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</si>
  <si>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</si>
  <si>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</si>
  <si>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</si>
  <si>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</si>
  <si>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</si>
  <si>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</si>
  <si>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</si>
  <si>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</si>
  <si>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</si>
  <si>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</si>
  <si>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</si>
  <si>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</si>
  <si>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</si>
  <si>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</si>
  <si>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</si>
  <si>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</si>
  <si>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</si>
  <si>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</si>
  <si>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</si>
  <si>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</si>
  <si>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</si>
  <si>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</si>
  <si>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</si>
  <si>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</si>
  <si>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</si>
  <si>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</si>
  <si>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</si>
  <si>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</si>
  <si>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</si>
  <si>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</si>
  <si>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</si>
  <si>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</si>
  <si>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</si>
  <si>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</si>
  <si>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</si>
  <si>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</si>
  <si>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</si>
  <si>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</si>
  <si>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</si>
  <si>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</si>
  <si>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</si>
  <si>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</si>
  <si>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</si>
  <si>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</si>
  <si>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</si>
  <si>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</si>
  <si>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</si>
  <si>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</si>
  <si>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</si>
  <si>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</si>
  <si>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</si>
  <si>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</si>
  <si>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</si>
  <si>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</si>
  <si>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</si>
  <si>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</si>
  <si>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</si>
  <si>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</si>
  <si>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</si>
  <si>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</si>
  <si>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</si>
  <si>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</si>
  <si>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</si>
  <si>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</si>
  <si>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</si>
  <si>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</si>
  <si>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</si>
  <si>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</si>
  <si>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</si>
  <si>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</si>
  <si>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</si>
  <si>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</si>
  <si>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</si>
  <si>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</si>
  <si>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</si>
  <si>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</si>
  <si>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</si>
  <si>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</si>
  <si>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</si>
  <si>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</si>
  <si>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</si>
  <si>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</si>
  <si>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</si>
  <si>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</si>
  <si>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</si>
  <si>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</si>
  <si>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</si>
  <si>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</si>
  <si>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</si>
  <si>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</si>
  <si>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</si>
  <si>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</si>
  <si>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</si>
  <si>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</si>
  <si>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</si>
  <si>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</si>
  <si>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</si>
  <si>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</si>
  <si>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</si>
  <si>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</si>
  <si>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</si>
  <si>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</si>
  <si>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</si>
  <si>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</si>
  <si>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</si>
  <si>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</si>
  <si>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</si>
  <si>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</si>
  <si>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</si>
  <si>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</si>
  <si>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</si>
  <si>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</si>
  <si>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</si>
  <si>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</si>
  <si>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</si>
  <si>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</si>
  <si>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</si>
  <si>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</si>
  <si>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</si>
  <si>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</si>
  <si>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</si>
  <si>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</si>
  <si>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</si>
  <si>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</si>
  <si>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</si>
  <si>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</si>
  <si>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</si>
  <si>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</si>
  <si>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</si>
  <si>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</si>
  <si>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</si>
  <si>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</si>
  <si>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</si>
  <si>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</si>
  <si>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</si>
  <si>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</si>
  <si>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</si>
  <si>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</si>
  <si>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</si>
  <si>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</si>
  <si>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</si>
  <si>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</si>
  <si>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</si>
  <si>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</si>
  <si>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</si>
  <si>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</si>
  <si>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</si>
  <si>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</si>
  <si>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</si>
  <si>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</si>
  <si>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</si>
  <si>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</si>
  <si>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</si>
  <si>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</si>
  <si>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</si>
  <si>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</si>
  <si>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</si>
  <si>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</si>
  <si>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</si>
  <si>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</si>
  <si>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</si>
  <si>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</si>
  <si>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</si>
  <si>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</si>
  <si>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</si>
  <si>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</si>
  <si>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</si>
  <si>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</si>
  <si>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</si>
  <si>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</si>
  <si>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</si>
  <si>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</si>
  <si>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</si>
  <si>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</si>
  <si>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</si>
  <si>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</si>
  <si>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</si>
  <si>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</si>
  <si>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</si>
  <si>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</si>
  <si>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</si>
  <si>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</si>
  <si>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</si>
  <si>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</si>
  <si>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</si>
  <si>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</si>
  <si>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</si>
  <si>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</si>
  <si>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</si>
  <si>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</si>
  <si>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</si>
  <si>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</si>
  <si>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</si>
  <si>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</si>
  <si>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</si>
  <si>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</si>
  <si>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</si>
  <si>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</si>
  <si>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</si>
  <si>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</si>
  <si>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</si>
  <si>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</si>
  <si>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</si>
  <si>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</si>
  <si>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</si>
  <si>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</si>
  <si>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</si>
  <si>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</si>
  <si>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</si>
  <si>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</si>
  <si>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</si>
  <si>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</si>
  <si>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</si>
  <si>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</si>
  <si>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</si>
  <si>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</si>
  <si>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</si>
  <si>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</si>
  <si>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</si>
  <si>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</si>
  <si>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</si>
  <si>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</si>
  <si>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</si>
  <si>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</si>
  <si>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</si>
  <si>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</si>
  <si>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</si>
  <si>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</si>
  <si>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</si>
  <si>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</si>
  <si>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</si>
  <si>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</si>
  <si>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</si>
  <si>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</si>
  <si>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</si>
  <si>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</si>
  <si>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</si>
  <si>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</si>
  <si>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</si>
  <si>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</si>
  <si>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</si>
  <si>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</si>
  <si>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</si>
  <si>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</si>
  <si>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</si>
  <si>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</si>
  <si>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</si>
  <si>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</si>
  <si>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</si>
  <si>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</si>
  <si>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</si>
  <si>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</si>
  <si>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</si>
  <si>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</si>
  <si>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</si>
  <si>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</si>
  <si>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</si>
  <si>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</si>
  <si>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</si>
  <si>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</si>
  <si>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</si>
  <si>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</si>
  <si>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</si>
  <si>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</si>
  <si>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</si>
  <si>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</si>
  <si>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</si>
  <si>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</si>
  <si>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</si>
  <si>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</si>
  <si>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</si>
  <si>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</si>
  <si>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</si>
  <si>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</si>
  <si>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</si>
  <si>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</si>
  <si>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</si>
  <si>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</si>
  <si>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</si>
  <si>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</si>
  <si>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</si>
  <si>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</si>
  <si>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</si>
  <si>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</si>
  <si>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</si>
  <si>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</si>
  <si>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</si>
  <si>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</si>
  <si>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</si>
  <si>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</si>
  <si>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</si>
  <si>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</si>
  <si>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</si>
  <si>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</si>
  <si>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</si>
  <si>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</si>
  <si>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</si>
  <si>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</si>
  <si>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</si>
  <si>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</si>
  <si>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</si>
  <si>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</si>
  <si>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</si>
  <si>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</si>
  <si>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</si>
  <si>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</si>
  <si>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</si>
  <si>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</si>
  <si>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</si>
  <si>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</si>
  <si>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</si>
  <si>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</si>
  <si>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</si>
  <si>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</si>
  <si>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</si>
  <si>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</si>
  <si>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</si>
  <si>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</si>
  <si>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</si>
  <si>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</si>
  <si>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</si>
  <si>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</si>
  <si>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</si>
  <si>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</si>
  <si>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</si>
  <si>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</si>
  <si>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</si>
  <si>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</si>
  <si>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</si>
  <si>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</si>
  <si>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</si>
  <si>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</si>
  <si>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</si>
  <si>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</si>
  <si>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</si>
  <si>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</si>
  <si>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</si>
  <si>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</si>
  <si>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</si>
  <si>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</si>
  <si>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</si>
  <si>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</si>
  <si>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</si>
  <si>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</si>
  <si>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</si>
  <si>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</si>
  <si>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</si>
  <si>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</si>
  <si>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</si>
  <si>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</si>
  <si>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</si>
  <si>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</si>
  <si>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</si>
  <si>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</si>
  <si>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</si>
  <si>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</si>
  <si>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</si>
  <si>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</si>
  <si>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</si>
  <si>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</si>
  <si>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</si>
  <si>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</si>
  <si>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</si>
  <si>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</si>
  <si>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</si>
  <si>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</si>
  <si>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</si>
  <si>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</si>
  <si>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</si>
  <si>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</si>
  <si>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</si>
  <si>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</si>
  <si>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</si>
  <si>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</si>
  <si>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</si>
  <si>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</si>
  <si>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</si>
  <si>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</si>
  <si>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</si>
  <si>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</si>
  <si>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</si>
  <si>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</si>
  <si>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</si>
  <si>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</si>
  <si>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</si>
  <si>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</si>
  <si>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</si>
  <si>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</si>
  <si>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</si>
  <si>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</si>
  <si>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</si>
  <si>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</si>
  <si>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</si>
  <si>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</si>
  <si>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</si>
  <si>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</si>
  <si>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</si>
  <si>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</si>
  <si>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</si>
  <si>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</si>
  <si>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</si>
  <si>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</si>
  <si>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</si>
  <si>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</si>
  <si>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</si>
  <si>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</si>
  <si>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</si>
  <si>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</si>
  <si>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</si>
  <si>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</si>
  <si>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</si>
  <si>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</si>
  <si>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</si>
  <si>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</si>
  <si>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</si>
  <si>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</si>
  <si>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</si>
  <si>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</si>
  <si>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</si>
  <si>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</si>
  <si>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</si>
  <si>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</si>
  <si>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</si>
  <si>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</si>
  <si>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</si>
  <si>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</si>
  <si>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</si>
  <si>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</si>
  <si>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</si>
  <si>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</si>
  <si>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</si>
  <si>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</si>
  <si>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</si>
  <si>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</si>
  <si>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</si>
  <si>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</si>
  <si>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</si>
  <si>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</si>
  <si>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</si>
  <si>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</si>
  <si>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</si>
  <si>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</si>
  <si>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</si>
  <si>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</si>
  <si>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</si>
  <si>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</si>
  <si>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</si>
  <si>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</si>
  <si>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</si>
  <si>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</si>
  <si>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</si>
  <si>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</si>
  <si>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</si>
  <si>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</si>
  <si>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</si>
  <si>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</si>
  <si>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</si>
  <si>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</si>
  <si>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</si>
  <si>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</si>
  <si>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</si>
  <si>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</si>
  <si>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</si>
  <si>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</si>
  <si>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</si>
  <si>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</si>
  <si>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</si>
  <si>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</si>
  <si>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</si>
  <si>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</si>
  <si>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</si>
  <si>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</si>
  <si>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</si>
  <si>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</si>
  <si>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</si>
  <si>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</si>
  <si>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</si>
  <si>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</si>
  <si>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</si>
  <si>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</si>
  <si>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</si>
  <si>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</si>
  <si>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</si>
  <si>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</si>
  <si>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</si>
  <si>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</si>
  <si>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</si>
  <si>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</si>
  <si>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</si>
  <si>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</si>
  <si>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</si>
  <si>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</si>
  <si>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</si>
  <si>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</si>
  <si>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</si>
  <si>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</si>
  <si>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</si>
  <si>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</si>
  <si>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</si>
  <si>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</si>
  <si>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</si>
  <si>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</si>
  <si>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</si>
  <si>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</si>
  <si>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</si>
  <si>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</si>
  <si>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</si>
  <si>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</si>
  <si>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</si>
  <si>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</si>
  <si>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</si>
  <si>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</si>
  <si>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</si>
  <si>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</si>
  <si>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</si>
  <si>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</si>
  <si>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</si>
  <si>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</si>
  <si>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</si>
  <si>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</si>
  <si>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</si>
  <si>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</si>
  <si>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</si>
  <si>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</si>
  <si>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</si>
  <si>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</si>
  <si>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</si>
  <si>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</si>
  <si>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</si>
  <si>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</si>
  <si>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</si>
  <si>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</si>
  <si>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</si>
  <si>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</si>
  <si>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</si>
  <si>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</si>
  <si>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</si>
  <si>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</si>
  <si>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</si>
  <si>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</si>
  <si>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</si>
  <si>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</si>
  <si>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</si>
  <si>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</si>
  <si>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</si>
  <si>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</si>
  <si>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</si>
  <si>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</si>
  <si>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</si>
  <si>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</si>
  <si>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</si>
  <si>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</si>
  <si>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</si>
  <si>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</si>
  <si>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</si>
  <si>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</si>
  <si>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</si>
  <si>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</si>
  <si>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</si>
  <si>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</si>
  <si>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</si>
  <si>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</si>
  <si>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</si>
  <si>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</si>
  <si>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</si>
  <si>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</si>
  <si>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</si>
  <si>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</si>
  <si>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</si>
  <si>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</si>
  <si>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</si>
  <si>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</si>
  <si>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</si>
  <si>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</si>
  <si>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</si>
  <si>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</si>
  <si>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</si>
  <si>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</si>
  <si>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</si>
  <si>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</si>
  <si>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</si>
  <si>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</si>
  <si>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</si>
  <si>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</si>
  <si>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</si>
  <si>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</si>
  <si>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</si>
  <si>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</si>
  <si>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</si>
  <si>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</si>
  <si>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</si>
  <si>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</si>
  <si>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</si>
  <si>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</si>
  <si>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</si>
  <si>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</si>
  <si>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</si>
  <si>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</si>
  <si>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</si>
  <si>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</si>
  <si>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</si>
  <si>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</si>
  <si>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</si>
  <si>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</si>
  <si>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</si>
  <si>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</si>
  <si>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</si>
  <si>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</si>
  <si>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</si>
  <si>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</si>
  <si>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</si>
  <si>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</si>
  <si>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</si>
  <si>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</si>
  <si>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</si>
  <si>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</si>
  <si>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</si>
  <si>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</si>
  <si>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</si>
  <si>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</si>
  <si>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</si>
  <si>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</si>
  <si>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</si>
  <si>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</si>
  <si>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</si>
  <si>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</si>
  <si>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</si>
  <si>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</si>
  <si>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</si>
  <si>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</si>
  <si>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</si>
  <si>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</si>
  <si>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</si>
  <si>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</si>
  <si>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</si>
  <si>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</si>
  <si>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</si>
  <si>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</si>
  <si>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</si>
  <si>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</si>
  <si>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</si>
  <si>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</si>
  <si>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</si>
  <si>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</si>
  <si>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</si>
  <si>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</si>
  <si>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</si>
  <si>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</si>
  <si>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</si>
  <si>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</si>
  <si>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</si>
  <si>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</si>
  <si>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</si>
  <si>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</si>
  <si>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</si>
  <si>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</si>
  <si>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</si>
  <si>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</si>
  <si>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</si>
  <si>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</si>
  <si>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</si>
  <si>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</si>
  <si>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</si>
  <si>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</si>
  <si>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</si>
  <si>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</si>
  <si>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</si>
  <si>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</si>
  <si>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</si>
  <si>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</si>
  <si>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</si>
  <si>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</si>
  <si>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</si>
  <si>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</si>
  <si>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</si>
  <si>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</si>
  <si>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</si>
  <si>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</si>
  <si>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</si>
  <si>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</si>
  <si>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</si>
  <si>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</si>
  <si>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</si>
  <si>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</si>
  <si>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</si>
  <si>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</si>
  <si>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</si>
  <si>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</si>
  <si>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</si>
  <si>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</si>
  <si>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</si>
  <si>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</si>
  <si>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</si>
  <si>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</si>
  <si>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</si>
  <si>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</si>
  <si>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</si>
  <si>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</si>
  <si>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</si>
  <si>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</si>
  <si>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</si>
  <si>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</si>
  <si>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</si>
  <si>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</si>
  <si>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</si>
  <si>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</si>
  <si>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</si>
  <si>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</si>
  <si>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</si>
  <si>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</si>
  <si>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</si>
  <si>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</si>
  <si>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</si>
  <si>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</si>
  <si>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</si>
  <si>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</si>
  <si>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</si>
  <si>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</si>
  <si>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</si>
  <si>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</si>
  <si>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</si>
  <si>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</si>
  <si>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</si>
  <si>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</si>
  <si>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</si>
  <si>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</si>
  <si>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</si>
  <si>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</si>
  <si>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</si>
  <si>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</si>
  <si>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</si>
  <si>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</si>
  <si>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</si>
  <si>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</si>
  <si>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</si>
  <si>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</si>
  <si>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</si>
  <si>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</si>
  <si>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</si>
  <si>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</si>
  <si>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</si>
  <si>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</si>
  <si>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</si>
  <si>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</si>
  <si>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</si>
  <si>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</si>
  <si>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</si>
  <si>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</si>
  <si>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</si>
  <si>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</si>
  <si>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</si>
  <si>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</si>
  <si>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</si>
  <si>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</si>
  <si>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</si>
  <si>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</si>
  <si>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</si>
  <si>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</si>
  <si>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</si>
  <si>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</si>
  <si>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</si>
  <si>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</si>
  <si>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</si>
  <si>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</si>
  <si>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</si>
  <si>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</si>
  <si>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</si>
  <si>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</si>
  <si>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</si>
  <si>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</si>
  <si>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</si>
  <si>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</si>
  <si>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</si>
  <si>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</si>
  <si>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</si>
  <si>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</si>
  <si>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</si>
  <si>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</si>
  <si>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</si>
  <si>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</si>
  <si>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</si>
  <si>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</si>
  <si>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</si>
  <si>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</si>
  <si>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</si>
  <si>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</si>
  <si>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</si>
  <si>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</si>
  <si>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</si>
  <si>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</si>
  <si>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</si>
  <si>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</si>
  <si>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</si>
  <si>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</si>
  <si>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</si>
  <si>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</si>
  <si>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</si>
  <si>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</si>
  <si>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</si>
  <si>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</si>
  <si>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</si>
  <si>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</si>
  <si>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</si>
  <si>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</si>
  <si>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</si>
  <si>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</si>
  <si>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</si>
  <si>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</si>
  <si>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</si>
  <si>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</si>
  <si>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</si>
  <si>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</si>
  <si>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</si>
  <si>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</si>
  <si>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</si>
  <si>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</si>
  <si>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</si>
  <si>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</si>
  <si>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</si>
  <si>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</si>
  <si>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</si>
  <si>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</si>
  <si>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</si>
  <si>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</si>
  <si>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</si>
  <si>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</si>
  <si>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</si>
  <si>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</si>
  <si>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</si>
  <si>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</si>
  <si>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</si>
  <si>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</si>
  <si>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</si>
  <si>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</si>
  <si>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</si>
  <si>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</si>
  <si>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</si>
  <si>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</si>
  <si>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Obsolescence Rate</t>
  </si>
  <si>
    <t>Annual Rate</t>
  </si>
  <si>
    <t>2070 compared to 2018</t>
  </si>
  <si>
    <t xml:space="preserve">Water Heating </t>
  </si>
  <si>
    <t>PumpsFans</t>
  </si>
  <si>
    <t>SpaceCooling</t>
  </si>
  <si>
    <t>Avg. BerRating</t>
  </si>
  <si>
    <t>MainSpace</t>
  </si>
  <si>
    <t>SecondarySpace</t>
  </si>
  <si>
    <t>MainWater</t>
  </si>
  <si>
    <t>SupplementaryWater</t>
  </si>
  <si>
    <t>PJ/000dwelling</t>
  </si>
  <si>
    <t>Share-I~FX</t>
  </si>
  <si>
    <t>Share-I~FX~0</t>
  </si>
  <si>
    <t>*Technology name</t>
  </si>
  <si>
    <t>Input commodity</t>
  </si>
  <si>
    <t>Output commodity</t>
  </si>
  <si>
    <t>Input shares</t>
  </si>
  <si>
    <t>Maybe something like this to test renewable share in gas</t>
  </si>
  <si>
    <t>Single/Detached</t>
  </si>
  <si>
    <t>Scheme/Attached</t>
  </si>
  <si>
    <t>ApertureArea</t>
  </si>
  <si>
    <t>Count of SolarHotWaterHeating</t>
  </si>
  <si>
    <t>kWh</t>
  </si>
  <si>
    <t>Max Solar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</si>
  <si>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</si>
  <si>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</si>
  <si>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</si>
  <si>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</si>
  <si>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</si>
  <si>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</si>
  <si>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</si>
  <si>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</si>
  <si>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</si>
  <si>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</si>
  <si>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</si>
  <si>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</si>
  <si>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</si>
  <si>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</si>
  <si>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</si>
  <si>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</si>
  <si>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</si>
  <si>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</si>
  <si>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</si>
  <si>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</si>
  <si>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</si>
  <si>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</si>
  <si>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</si>
  <si>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</si>
  <si>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</si>
  <si>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</si>
  <si>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</si>
  <si>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</si>
  <si>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</si>
  <si>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</si>
  <si>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</si>
  <si>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</si>
  <si>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NDQ06 (2016 Q3-2018 Q4)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</si>
  <si>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</si>
  <si>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</si>
  <si>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</si>
  <si>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</si>
  <si>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</si>
  <si>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</si>
  <si>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</si>
  <si>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</si>
  <si>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</si>
  <si>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</si>
  <si>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</si>
  <si>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</si>
  <si>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</si>
  <si>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</si>
  <si>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</si>
  <si>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Stock~2018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</si>
</sst>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</fills>
  <borders count="19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148">
    <xf numFmtId="0" fontId="0" fillId="0" borderId="0" xfId="0"/>
    <xf numFmtId="38" fontId="21" fillId="0" borderId="0" xfId="0" applyNumberFormat="1" applyFont="1"/>
    <xf numFmtId="38" fontId="24" fillId="5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1" fillId="0" borderId="0" xfId="0" applyNumberFormat="1" applyFont="1"/>
    <xf numFmtId="40" fontId="23" fillId="0" borderId="0" xfId="0" applyNumberFormat="1" applyFont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Alignment="1">
      <alignment horizontal="center"/>
    </xf>
    <xf numFmtId="38" fontId="21" fillId="0" borderId="0" xfId="0" applyNumberFormat="1" applyFont="1" applyAlignment="1">
      <alignment horizontal="center"/>
    </xf>
    <xf numFmtId="38" fontId="26" fillId="0" borderId="0" xfId="0" applyNumberFormat="1" applyFont="1"/>
    <xf numFmtId="38" fontId="25" fillId="0" borderId="0" xfId="0" applyNumberFormat="1" applyFont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170" fontId="29" fillId="9" borderId="0" xfId="2" applyNumberForma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4" fillId="2" borderId="0" xfId="0" applyFont="1" applyFill="1" applyProtection="1">
      <protection locked="0"/>
    </xf>
    <xf numFmtId="0" fontId="39" fillId="2" borderId="0" xfId="0" applyFont="1" applyFill="1" applyAlignment="1" applyProtection="1">
      <alignment horizontal="left"/>
      <protection locked="0"/>
    </xf>
    <xf numFmtId="0" fontId="32" fillId="0" borderId="0" xfId="0" applyFont="1" applyProtection="1">
      <protection locked="0"/>
    </xf>
    <xf numFmtId="0" fontId="32" fillId="2" borderId="0" xfId="0" applyFont="1" applyFill="1" applyProtection="1"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Font="1" applyFill="1" applyBorder="1" applyAlignment="1" applyProtection="1">
      <alignment horizontal="left"/>
      <protection locked="0"/>
    </xf>
    <xf numFmtId="0" fontId="39" fillId="0" borderId="0" xfId="0" applyFo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Protection="1">
      <protection locked="0"/>
    </xf>
    <xf numFmtId="0" fontId="32" fillId="0" borderId="0" xfId="0" applyFont="1" applyAlignment="1">
      <alignment horizontal="center" wrapText="1"/>
    </xf>
    <xf numFmtId="0" fontId="32" fillId="0" borderId="0" xfId="0" applyFont="1" applyAlignment="1" applyProtection="1">
      <alignment horizontal="center" vertical="center"/>
      <protection locked="0"/>
    </xf>
    <xf numFmtId="0" fontId="32" fillId="0" borderId="0" xfId="0" quotePrefix="1" applyFon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ill="1" applyAlignment="1"/>
    <xf numFmtId="2" fontId="32" fillId="0" borderId="0" xfId="0" applyNumberFormat="1" applyFont="1" applyAlignment="1">
      <alignment horizontal="right"/>
    </xf>
    <xf numFmtId="0" fontId="48" fillId="0" borderId="0" xfId="0" applyFont="1"/>
    <xf numFmtId="0" fontId="47" fillId="0" borderId="0" xfId="0" applyFont="1" applyAlignment="1">
      <alignment horizontal="left"/>
    </xf>
    <xf numFmtId="0" fontId="41" fillId="0" borderId="0" xfId="0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/>
    <xf numFmtId="0" fontId="56" fillId="27" borderId="17" xfId="0" applyFont="1" applyFill="1" applyBorder="1"/>
    <xf numFmtId="0" fontId="56" fillId="27" borderId="0" xfId="0" applyFont="1" applyFill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Font="1" applyFill="1" applyBorder="1"/>
    <xf numFmtId="0" fontId="13" fillId="26" borderId="164" xfId="0" applyFont="1" applyFill="1" applyBorder="1"/>
    <xf numFmtId="3" fontId="13" fillId="26" borderId="164" xfId="0" applyNumberFormat="1" applyFont="1" applyFill="1" applyBorder="1"/>
    <xf numFmtId="3" fontId="13" fillId="28" borderId="164" xfId="0" applyNumberFormat="1" applyFont="1" applyFill="1" applyBorder="1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Font="1" applyBorder="1"/>
    <xf numFmtId="0" fontId="45" fillId="33" borderId="165" xfId="0" applyFont="1" applyFill="1" applyBorder="1"/>
    <xf numFmtId="0" fontId="27" fillId="29" borderId="8" xfId="0" applyFont="1" applyFill="1" applyBorder="1" applyProtection="1">
      <protection locked="0"/>
    </xf>
    <xf numFmtId="38" fontId="27" fillId="29" borderId="8" xfId="0" applyNumberFormat="1" applyFont="1" applyFill="1" applyBorder="1" applyAlignment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/>
    <xf numFmtId="2" fontId="45" fillId="33" borderId="165" xfId="0" applyNumberFormat="1" applyFont="1" applyFill="1" applyBorder="1"/>
    <xf numFmtId="0" fontId="0" fillId="0" borderId="0" xfId="0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140" xfId="0" applyNumberFormat="1" applyFont="1" applyBorder="1"/>
    <xf numFmtId="4" fontId="13" fillId="0" borderId="107" xfId="0" applyNumberFormat="1" applyFont="1" applyBorder="1"/>
    <xf numFmtId="0" fontId="13" fillId="14" borderId="0" xfId="0" applyFont="1" applyFill="1"/>
    <xf numFmtId="0" fontId="45" fillId="33" borderId="0" xfId="0" applyFont="1" applyFill="1"/>
    <xf numFmtId="2" fontId="45" fillId="33" borderId="0" xfId="0" applyNumberFormat="1" applyFont="1" applyFill="1"/>
    <xf numFmtId="0" fontId="45" fillId="0" borderId="0" xfId="0" applyFont="1"/>
    <xf numFmtId="2" fontId="45" fillId="0" borderId="0" xfId="0" applyNumberFormat="1" applyFo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Font="1" applyFill="1" applyBorder="1"/>
    <xf numFmtId="0" fontId="45" fillId="0" borderId="9" xfId="0" applyFont="1" applyBorder="1"/>
    <xf numFmtId="0" fontId="45" fillId="0" borderId="8" xfId="0" applyFont="1" applyBorder="1"/>
    <xf numFmtId="2" fontId="45" fillId="33" borderId="59" xfId="0" applyNumberFormat="1" applyFont="1" applyFill="1" applyBorder="1"/>
    <xf numFmtId="2" fontId="45" fillId="33" borderId="18" xfId="0" applyNumberFormat="1" applyFont="1" applyFill="1" applyBorder="1"/>
    <xf numFmtId="0" fontId="45" fillId="33" borderId="18" xfId="0" applyFont="1" applyFill="1" applyBorder="1"/>
    <xf numFmtId="2" fontId="45" fillId="0" borderId="93" xfId="0" applyNumberFormat="1" applyFont="1" applyBorder="1"/>
    <xf numFmtId="2" fontId="45" fillId="33" borderId="93" xfId="0" applyNumberFormat="1" applyFont="1" applyFill="1" applyBorder="1"/>
    <xf numFmtId="2" fontId="45" fillId="0" borderId="2" xfId="0" applyNumberFormat="1" applyFont="1" applyBorder="1"/>
    <xf numFmtId="0" fontId="45" fillId="0" borderId="2" xfId="0" applyFont="1" applyBorder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Font="1" applyFill="1" applyBorder="1"/>
    <xf numFmtId="0" fontId="12" fillId="26" borderId="164" xfId="0" applyFont="1" applyFill="1" applyBorder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Font="1" applyBorder="1" applyProtection="1">
      <protection locked="0"/>
    </xf>
    <xf numFmtId="0" fontId="32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Font="1" applyFill="1" applyBorder="1"/>
    <xf numFmtId="0" fontId="45" fillId="0" borderId="7" xfId="0" applyFont="1" applyBorder="1"/>
    <xf numFmtId="2" fontId="45" fillId="0" borderId="18" xfId="0" applyNumberFormat="1" applyFont="1" applyBorder="1"/>
    <xf numFmtId="0" fontId="45" fillId="0" borderId="18" xfId="0" applyFont="1" applyBorder="1"/>
    <xf numFmtId="0" fontId="61" fillId="5" borderId="0" xfId="0" applyFont="1" applyFill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Alignment="1">
      <alignment vertical="center"/>
    </xf>
    <xf numFmtId="0" fontId="42" fillId="0" borderId="0" xfId="0" applyFont="1" applyAlignment="1">
      <alignment horizontal="center"/>
    </xf>
    <xf numFmtId="0" fontId="56" fillId="29" borderId="0" xfId="0" applyFont="1" applyFill="1"/>
    <xf numFmtId="168" fontId="61" fillId="11" borderId="0" xfId="0" applyNumberFormat="1" applyFont="1" applyFill="1" applyAlignment="1">
      <alignment vertical="center"/>
    </xf>
    <xf numFmtId="168" fontId="61" fillId="5" borderId="0" xfId="0" applyNumberFormat="1" applyFont="1" applyFill="1" applyAlignment="1">
      <alignment vertical="center"/>
    </xf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Font="1" applyBorder="1"/>
    <xf numFmtId="2" fontId="45" fillId="0" borderId="171" xfId="0" applyNumberFormat="1" applyFont="1" applyBorder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/>
    <xf numFmtId="10" fontId="9" fillId="34" borderId="0" xfId="0" applyNumberFormat="1" applyFont="1" applyFill="1"/>
    <xf numFmtId="168" fontId="9" fillId="34" borderId="0" xfId="0" applyNumberFormat="1" applyFont="1" applyFill="1"/>
    <xf numFmtId="0" fontId="35" fillId="34" borderId="0" xfId="0" applyFont="1" applyFill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Border="1" applyProtection="1">
      <protection locked="0"/>
    </xf>
    <xf numFmtId="166" fontId="39" fillId="0" borderId="2" xfId="0" applyNumberFormat="1" applyFont="1" applyBorder="1" applyProtection="1">
      <protection locked="0"/>
    </xf>
    <xf numFmtId="2" fontId="32" fillId="0" borderId="2" xfId="0" applyNumberFormat="1" applyFont="1" applyBorder="1" applyProtection="1">
      <protection locked="0"/>
    </xf>
    <xf numFmtId="166" fontId="32" fillId="0" borderId="2" xfId="0" applyNumberFormat="1" applyFont="1" applyBorder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Alignment="1">
      <alignment horizontal="right"/>
    </xf>
    <xf numFmtId="0" fontId="45" fillId="0" borderId="139" xfId="0" applyFont="1" applyBorder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/>
    <xf numFmtId="167" fontId="13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76" fillId="31" borderId="142" xfId="0" applyFont="1" applyFill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5" fillId="0" borderId="136" xfId="0" applyFont="1" applyBorder="1" applyAlignment="1">
      <alignment vertical="center"/>
    </xf>
    <xf numFmtId="0" fontId="76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4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Alignment="1">
      <alignment horizontal="right"/>
    </xf>
    <xf numFmtId="0" fontId="76" fillId="0" borderId="0" xfId="0" applyFont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170" fontId="29" fillId="9" borderId="0" xfId="2" applyNumberFormat="1" applyAlignment="1">
      <alignment vertical="center"/>
    </xf>
    <xf numFmtId="0" fontId="6" fillId="34" borderId="0" xfId="0" applyFont="1" applyFill="1"/>
    <xf numFmtId="170" fontId="13" fillId="14" borderId="0" xfId="0" applyNumberFormat="1" applyFont="1" applyFill="1"/>
    <xf numFmtId="0" fontId="83" fillId="0" borderId="0" xfId="0" applyFont="1"/>
    <xf numFmtId="0" fontId="33" fillId="0" borderId="0" xfId="0" applyFont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Border="1" applyProtection="1">
      <protection locked="0"/>
    </xf>
    <xf numFmtId="167" fontId="32" fillId="0" borderId="2" xfId="0" applyNumberFormat="1" applyFont="1" applyBorder="1" applyProtection="1">
      <protection locked="0"/>
    </xf>
    <xf numFmtId="173" fontId="61" fillId="11" borderId="0" xfId="0" applyNumberFormat="1" applyFont="1" applyFill="1" applyAlignment="1">
      <alignment vertical="center"/>
    </xf>
    <xf numFmtId="173" fontId="61" fillId="5" borderId="0" xfId="0" applyNumberFormat="1" applyFont="1" applyFill="1" applyAlignment="1">
      <alignment vertical="center"/>
    </xf>
    <xf numFmtId="173" fontId="68" fillId="29" borderId="0" xfId="0" applyNumberFormat="1" applyFont="1" applyFill="1" applyAlignment="1">
      <alignment vertical="center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5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left"/>
    </xf>
    <xf numFmtId="38" fontId="85" fillId="0" borderId="38" xfId="0" applyNumberFormat="1" applyFont="1" applyBorder="1" applyAlignment="1">
      <alignment horizontal="left" vertical="top"/>
    </xf>
    <xf numFmtId="38" fontId="85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center"/>
    </xf>
    <xf numFmtId="38" fontId="85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5" fillId="0" borderId="73" xfId="0" applyNumberFormat="1" applyFont="1" applyBorder="1" applyAlignment="1">
      <alignment horizontal="center"/>
    </xf>
    <xf numFmtId="38" fontId="85" fillId="0" borderId="74" xfId="0" applyNumberFormat="1" applyFont="1" applyBorder="1" applyAlignment="1">
      <alignment horizontal="center"/>
    </xf>
    <xf numFmtId="38" fontId="85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5" fillId="0" borderId="43" xfId="0" applyNumberFormat="1" applyFont="1" applyBorder="1" applyAlignment="1">
      <alignment horizontal="center"/>
    </xf>
    <xf numFmtId="38" fontId="85" fillId="0" borderId="41" xfId="0" applyNumberFormat="1" applyFont="1" applyBorder="1" applyAlignment="1">
      <alignment horizontal="center"/>
    </xf>
    <xf numFmtId="38" fontId="85" fillId="0" borderId="45" xfId="0" applyNumberFormat="1" applyFont="1" applyBorder="1" applyAlignment="1">
      <alignment horizontal="center"/>
    </xf>
    <xf numFmtId="38" fontId="85" fillId="0" borderId="134" xfId="0" applyNumberFormat="1" applyFont="1" applyBorder="1" applyAlignment="1">
      <alignment horizontal="center"/>
    </xf>
    <xf numFmtId="38" fontId="85" fillId="0" borderId="133" xfId="0" applyNumberFormat="1" applyFont="1" applyBorder="1" applyAlignment="1">
      <alignment horizontal="center"/>
    </xf>
    <xf numFmtId="38" fontId="85" fillId="0" borderId="131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left"/>
    </xf>
    <xf numFmtId="38" fontId="85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5" fillId="0" borderId="83" xfId="0" applyNumberFormat="1" applyFont="1" applyBorder="1" applyAlignment="1">
      <alignment horizontal="center"/>
    </xf>
    <xf numFmtId="38" fontId="85" fillId="0" borderId="84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left"/>
    </xf>
    <xf numFmtId="38" fontId="85" fillId="0" borderId="70" xfId="0" applyNumberFormat="1" applyFont="1" applyBorder="1" applyAlignment="1">
      <alignment horizontal="left" vertical="top"/>
    </xf>
    <xf numFmtId="38" fontId="85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center"/>
    </xf>
    <xf numFmtId="38" fontId="85" fillId="0" borderId="75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left"/>
    </xf>
    <xf numFmtId="38" fontId="85" fillId="0" borderId="122" xfId="0" applyNumberFormat="1" applyFont="1" applyBorder="1" applyAlignment="1">
      <alignment horizontal="left" vertical="top"/>
    </xf>
    <xf numFmtId="38" fontId="85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center"/>
    </xf>
    <xf numFmtId="38" fontId="85" fillId="0" borderId="125" xfId="0" applyNumberFormat="1" applyFont="1" applyBorder="1" applyAlignment="1">
      <alignment horizontal="center"/>
    </xf>
    <xf numFmtId="38" fontId="85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center"/>
    </xf>
    <xf numFmtId="38" fontId="85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/>
    <xf numFmtId="1" fontId="9" fillId="34" borderId="0" xfId="0" applyNumberFormat="1" applyFont="1" applyFill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Protection="1">
      <protection locked="0"/>
    </xf>
    <xf numFmtId="2" fontId="65" fillId="29" borderId="106" xfId="0" applyNumberFormat="1" applyFont="1" applyFill="1" applyBorder="1" applyProtection="1">
      <protection locked="0"/>
    </xf>
    <xf numFmtId="10" fontId="9" fillId="5" borderId="0" xfId="1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168" fontId="0" fillId="35" borderId="2" xfId="0" applyNumberFormat="1" applyFill="1" applyBorder="1"/>
    <xf numFmtId="2" fontId="39" fillId="0" borderId="0" xfId="0" applyNumberFormat="1" applyFont="1" applyProtection="1">
      <protection locked="0"/>
    </xf>
    <xf numFmtId="2" fontId="32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2" fillId="11" borderId="151" xfId="0" applyFont="1" applyFill="1" applyBorder="1" applyAlignment="1" applyProtection="1">
      <alignment horizontal="left" vertical="center" wrapText="1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0" fontId="32" fillId="11" borderId="170" xfId="0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Font="1" applyFill="1" applyBorder="1"/>
    <xf numFmtId="0" fontId="32" fillId="34" borderId="170" xfId="0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Font="1" applyBorder="1" applyAlignment="1" applyProtection="1">
      <alignment horizontal="left" vertical="center" wrapText="1"/>
      <protection locked="0"/>
    </xf>
    <xf numFmtId="0" fontId="39" fillId="0" borderId="55" xfId="0" applyFont="1" applyBorder="1" applyProtection="1">
      <protection locked="0"/>
    </xf>
    <xf numFmtId="0" fontId="39" fillId="0" borderId="56" xfId="0" applyFont="1" applyBorder="1" applyAlignment="1" applyProtection="1">
      <alignment horizontal="center"/>
      <protection locked="0"/>
    </xf>
    <xf numFmtId="0" fontId="39" fillId="0" borderId="54" xfId="0" applyFont="1" applyBorder="1" applyAlignment="1" applyProtection="1">
      <alignment horizontal="center"/>
      <protection locked="0"/>
    </xf>
    <xf numFmtId="0" fontId="39" fillId="0" borderId="59" xfId="0" applyFont="1" applyBorder="1" applyProtection="1">
      <protection locked="0"/>
    </xf>
    <xf numFmtId="0" fontId="39" fillId="0" borderId="18" xfId="0" applyFont="1" applyBorder="1" applyAlignment="1" applyProtection="1">
      <alignment horizontal="center"/>
      <protection locked="0"/>
    </xf>
    <xf numFmtId="0" fontId="39" fillId="0" borderId="143" xfId="0" applyFont="1" applyBorder="1" applyAlignment="1" applyProtection="1">
      <alignment horizontal="center"/>
      <protection locked="0"/>
    </xf>
    <xf numFmtId="0" fontId="39" fillId="0" borderId="18" xfId="0" applyFont="1" applyBorder="1" applyProtection="1">
      <protection locked="0"/>
    </xf>
    <xf numFmtId="0" fontId="39" fillId="0" borderId="0" xfId="0" applyFont="1" applyAlignment="1" applyProtection="1">
      <alignment horizontal="center"/>
      <protection locked="0"/>
    </xf>
    <xf numFmtId="0" fontId="39" fillId="0" borderId="145" xfId="0" applyFont="1" applyBorder="1" applyAlignment="1" applyProtection="1">
      <alignment horizontal="center"/>
      <protection locked="0"/>
    </xf>
    <xf numFmtId="0" fontId="53" fillId="29" borderId="59" xfId="0" applyFont="1" applyFill="1" applyBorder="1" applyProtection="1">
      <protection locked="0"/>
    </xf>
    <xf numFmtId="0" fontId="65" fillId="29" borderId="18" xfId="0" applyFont="1" applyFill="1" applyBorder="1" applyProtection="1">
      <protection locked="0"/>
    </xf>
    <xf numFmtId="0" fontId="65" fillId="29" borderId="143" xfId="0" applyFont="1" applyFill="1" applyBorder="1" applyProtection="1">
      <protection locked="0"/>
    </xf>
    <xf numFmtId="0" fontId="32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5" fillId="33" borderId="59" xfId="0" applyFont="1" applyFill="1" applyBorder="1"/>
    <xf numFmtId="0" fontId="45" fillId="0" borderId="93" xfId="0" applyFont="1" applyBorder="1"/>
    <xf numFmtId="0" fontId="45" fillId="33" borderId="93" xfId="0" applyFont="1" applyFill="1" applyBorder="1"/>
    <xf numFmtId="0" fontId="45" fillId="0" borderId="59" xfId="0" applyFont="1" applyBorder="1"/>
    <xf numFmtId="0" fontId="45" fillId="0" borderId="26" xfId="0" applyFont="1" applyBorder="1"/>
    <xf numFmtId="0" fontId="32" fillId="13" borderId="56" xfId="0" applyFont="1" applyFill="1" applyBorder="1" applyAlignment="1">
      <alignment horizontal="center"/>
    </xf>
    <xf numFmtId="0" fontId="45" fillId="33" borderId="143" xfId="0" applyFont="1" applyFill="1" applyBorder="1"/>
    <xf numFmtId="0" fontId="45" fillId="0" borderId="145" xfId="0" applyFont="1" applyBorder="1"/>
    <xf numFmtId="2" fontId="45" fillId="33" borderId="26" xfId="0" applyNumberFormat="1" applyFont="1" applyFill="1" applyBorder="1"/>
    <xf numFmtId="2" fontId="45" fillId="33" borderId="2" xfId="0" applyNumberFormat="1" applyFont="1" applyFill="1" applyBorder="1"/>
    <xf numFmtId="0" fontId="45" fillId="33" borderId="2" xfId="0" applyFont="1" applyFill="1" applyBorder="1"/>
    <xf numFmtId="0" fontId="45" fillId="33" borderId="144" xfId="0" applyFont="1" applyFill="1" applyBorder="1"/>
    <xf numFmtId="2" fontId="45" fillId="0" borderId="59" xfId="0" applyNumberFormat="1" applyFont="1" applyBorder="1"/>
    <xf numFmtId="0" fontId="45" fillId="0" borderId="143" xfId="0" applyFont="1" applyBorder="1"/>
    <xf numFmtId="0" fontId="45" fillId="33" borderId="145" xfId="0" applyFont="1" applyFill="1" applyBorder="1"/>
    <xf numFmtId="2" fontId="45" fillId="0" borderId="26" xfId="0" applyNumberFormat="1" applyFont="1" applyBorder="1"/>
    <xf numFmtId="0" fontId="45" fillId="0" borderId="144" xfId="0" applyFont="1" applyBorder="1"/>
    <xf numFmtId="166" fontId="45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/>
    <xf numFmtId="0" fontId="80" fillId="19" borderId="136" xfId="0" applyFont="1" applyFill="1" applyBorder="1"/>
    <xf numFmtId="0" fontId="54" fillId="19" borderId="1" xfId="3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4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0" fillId="5" borderId="0" xfId="0" applyFont="1" applyFill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3" fontId="2" fillId="16" borderId="118" xfId="0" applyNumberFormat="1" applyFont="1" applyFill="1" applyBorder="1" applyAlignment="1">
      <alignment vertical="center"/>
    </xf>
    <xf numFmtId="3" fontId="2" fillId="32" borderId="1" xfId="0" quotePrefix="1" applyNumberFormat="1" applyFont="1" applyFill="1" applyBorder="1" applyAlignment="1">
      <alignment horizontal="right" vertical="top"/>
    </xf>
    <xf numFmtId="169" fontId="0" fillId="35" borderId="144" xfId="0" applyNumberFormat="1" applyFill="1" applyBorder="1"/>
    <xf numFmtId="3" fontId="2" fillId="16" borderId="1" xfId="0" applyNumberFormat="1" applyFont="1" applyFill="1" applyBorder="1" applyAlignment="1">
      <alignment vertical="center"/>
    </xf>
    <xf numFmtId="0" fontId="15" fillId="35" borderId="2" xfId="0" applyFont="1" applyFill="1" applyBorder="1"/>
    <xf numFmtId="2" fontId="15" fillId="35" borderId="2" xfId="0" applyNumberFormat="1" applyFont="1" applyFill="1" applyBorder="1"/>
    <xf numFmtId="3" fontId="2" fillId="16" borderId="14" xfId="0" applyNumberFormat="1" applyFont="1" applyFill="1" applyBorder="1" applyAlignment="1">
      <alignment vertical="center"/>
    </xf>
    <xf numFmtId="3" fontId="2" fillId="32" borderId="111" xfId="0" quotePrefix="1" applyNumberFormat="1" applyFont="1" applyFill="1" applyBorder="1" applyAlignment="1">
      <alignment horizontal="right" vertical="top"/>
    </xf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0" fontId="27" fillId="43" borderId="189" xfId="0" applyFont="1" applyFill="1" applyBorder="1" applyAlignment="1">
      <alignment horizontal="left" vertical="center"/>
    </xf>
    <xf numFmtId="0" fontId="45" fillId="44" borderId="6" xfId="0" applyFont="1" applyFill="1" applyBorder="1" applyAlignment="1">
      <alignment horizontal="left" vertical="center" wrapText="1"/>
    </xf>
    <xf numFmtId="0" fontId="45" fillId="44" borderId="190" xfId="0" applyFont="1" applyFill="1" applyBorder="1" applyAlignment="1">
      <alignment horizontal="left" vertical="center" wrapText="1"/>
    </xf>
    <xf numFmtId="9" fontId="0" fillId="0" borderId="0" xfId="0" applyNumberFormat="1"/>
    <xf numFmtId="9" fontId="55" fillId="0" borderId="0" xfId="0" applyNumberFormat="1" applyFon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0" fontId="60" fillId="25" borderId="151" xfId="0" applyFont="1" applyFill="1" applyBorder="1" applyAlignment="1">
      <alignment horizontal="center"/>
    </xf>
    <xf numFmtId="0" fontId="58" fillId="28" borderId="191" xfId="0" applyFont="1" applyFill="1" applyBorder="1" applyAlignment="1">
      <alignment vertical="center"/>
    </xf>
    <xf numFmtId="0" fontId="58" fillId="26" borderId="191" xfId="0" applyFont="1" applyFill="1" applyBorder="1" applyAlignment="1">
      <alignment vertical="center"/>
    </xf>
    <xf numFmtId="175" fontId="0" fillId="0" borderId="0" xfId="5" applyNumberFormat="1" applyFont="1"/>
    <xf numFmtId="43" fontId="0" fillId="0" borderId="0" xfId="0" applyNumberFormat="1"/>
    <xf numFmtId="0" fontId="28" fillId="11" borderId="0" xfId="0" applyFont="1" applyFill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3" fontId="27" fillId="30" borderId="158" xfId="0" applyNumberFormat="1" applyFont="1" applyFill="1" applyBorder="1" applyAlignment="1">
      <alignment vertical="center"/>
    </xf>
    <xf numFmtId="3" fontId="28" fillId="16" borderId="0" xfId="0" applyNumberFormat="1" applyFont="1" applyFill="1" applyAlignment="1">
      <alignment vertical="center"/>
    </xf>
    <xf numFmtId="0" fontId="46" fillId="17" borderId="2" xfId="0" applyFont="1" applyFill="1" applyBorder="1" applyAlignment="1">
      <alignment vertical="center"/>
    </xf>
    <xf numFmtId="177" fontId="0" fillId="0" borderId="0" xfId="0" applyNumberFormat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Font="1" applyFill="1" applyBorder="1" applyAlignment="1" applyProtection="1">
      <alignment horizontal="center" wrapText="1"/>
      <protection locked="0"/>
    </xf>
    <xf numFmtId="0" fontId="65" fillId="34" borderId="26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wrapText="1"/>
      <protection locked="0"/>
    </xf>
    <xf numFmtId="0" fontId="39" fillId="11" borderId="8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vertical="center"/>
      <protection locked="0"/>
    </xf>
    <xf numFmtId="0" fontId="39" fillId="11" borderId="8" xfId="0" applyFont="1" applyFill="1" applyBorder="1" applyAlignment="1" applyProtection="1">
      <alignment horizontal="center" vertical="center"/>
      <protection locked="0"/>
    </xf>
    <xf numFmtId="0" fontId="39" fillId="2" borderId="93" xfId="0" applyFont="1" applyFill="1" applyBorder="1" applyAlignment="1" applyProtection="1">
      <alignment horizontal="center"/>
      <protection locked="0"/>
    </xf>
    <xf numFmtId="0" fontId="39" fillId="2" borderId="0" xfId="0" applyFont="1" applyFill="1" applyAlignment="1" applyProtection="1">
      <alignment horizontal="center"/>
      <protection locked="0"/>
    </xf>
    <xf numFmtId="0" fontId="39" fillId="2" borderId="26" xfId="0" applyFont="1" applyFill="1" applyBorder="1" applyAlignment="1" applyProtection="1">
      <alignment horizontal="center"/>
      <protection locked="0"/>
    </xf>
    <xf numFmtId="0" fontId="39" fillId="2" borderId="2" xfId="0" applyFont="1" applyFill="1" applyBorder="1" applyAlignment="1" applyProtection="1">
      <alignment horizontal="center"/>
      <protection locked="0"/>
    </xf>
    <xf numFmtId="0" fontId="39" fillId="2" borderId="7" xfId="0" applyFont="1" applyFill="1" applyBorder="1" applyAlignment="1" applyProtection="1">
      <alignment horizontal="center" wrapText="1"/>
      <protection locked="0"/>
    </xf>
    <xf numFmtId="0" fontId="39" fillId="2" borderId="8" xfId="0" applyFont="1" applyFill="1" applyBorder="1" applyAlignment="1" applyProtection="1">
      <alignment horizont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0" fontId="28" fillId="11" borderId="143" xfId="0" applyFont="1" applyFill="1" applyBorder="1" applyAlignment="1">
      <alignment horizontal="center" vertical="center"/>
    </xf>
    <xf numFmtId="10" fontId="0" fillId="0" borderId="26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4" xfId="0" applyBorder="1" applyAlignment="1">
      <alignment horizont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16.378697418149557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4763</xdr:colOff>
      <xdr:row>44</xdr:row>
      <xdr:rowOff>4764</xdr:rowOff>
    </xdr:from>
    <xdr:to>
      <xdr:col>25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685800</xdr:colOff>
      <xdr:row>52</xdr:row>
      <xdr:rowOff>95251</xdr:rowOff>
    </xdr:from>
    <xdr:to>
      <xdr:col>25</xdr:col>
      <xdr:colOff>340122</xdr:colOff>
      <xdr:row>54</xdr:row>
      <xdr:rowOff>88504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15203884" y="9275367"/>
          <a:ext cx="374253" cy="644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1039091</xdr:colOff>
      <xdr:row>27</xdr:row>
      <xdr:rowOff>108080</xdr:rowOff>
    </xdr:from>
    <xdr:to>
      <xdr:col>9</xdr:col>
      <xdr:colOff>746125</xdr:colOff>
      <xdr:row>31</xdr:row>
      <xdr:rowOff>64365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421091" y="5537330"/>
          <a:ext cx="754784" cy="7500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3.xml"/><Relationship Id="rId5" Type="http://schemas.openxmlformats.org/officeDocument/2006/relationships/table" Target="../tables/table3.xml"/><Relationship Id="rId10" Type="http://schemas.openxmlformats.org/officeDocument/2006/relationships/comments" Target="../comments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5546875" defaultRowHeight="15"/>
  <cols>
    <col min="1" max="4" width="21.7109375" style="950" customWidth="1"/>
    <col min="5" max="6" width="14.140625" style="950" customWidth="1"/>
    <col min="7" max="7" width="12.140625" style="950" customWidth="1"/>
    <col min="8" max="10" width="8.140625" style="950" customWidth="1"/>
    <col min="11" max="11" width="9.7109375" style="950" customWidth="1"/>
    <col min="12" max="12" width="8.140625" style="950" customWidth="1"/>
    <col min="13" max="13" width="10" style="950" customWidth="1"/>
    <col min="14" max="14" width="11.42578125" style="950" customWidth="1"/>
    <col min="15" max="15" width="13.42578125" style="950" customWidth="1"/>
    <col min="16" max="16384" width="8.85546875" style="950"/>
  </cols>
  <sheetData>
    <row r="1" spans="1:26">
      <c r="A1" s="948"/>
      <c r="B1" s="948"/>
      <c r="C1" s="948"/>
      <c r="D1" s="948"/>
      <c r="E1" s="949"/>
      <c r="F1" s="949"/>
      <c r="G1" s="949"/>
      <c r="H1" s="949"/>
      <c r="I1" s="949"/>
      <c r="J1" s="949"/>
      <c r="K1" s="949"/>
      <c r="L1" s="949"/>
      <c r="M1" s="949"/>
      <c r="N1" s="949"/>
      <c r="O1" s="949"/>
      <c r="P1" s="949"/>
      <c r="Q1" s="949"/>
      <c r="R1" s="949"/>
      <c r="S1" s="949"/>
      <c r="T1" s="949"/>
      <c r="U1" s="949"/>
      <c r="V1" s="949"/>
      <c r="W1" s="949"/>
      <c r="X1" s="949"/>
      <c r="Y1" s="949"/>
      <c r="Z1" s="949"/>
    </row>
    <row r="2" spans="1:26">
      <c r="A2" s="948"/>
      <c r="B2" s="948"/>
      <c r="C2" s="948"/>
      <c r="D2" s="948"/>
      <c r="E2" s="949"/>
      <c r="F2" s="949"/>
      <c r="G2" s="949"/>
      <c r="H2" s="949"/>
      <c r="I2" s="949"/>
      <c r="J2" s="949"/>
      <c r="K2" s="949"/>
      <c r="L2" s="949"/>
      <c r="M2" s="949"/>
      <c r="N2" s="949"/>
      <c r="O2" s="949"/>
      <c r="P2" s="949"/>
      <c r="Q2" s="949"/>
      <c r="R2" s="949"/>
      <c r="S2" s="949"/>
      <c r="T2" s="949"/>
      <c r="U2" s="949"/>
      <c r="V2" s="949"/>
      <c r="W2" s="949"/>
      <c r="X2" s="949"/>
      <c r="Y2" s="949"/>
      <c r="Z2" s="949"/>
    </row>
    <row r="3" spans="1:26">
      <c r="A3" s="948"/>
      <c r="B3" s="948"/>
      <c r="C3" s="948"/>
      <c r="D3" s="948"/>
      <c r="E3" s="949"/>
      <c r="F3" s="949"/>
      <c r="G3" s="949"/>
      <c r="H3" s="949"/>
      <c r="I3" s="949"/>
      <c r="J3" s="949"/>
      <c r="K3" s="949"/>
      <c r="L3" s="949"/>
      <c r="M3" s="949"/>
      <c r="N3" s="949"/>
      <c r="O3" s="949"/>
      <c r="P3" s="949"/>
      <c r="Q3" s="949"/>
      <c r="R3" s="949"/>
      <c r="S3" s="949"/>
      <c r="T3" s="949"/>
      <c r="U3" s="949"/>
      <c r="V3" s="949"/>
      <c r="W3" s="949"/>
      <c r="X3" s="949"/>
      <c r="Y3" s="949"/>
      <c r="Z3" s="949"/>
    </row>
    <row r="4" spans="1:26">
      <c r="A4" s="948"/>
      <c r="B4" s="948"/>
      <c r="C4" s="948"/>
      <c r="D4" s="948"/>
      <c r="E4" s="949"/>
      <c r="F4" s="949"/>
      <c r="G4" s="949"/>
      <c r="H4" s="949"/>
      <c r="I4" s="949"/>
      <c r="J4" s="949"/>
      <c r="K4" s="949"/>
      <c r="L4" s="949"/>
      <c r="M4" s="949"/>
      <c r="N4" s="949"/>
      <c r="O4" s="949"/>
      <c r="P4" s="949"/>
      <c r="Q4" s="949"/>
      <c r="R4" s="949"/>
      <c r="S4" s="949"/>
      <c r="T4" s="949"/>
      <c r="U4" s="949"/>
      <c r="V4" s="949"/>
      <c r="W4" s="949"/>
      <c r="X4" s="949"/>
      <c r="Y4" s="949"/>
      <c r="Z4" s="949"/>
    </row>
    <row r="5" spans="1:26">
      <c r="A5" s="948"/>
      <c r="B5" s="948"/>
      <c r="C5" s="948"/>
      <c r="D5" s="948"/>
      <c r="E5" s="949"/>
      <c r="F5" s="949"/>
      <c r="G5" s="949"/>
      <c r="H5" s="949"/>
      <c r="I5" s="949"/>
      <c r="J5" s="949"/>
      <c r="K5" s="949"/>
      <c r="L5" s="949"/>
      <c r="M5" s="949"/>
      <c r="N5" s="949"/>
      <c r="O5" s="949"/>
      <c r="P5" s="949"/>
      <c r="Q5" s="949"/>
      <c r="R5" s="949"/>
      <c r="S5" s="949"/>
      <c r="T5" s="949"/>
      <c r="U5" s="949"/>
      <c r="V5" s="949"/>
      <c r="W5" s="949"/>
      <c r="X5" s="949"/>
      <c r="Y5" s="949"/>
      <c r="Z5" s="949"/>
    </row>
    <row r="6" spans="1:26">
      <c r="A6" s="948"/>
      <c r="B6" s="948"/>
      <c r="C6" s="948"/>
      <c r="D6" s="948"/>
      <c r="E6" s="949"/>
      <c r="F6" s="949"/>
      <c r="G6" s="949"/>
      <c r="H6" s="949"/>
      <c r="I6" s="949"/>
      <c r="J6" s="949"/>
      <c r="K6" s="949"/>
      <c r="L6" s="949"/>
      <c r="M6" s="949"/>
      <c r="N6" s="949"/>
      <c r="O6" s="949"/>
      <c r="P6" s="949"/>
      <c r="Q6" s="949"/>
      <c r="R6" s="949"/>
      <c r="S6" s="949"/>
      <c r="T6" s="949"/>
      <c r="U6" s="949"/>
      <c r="V6" s="949"/>
      <c r="W6" s="949"/>
      <c r="X6" s="949"/>
      <c r="Y6" s="949"/>
      <c r="Z6" s="949"/>
    </row>
    <row r="7" spans="1:26">
      <c r="A7" s="948"/>
      <c r="B7" s="948"/>
      <c r="C7" s="948"/>
      <c r="D7" s="948"/>
      <c r="E7" s="949"/>
      <c r="F7" s="949"/>
      <c r="G7" s="949"/>
      <c r="H7" s="949"/>
      <c r="I7" s="949"/>
      <c r="J7" s="949"/>
      <c r="K7" s="949"/>
      <c r="L7" s="949"/>
      <c r="M7" s="949"/>
      <c r="N7" s="949"/>
      <c r="O7" s="949"/>
      <c r="P7" s="949"/>
      <c r="Q7" s="949"/>
      <c r="R7" s="949"/>
      <c r="S7" s="949"/>
      <c r="T7" s="949"/>
      <c r="U7" s="949"/>
      <c r="V7" s="949"/>
      <c r="W7" s="949"/>
      <c r="X7" s="949"/>
      <c r="Y7" s="949"/>
      <c r="Z7" s="949"/>
    </row>
    <row r="8" spans="1:26">
      <c r="A8" s="948"/>
      <c r="B8" s="948"/>
      <c r="C8" s="948"/>
      <c r="D8" s="948"/>
      <c r="E8" s="949"/>
      <c r="F8" s="949"/>
      <c r="G8" s="949"/>
      <c r="H8" s="949"/>
      <c r="I8" s="949"/>
      <c r="J8" s="949"/>
      <c r="K8" s="949"/>
      <c r="L8" s="949"/>
      <c r="M8" s="949"/>
      <c r="N8" s="949"/>
      <c r="O8" s="949"/>
      <c r="P8" s="949"/>
      <c r="Q8" s="949"/>
      <c r="R8" s="949"/>
      <c r="S8" s="949"/>
      <c r="T8" s="949"/>
      <c r="U8" s="949"/>
      <c r="V8" s="949"/>
      <c r="W8" s="949"/>
      <c r="X8" s="949"/>
      <c r="Y8" s="949"/>
      <c r="Z8" s="949"/>
    </row>
    <row r="9" spans="1:26">
      <c r="A9" s="948"/>
      <c r="B9" s="948"/>
      <c r="C9" s="948"/>
      <c r="D9" s="948"/>
      <c r="E9" s="949"/>
      <c r="F9" s="949"/>
      <c r="G9" s="949"/>
      <c r="H9" s="949"/>
      <c r="I9" s="949"/>
      <c r="J9" s="949"/>
      <c r="K9" s="949"/>
      <c r="L9" s="949"/>
      <c r="M9" s="949"/>
      <c r="N9" s="949"/>
      <c r="O9" s="949"/>
      <c r="P9" s="949"/>
      <c r="Q9" s="949"/>
      <c r="R9" s="949"/>
      <c r="S9" s="949"/>
      <c r="T9" s="949"/>
      <c r="U9" s="949"/>
      <c r="V9" s="949"/>
      <c r="W9" s="949"/>
      <c r="X9" s="949"/>
      <c r="Y9" s="949"/>
      <c r="Z9" s="949"/>
    </row>
    <row r="10" spans="1:26">
      <c r="A10" s="948"/>
      <c r="B10" s="948"/>
      <c r="C10" s="948"/>
      <c r="D10" s="948"/>
      <c r="E10" s="949"/>
      <c r="F10" s="949"/>
      <c r="G10" s="949"/>
      <c r="H10" s="949"/>
      <c r="I10" s="949"/>
      <c r="J10" s="949"/>
      <c r="K10" s="949"/>
      <c r="L10" s="949"/>
      <c r="M10" s="949"/>
      <c r="N10" s="949"/>
      <c r="O10" s="949"/>
      <c r="P10" s="949"/>
      <c r="Q10" s="949"/>
      <c r="R10" s="949"/>
      <c r="S10" s="949"/>
      <c r="T10" s="949"/>
      <c r="U10" s="949"/>
      <c r="V10" s="949"/>
      <c r="W10" s="949"/>
      <c r="X10" s="949"/>
      <c r="Y10" s="949"/>
      <c r="Z10" s="949"/>
    </row>
    <row r="11" spans="1:26">
      <c r="A11" s="948"/>
      <c r="B11" s="948"/>
      <c r="C11" s="948"/>
      <c r="D11" s="948"/>
      <c r="E11" s="949"/>
      <c r="F11" s="949"/>
      <c r="G11" s="949"/>
      <c r="H11" s="949"/>
      <c r="I11" s="949"/>
      <c r="J11" s="949"/>
      <c r="K11" s="949"/>
      <c r="L11" s="949"/>
      <c r="M11" s="949"/>
      <c r="N11" s="949"/>
      <c r="O11" s="949"/>
      <c r="P11" s="949"/>
      <c r="Q11" s="949"/>
      <c r="R11" s="949"/>
      <c r="S11" s="949"/>
      <c r="T11" s="949"/>
      <c r="U11" s="949"/>
      <c r="V11" s="949"/>
      <c r="W11" s="949"/>
      <c r="X11" s="949"/>
      <c r="Y11" s="949"/>
      <c r="Z11" s="949"/>
    </row>
    <row r="12" spans="1:26">
      <c r="A12" s="948"/>
      <c r="B12" s="948"/>
      <c r="C12" s="948"/>
      <c r="D12" s="948"/>
      <c r="E12" s="949"/>
      <c r="F12" s="949"/>
      <c r="G12" s="949"/>
      <c r="H12" s="949"/>
      <c r="I12" s="949"/>
      <c r="J12" s="949"/>
      <c r="K12" s="949"/>
      <c r="L12" s="949"/>
      <c r="M12" s="949"/>
      <c r="N12" s="949"/>
      <c r="O12" s="949"/>
      <c r="P12" s="949"/>
      <c r="Q12" s="949"/>
      <c r="R12" s="949"/>
      <c r="S12" s="949"/>
      <c r="T12" s="949"/>
      <c r="U12" s="949"/>
      <c r="V12" s="949"/>
      <c r="W12" s="949"/>
      <c r="X12" s="949"/>
      <c r="Y12" s="949"/>
      <c r="Z12" s="949"/>
    </row>
    <row r="13" spans="1:26">
      <c r="A13" s="948"/>
      <c r="B13" s="948"/>
      <c r="C13" s="948"/>
      <c r="D13" s="948"/>
      <c r="E13" s="949"/>
      <c r="F13" s="949"/>
      <c r="G13" s="949"/>
      <c r="H13" s="949"/>
      <c r="I13" s="949"/>
      <c r="J13" s="949"/>
      <c r="K13" s="949"/>
      <c r="L13" s="949"/>
      <c r="M13" s="949"/>
      <c r="N13" s="949"/>
      <c r="O13" s="949"/>
      <c r="P13" s="949"/>
      <c r="Q13" s="949"/>
      <c r="R13" s="949"/>
      <c r="S13" s="949"/>
      <c r="T13" s="949"/>
      <c r="U13" s="949"/>
      <c r="V13" s="949"/>
      <c r="W13" s="949"/>
      <c r="X13" s="949"/>
      <c r="Y13" s="949"/>
      <c r="Z13" s="949"/>
    </row>
    <row r="14" spans="1:26">
      <c r="A14" s="948"/>
      <c r="B14" s="948"/>
      <c r="C14" s="948"/>
      <c r="D14" s="948"/>
      <c r="E14" s="949"/>
      <c r="F14" s="949"/>
      <c r="G14" s="949"/>
      <c r="H14" s="949"/>
      <c r="I14" s="949"/>
      <c r="J14" s="949"/>
      <c r="K14" s="949"/>
      <c r="L14" s="949"/>
      <c r="M14" s="949"/>
      <c r="N14" s="949"/>
      <c r="O14" s="949"/>
      <c r="P14" s="949"/>
      <c r="Q14" s="949"/>
      <c r="R14" s="949"/>
      <c r="S14" s="949"/>
      <c r="T14" s="949"/>
      <c r="U14" s="949"/>
      <c r="V14" s="949"/>
      <c r="W14" s="949"/>
      <c r="X14" s="949"/>
      <c r="Y14" s="949"/>
      <c r="Z14" s="949"/>
    </row>
    <row r="15" spans="1:26">
      <c r="A15" s="948"/>
      <c r="B15" s="948"/>
      <c r="C15" s="948"/>
      <c r="D15" s="948"/>
      <c r="E15" s="949"/>
      <c r="F15" s="949"/>
      <c r="G15" s="949"/>
      <c r="H15" s="949"/>
      <c r="I15" s="949"/>
      <c r="J15" s="949"/>
      <c r="K15" s="949"/>
      <c r="L15" s="949"/>
      <c r="M15" s="949"/>
      <c r="N15" s="949"/>
      <c r="O15" s="949"/>
      <c r="P15" s="949"/>
      <c r="Q15" s="949"/>
      <c r="R15" s="949"/>
      <c r="S15" s="949"/>
      <c r="T15" s="949"/>
      <c r="U15" s="949"/>
      <c r="V15" s="949"/>
      <c r="W15" s="949"/>
      <c r="X15" s="949"/>
      <c r="Y15" s="949"/>
      <c r="Z15" s="949"/>
    </row>
    <row r="16" spans="1:26" ht="102.75" customHeight="1">
      <c r="A16" s="1070" t="s">
        <v>878</v>
      </c>
      <c r="B16" s="1070"/>
      <c r="C16" s="1070"/>
      <c r="D16" s="1070"/>
      <c r="E16" s="951"/>
      <c r="F16" s="951"/>
      <c r="G16" s="952"/>
      <c r="H16" s="952"/>
      <c r="I16" s="952"/>
      <c r="J16" s="952"/>
      <c r="K16" s="952"/>
      <c r="L16" s="952"/>
      <c r="M16" s="949"/>
      <c r="N16" s="949"/>
      <c r="O16" s="949"/>
      <c r="P16" s="949"/>
      <c r="Q16" s="949"/>
      <c r="R16" s="949"/>
      <c r="S16" s="949"/>
      <c r="T16" s="949"/>
      <c r="U16" s="949"/>
      <c r="V16" s="949"/>
      <c r="W16" s="949"/>
      <c r="X16" s="949"/>
      <c r="Y16" s="949"/>
      <c r="Z16" s="949"/>
    </row>
    <row r="17" spans="1:26" ht="17.25" customHeight="1">
      <c r="A17" s="953"/>
      <c r="B17" s="953"/>
      <c r="C17" s="953"/>
      <c r="D17" s="953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949"/>
      <c r="R17" s="949"/>
      <c r="S17" s="949"/>
      <c r="T17" s="949"/>
      <c r="U17" s="949"/>
      <c r="V17" s="949"/>
      <c r="W17" s="949"/>
      <c r="X17" s="949"/>
      <c r="Y17" s="949"/>
      <c r="Z17" s="949"/>
    </row>
    <row r="18" spans="1:26" ht="17.25" customHeight="1">
      <c r="A18" s="953"/>
      <c r="B18" s="953"/>
      <c r="C18" s="953"/>
      <c r="D18" s="953"/>
      <c r="E18" s="954"/>
      <c r="F18" s="954"/>
      <c r="G18" s="955"/>
      <c r="H18" s="955"/>
      <c r="I18" s="955"/>
      <c r="J18" s="955"/>
      <c r="K18" s="955"/>
      <c r="L18" s="955"/>
      <c r="M18" s="949"/>
      <c r="N18" s="949"/>
      <c r="O18" s="949"/>
      <c r="P18" s="949"/>
      <c r="Q18" s="949"/>
      <c r="R18" s="949"/>
      <c r="S18" s="949"/>
      <c r="T18" s="949"/>
      <c r="U18" s="949"/>
      <c r="V18" s="949"/>
      <c r="W18" s="949"/>
      <c r="X18" s="949"/>
      <c r="Y18" s="949"/>
      <c r="Z18" s="949"/>
    </row>
    <row r="19" spans="1:26" ht="17.25" customHeight="1">
      <c r="A19" s="956" t="s">
        <v>0</v>
      </c>
      <c r="B19" s="1069" t="s">
        <v>893</v>
      </c>
      <c r="C19" s="1069"/>
      <c r="D19" s="1069"/>
      <c r="E19" s="957"/>
      <c r="F19" s="957"/>
      <c r="G19" s="958"/>
      <c r="H19" s="958"/>
      <c r="I19" s="958"/>
      <c r="J19" s="958"/>
      <c r="K19" s="958"/>
      <c r="L19" s="958"/>
      <c r="M19" s="949"/>
      <c r="N19" s="949"/>
      <c r="O19" s="949"/>
      <c r="P19" s="949"/>
      <c r="Q19" s="949"/>
      <c r="R19" s="949"/>
      <c r="S19" s="949"/>
      <c r="T19" s="949"/>
      <c r="U19" s="949"/>
      <c r="V19" s="949"/>
      <c r="W19" s="949"/>
      <c r="X19" s="949"/>
      <c r="Y19" s="949"/>
      <c r="Z19" s="949"/>
    </row>
    <row r="20" spans="1:26" ht="17.25" customHeight="1">
      <c r="A20" s="956" t="s">
        <v>879</v>
      </c>
      <c r="B20" s="1069" t="s">
        <v>894</v>
      </c>
      <c r="C20" s="1069"/>
      <c r="D20" s="1069"/>
      <c r="E20" s="957"/>
      <c r="F20" s="957"/>
      <c r="G20" s="958"/>
      <c r="H20" s="958"/>
      <c r="I20" s="958"/>
      <c r="J20" s="958"/>
      <c r="K20" s="958"/>
      <c r="L20" s="958"/>
      <c r="M20" s="949"/>
      <c r="N20" s="949"/>
      <c r="O20" s="949"/>
      <c r="P20" s="949"/>
      <c r="Q20" s="949"/>
      <c r="R20" s="949"/>
      <c r="S20" s="949"/>
      <c r="T20" s="949"/>
      <c r="U20" s="949"/>
      <c r="V20" s="949"/>
      <c r="W20" s="949"/>
      <c r="X20" s="949"/>
      <c r="Y20" s="949"/>
      <c r="Z20" s="949"/>
    </row>
    <row r="21" spans="1:26" ht="17.25" customHeight="1">
      <c r="A21" s="956" t="s">
        <v>880</v>
      </c>
      <c r="B21" s="959" t="s">
        <v>895</v>
      </c>
      <c r="C21" s="959"/>
      <c r="D21" s="959"/>
      <c r="E21" s="957"/>
      <c r="F21" s="957"/>
      <c r="G21" s="958"/>
      <c r="H21" s="958"/>
      <c r="I21" s="958"/>
      <c r="J21" s="958"/>
      <c r="K21" s="958"/>
      <c r="L21" s="958"/>
      <c r="M21" s="949"/>
      <c r="N21" s="949"/>
      <c r="O21" s="949"/>
      <c r="P21" s="949"/>
      <c r="Q21" s="949"/>
      <c r="R21" s="949"/>
      <c r="S21" s="949"/>
      <c r="T21" s="949"/>
      <c r="U21" s="949"/>
      <c r="V21" s="949"/>
      <c r="W21" s="949"/>
      <c r="X21" s="949"/>
      <c r="Y21" s="949"/>
      <c r="Z21" s="949"/>
    </row>
    <row r="22" spans="1:26" ht="17.25" customHeight="1">
      <c r="A22" s="956"/>
      <c r="B22" s="959"/>
      <c r="C22" s="959"/>
      <c r="D22" s="959"/>
      <c r="E22" s="957"/>
      <c r="F22" s="957"/>
      <c r="G22" s="958"/>
      <c r="H22" s="958"/>
      <c r="I22" s="958"/>
      <c r="J22" s="958"/>
      <c r="K22" s="958"/>
      <c r="L22" s="958"/>
      <c r="M22" s="949"/>
      <c r="N22" s="949"/>
      <c r="O22" s="949"/>
      <c r="P22" s="949"/>
      <c r="Q22" s="949"/>
      <c r="R22" s="949"/>
      <c r="S22" s="949"/>
      <c r="T22" s="949"/>
      <c r="U22" s="949"/>
      <c r="V22" s="949"/>
      <c r="W22" s="949"/>
      <c r="X22" s="949"/>
      <c r="Y22" s="949"/>
      <c r="Z22" s="949"/>
    </row>
    <row r="23" spans="1:26" ht="17.25" customHeight="1">
      <c r="A23" s="956" t="s">
        <v>881</v>
      </c>
      <c r="B23" s="1069" t="s">
        <v>889</v>
      </c>
      <c r="C23" s="1069"/>
      <c r="D23" s="1069"/>
      <c r="E23" s="949"/>
      <c r="F23" s="949"/>
      <c r="G23" s="949"/>
      <c r="H23" s="949"/>
      <c r="I23" s="949"/>
      <c r="J23" s="949"/>
      <c r="K23" s="949"/>
      <c r="L23" s="949"/>
      <c r="M23" s="949"/>
      <c r="N23" s="949"/>
      <c r="O23" s="949"/>
      <c r="P23" s="949"/>
      <c r="Q23" s="949"/>
      <c r="R23" s="949"/>
      <c r="S23" s="949"/>
      <c r="T23" s="949"/>
      <c r="U23" s="949"/>
      <c r="V23" s="949"/>
      <c r="W23" s="949"/>
      <c r="X23" s="949"/>
      <c r="Y23" s="949"/>
      <c r="Z23" s="949"/>
    </row>
    <row r="24" spans="1:26" ht="17.25" customHeight="1">
      <c r="A24" s="956"/>
      <c r="B24" s="1069" t="s">
        <v>890</v>
      </c>
      <c r="C24" s="1069"/>
      <c r="D24" s="1069"/>
      <c r="E24" s="949"/>
      <c r="F24" s="949"/>
      <c r="G24" s="949"/>
      <c r="H24" s="949"/>
      <c r="I24" s="949"/>
      <c r="J24" s="949"/>
      <c r="K24" s="949"/>
      <c r="L24" s="949"/>
      <c r="M24" s="949"/>
      <c r="N24" s="949"/>
      <c r="O24" s="949"/>
      <c r="P24" s="949"/>
      <c r="Q24" s="949"/>
      <c r="R24" s="949"/>
      <c r="S24" s="949"/>
      <c r="T24" s="949"/>
      <c r="U24" s="949"/>
      <c r="V24" s="949"/>
      <c r="W24" s="949"/>
      <c r="X24" s="949"/>
      <c r="Y24" s="949"/>
      <c r="Z24" s="949"/>
    </row>
    <row r="25" spans="1:26" ht="17.25" customHeight="1">
      <c r="A25" s="956"/>
      <c r="B25" s="1069" t="s">
        <v>891</v>
      </c>
      <c r="C25" s="1069"/>
      <c r="D25" s="1069"/>
      <c r="E25" s="949"/>
      <c r="F25" s="949"/>
      <c r="G25" s="949"/>
      <c r="H25" s="949"/>
      <c r="I25" s="949"/>
      <c r="J25" s="949"/>
      <c r="K25" s="949"/>
      <c r="L25" s="949"/>
      <c r="M25" s="949"/>
      <c r="N25" s="949"/>
      <c r="O25" s="949"/>
      <c r="P25" s="949"/>
      <c r="Q25" s="949"/>
      <c r="R25" s="949"/>
      <c r="S25" s="949"/>
      <c r="T25" s="949"/>
      <c r="U25" s="949"/>
      <c r="V25" s="949"/>
      <c r="W25" s="949"/>
      <c r="X25" s="949"/>
      <c r="Y25" s="949"/>
      <c r="Z25" s="949"/>
    </row>
    <row r="26" spans="1:26" ht="17.25" customHeight="1">
      <c r="A26" s="956" t="s">
        <v>882</v>
      </c>
      <c r="B26" s="1069" t="s">
        <v>889</v>
      </c>
      <c r="C26" s="1069"/>
      <c r="D26" s="1069"/>
      <c r="E26" s="949"/>
      <c r="F26" s="949"/>
      <c r="G26" s="949"/>
      <c r="H26" s="949"/>
      <c r="I26" s="949"/>
      <c r="J26" s="949"/>
      <c r="K26" s="949"/>
      <c r="L26" s="949"/>
      <c r="M26" s="949"/>
      <c r="N26" s="949"/>
      <c r="O26" s="949"/>
      <c r="P26" s="949"/>
      <c r="Q26" s="949"/>
      <c r="R26" s="949"/>
      <c r="S26" s="949"/>
      <c r="T26" s="949"/>
      <c r="U26" s="949"/>
      <c r="V26" s="949"/>
      <c r="W26" s="949"/>
      <c r="X26" s="949"/>
      <c r="Y26" s="949"/>
      <c r="Z26" s="949"/>
    </row>
    <row r="27" spans="1:26" ht="17.25" customHeight="1">
      <c r="A27" s="956"/>
      <c r="B27" s="1069" t="s">
        <v>892</v>
      </c>
      <c r="C27" s="1069"/>
      <c r="D27" s="1069"/>
      <c r="E27" s="949"/>
      <c r="F27" s="949"/>
      <c r="G27" s="949"/>
      <c r="H27" s="949"/>
      <c r="I27" s="949"/>
      <c r="J27" s="949"/>
      <c r="K27" s="949"/>
      <c r="L27" s="949"/>
      <c r="M27" s="949"/>
      <c r="N27" s="949"/>
      <c r="O27" s="949"/>
      <c r="P27" s="949"/>
      <c r="Q27" s="949"/>
      <c r="R27" s="949"/>
      <c r="S27" s="949"/>
      <c r="T27" s="949"/>
      <c r="U27" s="949"/>
      <c r="V27" s="949"/>
      <c r="W27" s="949"/>
      <c r="X27" s="949"/>
      <c r="Y27" s="949"/>
      <c r="Z27" s="949"/>
    </row>
    <row r="28" spans="1:26" ht="17.25" customHeight="1">
      <c r="A28" s="956"/>
      <c r="B28" s="959"/>
      <c r="C28" s="959"/>
      <c r="D28" s="959"/>
      <c r="E28" s="949"/>
      <c r="F28" s="949"/>
      <c r="G28" s="949"/>
      <c r="H28" s="949"/>
      <c r="I28" s="949"/>
      <c r="J28" s="949"/>
      <c r="K28" s="949"/>
      <c r="L28" s="949"/>
      <c r="M28" s="949"/>
      <c r="N28" s="949"/>
      <c r="O28" s="949"/>
      <c r="P28" s="949"/>
      <c r="Q28" s="949"/>
      <c r="R28" s="949"/>
      <c r="S28" s="949"/>
      <c r="T28" s="949"/>
      <c r="U28" s="949"/>
      <c r="V28" s="949"/>
      <c r="W28" s="949"/>
      <c r="X28" s="949"/>
      <c r="Y28" s="949"/>
      <c r="Z28" s="949"/>
    </row>
    <row r="29" spans="1:26" ht="17.25" customHeight="1">
      <c r="A29" s="956" t="s">
        <v>883</v>
      </c>
      <c r="B29" s="960">
        <v>1</v>
      </c>
      <c r="C29" s="959"/>
      <c r="D29" s="959"/>
      <c r="E29" s="949"/>
      <c r="F29" s="949"/>
      <c r="G29" s="949"/>
      <c r="H29" s="949"/>
      <c r="I29" s="949"/>
      <c r="J29" s="949"/>
      <c r="K29" s="949"/>
      <c r="L29" s="949"/>
      <c r="M29" s="949"/>
      <c r="N29" s="949"/>
      <c r="O29" s="949"/>
      <c r="P29" s="949"/>
      <c r="Q29" s="949"/>
      <c r="R29" s="949"/>
      <c r="S29" s="949"/>
      <c r="T29" s="949"/>
      <c r="U29" s="949"/>
      <c r="V29" s="949"/>
      <c r="W29" s="949"/>
      <c r="X29" s="949"/>
      <c r="Y29" s="949"/>
      <c r="Z29" s="949"/>
    </row>
    <row r="30" spans="1:26" ht="17.25" customHeight="1">
      <c r="A30" s="956" t="s">
        <v>884</v>
      </c>
      <c r="B30" s="1071" t="s">
        <v>885</v>
      </c>
      <c r="C30" s="1069"/>
      <c r="D30" s="1069"/>
      <c r="E30" s="961"/>
      <c r="F30" s="961"/>
      <c r="G30" s="949"/>
      <c r="H30" s="949"/>
      <c r="I30" s="949"/>
      <c r="J30" s="949"/>
      <c r="K30" s="949"/>
      <c r="L30" s="949"/>
      <c r="M30" s="949"/>
      <c r="N30" s="949"/>
      <c r="O30" s="949"/>
      <c r="P30" s="949"/>
      <c r="Q30" s="949"/>
      <c r="R30" s="949"/>
      <c r="S30" s="949"/>
      <c r="T30" s="949"/>
      <c r="U30" s="949"/>
      <c r="V30" s="949"/>
      <c r="W30" s="949"/>
      <c r="X30" s="949"/>
      <c r="Y30" s="949"/>
      <c r="Z30" s="949"/>
    </row>
    <row r="31" spans="1:26" ht="17.25" customHeight="1">
      <c r="A31" s="956" t="s">
        <v>886</v>
      </c>
      <c r="B31" s="1069" t="s">
        <v>887</v>
      </c>
      <c r="C31" s="1069"/>
      <c r="D31" s="1069"/>
      <c r="E31" s="961"/>
      <c r="F31" s="961"/>
      <c r="G31" s="949"/>
      <c r="H31" s="949"/>
      <c r="I31" s="949"/>
      <c r="J31" s="949"/>
      <c r="K31" s="949"/>
      <c r="L31" s="949"/>
      <c r="M31" s="949"/>
      <c r="N31" s="949"/>
      <c r="O31" s="949"/>
      <c r="P31" s="949"/>
      <c r="Q31" s="949"/>
      <c r="R31" s="949"/>
      <c r="S31" s="949"/>
      <c r="T31" s="949"/>
      <c r="U31" s="949"/>
      <c r="V31" s="949"/>
      <c r="W31" s="949"/>
      <c r="X31" s="949"/>
      <c r="Y31" s="949"/>
      <c r="Z31" s="949"/>
    </row>
    <row r="32" spans="1:26" ht="17.25" customHeight="1">
      <c r="A32" s="962"/>
      <c r="B32" s="963" t="s">
        <v>888</v>
      </c>
      <c r="C32" s="962"/>
      <c r="D32" s="962"/>
      <c r="E32" s="949"/>
      <c r="F32" s="949"/>
      <c r="G32" s="949"/>
      <c r="H32" s="949"/>
      <c r="I32" s="949"/>
      <c r="J32" s="949"/>
      <c r="K32" s="949"/>
      <c r="L32" s="949"/>
      <c r="M32" s="949"/>
      <c r="N32" s="949"/>
      <c r="O32" s="949"/>
      <c r="P32" s="949"/>
      <c r="Q32" s="949"/>
      <c r="R32" s="949"/>
      <c r="S32" s="949"/>
      <c r="T32" s="949"/>
      <c r="U32" s="949"/>
      <c r="V32" s="949"/>
      <c r="W32" s="949"/>
      <c r="X32" s="949"/>
      <c r="Y32" s="949"/>
      <c r="Z32" s="949"/>
    </row>
    <row r="33" spans="1:26">
      <c r="A33" s="948"/>
      <c r="B33" s="948"/>
      <c r="C33" s="948"/>
      <c r="D33" s="948"/>
      <c r="E33" s="949"/>
      <c r="F33" s="949"/>
      <c r="G33" s="949"/>
      <c r="H33" s="949"/>
      <c r="I33" s="949"/>
      <c r="J33" s="949"/>
      <c r="K33" s="949"/>
      <c r="L33" s="949"/>
      <c r="M33" s="949"/>
      <c r="N33" s="949"/>
      <c r="O33" s="949"/>
      <c r="P33" s="949"/>
      <c r="Q33" s="949"/>
      <c r="R33" s="949"/>
      <c r="S33" s="949"/>
      <c r="T33" s="949"/>
      <c r="U33" s="949"/>
      <c r="V33" s="949"/>
      <c r="W33" s="949"/>
      <c r="X33" s="949"/>
      <c r="Y33" s="949"/>
      <c r="Z33" s="949"/>
    </row>
    <row r="34" spans="1:26">
      <c r="A34" s="948"/>
      <c r="B34" s="948"/>
      <c r="C34" s="948"/>
      <c r="D34" s="948"/>
      <c r="E34" s="949"/>
      <c r="F34" s="949"/>
      <c r="G34" s="949"/>
      <c r="H34" s="949"/>
      <c r="I34" s="949"/>
      <c r="J34" s="949"/>
      <c r="K34" s="949"/>
      <c r="L34" s="949"/>
      <c r="M34" s="949"/>
      <c r="N34" s="949"/>
      <c r="O34" s="949"/>
      <c r="P34" s="949"/>
      <c r="Q34" s="949"/>
      <c r="R34" s="949"/>
      <c r="S34" s="949"/>
      <c r="T34" s="949"/>
      <c r="U34" s="949"/>
      <c r="V34" s="949"/>
      <c r="W34" s="949"/>
      <c r="X34" s="949"/>
      <c r="Y34" s="949"/>
      <c r="Z34" s="949"/>
    </row>
    <row r="35" spans="1:26">
      <c r="A35" s="948"/>
      <c r="B35" s="948"/>
      <c r="C35" s="948"/>
      <c r="D35" s="948"/>
      <c r="E35" s="949"/>
      <c r="F35" s="949"/>
      <c r="G35" s="949"/>
      <c r="H35" s="949"/>
      <c r="I35" s="949"/>
      <c r="J35" s="949"/>
      <c r="K35" s="949"/>
      <c r="L35" s="949"/>
      <c r="M35" s="949"/>
      <c r="N35" s="949"/>
      <c r="O35" s="949"/>
      <c r="P35" s="949"/>
      <c r="Q35" s="949"/>
      <c r="R35" s="949"/>
      <c r="S35" s="949"/>
      <c r="T35" s="949"/>
      <c r="U35" s="949"/>
      <c r="V35" s="949"/>
      <c r="W35" s="949"/>
      <c r="X35" s="949"/>
      <c r="Y35" s="949"/>
      <c r="Z35" s="949"/>
    </row>
    <row r="36" spans="1:26">
      <c r="A36" s="948"/>
      <c r="B36" s="948"/>
      <c r="C36" s="948"/>
      <c r="D36" s="948"/>
      <c r="E36" s="949"/>
      <c r="F36" s="949"/>
      <c r="G36" s="949"/>
      <c r="H36" s="949"/>
      <c r="I36" s="949"/>
      <c r="J36" s="949"/>
      <c r="K36" s="949"/>
      <c r="L36" s="949"/>
      <c r="M36" s="949"/>
      <c r="N36" s="949"/>
      <c r="O36" s="949"/>
      <c r="P36" s="949"/>
      <c r="Q36" s="949"/>
      <c r="R36" s="949"/>
      <c r="S36" s="949"/>
      <c r="T36" s="949"/>
      <c r="U36" s="949"/>
      <c r="V36" s="949"/>
      <c r="W36" s="949"/>
      <c r="X36" s="949"/>
      <c r="Y36" s="949"/>
      <c r="Z36" s="949"/>
    </row>
    <row r="37" spans="1:26">
      <c r="A37" s="948"/>
      <c r="B37" s="948"/>
      <c r="C37" s="948"/>
      <c r="D37" s="948"/>
      <c r="E37" s="949"/>
      <c r="F37" s="949"/>
      <c r="G37" s="949"/>
      <c r="H37" s="949"/>
      <c r="I37" s="949"/>
      <c r="J37" s="949"/>
      <c r="K37" s="949"/>
      <c r="L37" s="949"/>
      <c r="M37" s="949"/>
      <c r="N37" s="949"/>
      <c r="O37" s="949"/>
      <c r="P37" s="949"/>
      <c r="Q37" s="949"/>
      <c r="R37" s="949"/>
      <c r="S37" s="949"/>
      <c r="T37" s="949"/>
      <c r="U37" s="949"/>
      <c r="V37" s="949"/>
      <c r="W37" s="949"/>
      <c r="X37" s="949"/>
      <c r="Y37" s="949"/>
      <c r="Z37" s="949"/>
    </row>
    <row r="38" spans="1:26">
      <c r="A38" s="948"/>
      <c r="B38" s="948"/>
      <c r="C38" s="948"/>
      <c r="D38" s="948"/>
      <c r="E38" s="949"/>
      <c r="F38" s="949"/>
      <c r="G38" s="949"/>
      <c r="H38" s="949"/>
      <c r="I38" s="949"/>
      <c r="J38" s="949"/>
      <c r="K38" s="949"/>
      <c r="L38" s="949"/>
      <c r="M38" s="949"/>
      <c r="N38" s="949"/>
      <c r="O38" s="949"/>
      <c r="P38" s="949"/>
      <c r="Q38" s="949"/>
      <c r="R38" s="949"/>
      <c r="S38" s="949"/>
      <c r="T38" s="949"/>
      <c r="U38" s="949"/>
      <c r="V38" s="949"/>
      <c r="W38" s="949"/>
      <c r="X38" s="949"/>
      <c r="Y38" s="949"/>
      <c r="Z38" s="949"/>
    </row>
    <row r="39" spans="1:26">
      <c r="A39" s="948"/>
      <c r="B39" s="948"/>
      <c r="C39" s="948"/>
      <c r="D39" s="948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</row>
    <row r="40" spans="1:26">
      <c r="A40" s="948"/>
      <c r="B40" s="948"/>
      <c r="C40" s="948"/>
      <c r="D40" s="948"/>
      <c r="E40" s="949"/>
      <c r="F40" s="949"/>
      <c r="G40" s="949"/>
      <c r="H40" s="949"/>
      <c r="I40" s="949"/>
      <c r="J40" s="949"/>
      <c r="K40" s="949"/>
      <c r="L40" s="949"/>
      <c r="M40" s="949"/>
      <c r="N40" s="949"/>
      <c r="O40" s="949"/>
      <c r="P40" s="949"/>
      <c r="Q40" s="949"/>
      <c r="R40" s="949"/>
      <c r="S40" s="949"/>
      <c r="T40" s="949"/>
      <c r="U40" s="949"/>
      <c r="V40" s="949"/>
      <c r="W40" s="949"/>
      <c r="X40" s="949"/>
      <c r="Y40" s="949"/>
      <c r="Z40" s="949"/>
    </row>
    <row r="41" spans="1:26">
      <c r="A41" s="948"/>
      <c r="B41" s="948"/>
      <c r="C41" s="948"/>
      <c r="D41" s="948"/>
      <c r="E41" s="949"/>
      <c r="F41" s="949"/>
      <c r="G41" s="949"/>
      <c r="H41" s="949"/>
      <c r="I41" s="949"/>
      <c r="J41" s="949"/>
      <c r="K41" s="949"/>
      <c r="L41" s="949"/>
      <c r="M41" s="949"/>
      <c r="N41" s="949"/>
      <c r="O41" s="949"/>
      <c r="P41" s="949"/>
      <c r="Q41" s="949"/>
      <c r="R41" s="949"/>
      <c r="S41" s="949"/>
      <c r="T41" s="949"/>
      <c r="U41" s="949"/>
      <c r="V41" s="949"/>
      <c r="W41" s="949"/>
      <c r="X41" s="949"/>
      <c r="Y41" s="949"/>
      <c r="Z41" s="949"/>
    </row>
    <row r="42" spans="1:26">
      <c r="A42" s="948"/>
      <c r="B42" s="948"/>
      <c r="C42" s="948"/>
      <c r="D42" s="948"/>
      <c r="E42" s="949"/>
      <c r="F42" s="949"/>
      <c r="G42" s="949"/>
      <c r="H42" s="949"/>
      <c r="I42" s="949"/>
      <c r="J42" s="949"/>
      <c r="K42" s="949"/>
      <c r="L42" s="949"/>
      <c r="M42" s="949"/>
      <c r="N42" s="949"/>
      <c r="O42" s="949"/>
      <c r="P42" s="949"/>
      <c r="Q42" s="949"/>
      <c r="R42" s="949"/>
      <c r="S42" s="949"/>
      <c r="T42" s="949"/>
      <c r="U42" s="949"/>
      <c r="V42" s="949"/>
      <c r="W42" s="949"/>
      <c r="X42" s="949"/>
      <c r="Y42" s="949"/>
      <c r="Z42" s="949"/>
    </row>
    <row r="43" spans="1:26">
      <c r="A43" s="949"/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</row>
    <row r="44" spans="1:26">
      <c r="A44" s="949"/>
      <c r="B44" s="949"/>
      <c r="C44" s="949"/>
      <c r="D44" s="949"/>
      <c r="E44" s="949"/>
      <c r="F44" s="949"/>
      <c r="G44" s="949"/>
      <c r="H44" s="949"/>
      <c r="I44" s="949"/>
      <c r="J44" s="949"/>
      <c r="K44" s="949"/>
      <c r="L44" s="949"/>
      <c r="M44" s="949"/>
      <c r="N44" s="949"/>
      <c r="O44" s="949"/>
      <c r="P44" s="949"/>
      <c r="Q44" s="949"/>
      <c r="R44" s="949"/>
      <c r="S44" s="949"/>
      <c r="T44" s="949"/>
      <c r="U44" s="949"/>
      <c r="V44" s="949"/>
      <c r="W44" s="949"/>
      <c r="X44" s="949"/>
      <c r="Y44" s="949"/>
      <c r="Z44" s="949"/>
    </row>
    <row r="45" spans="1:26">
      <c r="A45" s="949"/>
      <c r="B45" s="949"/>
      <c r="C45" s="949"/>
      <c r="D45" s="949"/>
      <c r="E45" s="949"/>
      <c r="F45" s="949"/>
      <c r="G45" s="949"/>
      <c r="H45" s="949"/>
      <c r="I45" s="949"/>
      <c r="J45" s="949"/>
      <c r="K45" s="949"/>
      <c r="L45" s="949"/>
      <c r="M45" s="949"/>
      <c r="N45" s="949"/>
      <c r="O45" s="949"/>
      <c r="P45" s="949"/>
      <c r="Q45" s="949"/>
      <c r="R45" s="949"/>
      <c r="S45" s="949"/>
      <c r="T45" s="949"/>
      <c r="U45" s="949"/>
      <c r="V45" s="949"/>
      <c r="W45" s="949"/>
      <c r="X45" s="949"/>
      <c r="Y45" s="949"/>
      <c r="Z45" s="949"/>
    </row>
    <row r="46" spans="1:26">
      <c r="A46" s="949"/>
      <c r="B46" s="949"/>
      <c r="C46" s="949"/>
      <c r="D46" s="949"/>
      <c r="E46" s="949"/>
      <c r="F46" s="949"/>
      <c r="G46" s="949"/>
      <c r="H46" s="949"/>
      <c r="I46" s="949"/>
      <c r="J46" s="949"/>
      <c r="K46" s="949"/>
      <c r="L46" s="949"/>
      <c r="M46" s="949"/>
      <c r="N46" s="949"/>
      <c r="O46" s="949"/>
      <c r="P46" s="949"/>
      <c r="Q46" s="949"/>
      <c r="R46" s="949"/>
      <c r="S46" s="949"/>
      <c r="T46" s="949"/>
      <c r="U46" s="949"/>
      <c r="V46" s="949"/>
      <c r="W46" s="949"/>
      <c r="X46" s="949"/>
      <c r="Y46" s="949"/>
      <c r="Z46" s="949"/>
    </row>
    <row r="47" spans="1:26">
      <c r="A47" s="949"/>
      <c r="B47" s="949"/>
      <c r="C47" s="949"/>
      <c r="D47" s="949"/>
      <c r="E47" s="949"/>
      <c r="F47" s="949"/>
      <c r="G47" s="949"/>
      <c r="H47" s="949"/>
      <c r="I47" s="949"/>
      <c r="J47" s="949"/>
      <c r="K47" s="949"/>
      <c r="L47" s="949"/>
      <c r="M47" s="949"/>
      <c r="N47" s="949"/>
      <c r="O47" s="949"/>
      <c r="P47" s="949"/>
      <c r="Q47" s="949"/>
      <c r="R47" s="949"/>
      <c r="S47" s="949"/>
      <c r="T47" s="949"/>
      <c r="U47" s="949"/>
      <c r="V47" s="949"/>
      <c r="W47" s="949"/>
      <c r="X47" s="949"/>
      <c r="Y47" s="949"/>
      <c r="Z47" s="949"/>
    </row>
    <row r="48" spans="1:26">
      <c r="A48" s="949"/>
      <c r="B48" s="949"/>
      <c r="C48" s="949"/>
      <c r="D48" s="949"/>
      <c r="E48" s="949"/>
      <c r="F48" s="949"/>
      <c r="G48" s="949"/>
      <c r="H48" s="949"/>
      <c r="I48" s="949"/>
      <c r="J48" s="949"/>
      <c r="K48" s="949"/>
      <c r="L48" s="949"/>
      <c r="M48" s="949"/>
      <c r="N48" s="949"/>
      <c r="O48" s="949"/>
      <c r="P48" s="949"/>
      <c r="Q48" s="949"/>
      <c r="R48" s="949"/>
      <c r="S48" s="949"/>
      <c r="T48" s="949"/>
      <c r="U48" s="949"/>
      <c r="V48" s="949"/>
      <c r="W48" s="949"/>
      <c r="X48" s="949"/>
      <c r="Y48" s="949"/>
      <c r="Z48" s="949"/>
    </row>
    <row r="49" spans="1:26">
      <c r="A49" s="949"/>
      <c r="B49" s="949"/>
      <c r="C49" s="949"/>
      <c r="D49" s="949"/>
      <c r="E49" s="949"/>
      <c r="F49" s="949"/>
      <c r="G49" s="949"/>
      <c r="H49" s="949"/>
      <c r="I49" s="949"/>
      <c r="J49" s="949"/>
      <c r="K49" s="949"/>
      <c r="L49" s="949"/>
      <c r="M49" s="949"/>
      <c r="N49" s="949"/>
      <c r="O49" s="949"/>
      <c r="P49" s="949"/>
      <c r="Q49" s="949"/>
      <c r="R49" s="949"/>
      <c r="S49" s="949"/>
      <c r="T49" s="949"/>
      <c r="U49" s="949"/>
      <c r="V49" s="949"/>
      <c r="W49" s="949"/>
      <c r="X49" s="949"/>
      <c r="Y49" s="949"/>
      <c r="Z49" s="949"/>
    </row>
    <row r="50" spans="1:26">
      <c r="A50" s="949"/>
      <c r="B50" s="949"/>
      <c r="C50" s="949"/>
      <c r="D50" s="949"/>
      <c r="E50" s="949"/>
      <c r="F50" s="949"/>
      <c r="G50" s="949"/>
      <c r="H50" s="949"/>
      <c r="I50" s="949"/>
      <c r="J50" s="949"/>
      <c r="K50" s="949"/>
      <c r="L50" s="949"/>
      <c r="M50" s="949"/>
      <c r="N50" s="949"/>
      <c r="O50" s="949"/>
      <c r="P50" s="949"/>
      <c r="Q50" s="949"/>
      <c r="R50" s="949"/>
      <c r="S50" s="949"/>
      <c r="T50" s="949"/>
      <c r="U50" s="949"/>
      <c r="V50" s="949"/>
      <c r="W50" s="949"/>
      <c r="X50" s="949"/>
      <c r="Y50" s="949"/>
      <c r="Z50" s="949"/>
    </row>
    <row r="51" spans="1:26">
      <c r="A51" s="949"/>
      <c r="B51" s="949"/>
      <c r="C51" s="949"/>
      <c r="D51" s="949"/>
      <c r="E51" s="949"/>
      <c r="F51" s="949"/>
      <c r="G51" s="949"/>
      <c r="H51" s="949"/>
      <c r="I51" s="949"/>
      <c r="J51" s="949"/>
      <c r="K51" s="949"/>
      <c r="L51" s="949"/>
      <c r="M51" s="949"/>
      <c r="N51" s="949"/>
      <c r="O51" s="949"/>
      <c r="P51" s="949"/>
      <c r="Q51" s="949"/>
      <c r="R51" s="949"/>
      <c r="S51" s="949"/>
      <c r="T51" s="949"/>
      <c r="U51" s="949"/>
      <c r="V51" s="949"/>
      <c r="W51" s="949"/>
      <c r="X51" s="949"/>
      <c r="Y51" s="949"/>
      <c r="Z51" s="949"/>
    </row>
    <row r="52" spans="1:26">
      <c r="A52" s="949"/>
      <c r="B52" s="949"/>
      <c r="C52" s="949"/>
      <c r="D52" s="949"/>
      <c r="E52" s="949"/>
      <c r="F52" s="949"/>
      <c r="G52" s="949"/>
      <c r="H52" s="949"/>
      <c r="I52" s="949"/>
      <c r="J52" s="949"/>
      <c r="K52" s="949"/>
      <c r="L52" s="949"/>
      <c r="M52" s="949"/>
      <c r="N52" s="949"/>
      <c r="O52" s="949"/>
      <c r="P52" s="949"/>
      <c r="Q52" s="949"/>
      <c r="R52" s="949"/>
      <c r="S52" s="949"/>
      <c r="T52" s="949"/>
      <c r="U52" s="949"/>
      <c r="V52" s="949"/>
      <c r="W52" s="949"/>
      <c r="X52" s="949"/>
      <c r="Y52" s="949"/>
      <c r="Z52" s="949"/>
    </row>
    <row r="53" spans="1:26">
      <c r="A53" s="949"/>
      <c r="B53" s="949"/>
      <c r="C53" s="949"/>
      <c r="D53" s="949"/>
      <c r="E53" s="949"/>
      <c r="F53" s="949"/>
      <c r="G53" s="949"/>
      <c r="H53" s="949"/>
      <c r="I53" s="949"/>
      <c r="J53" s="949"/>
      <c r="K53" s="949"/>
      <c r="L53" s="949"/>
      <c r="M53" s="949"/>
      <c r="N53" s="949"/>
      <c r="O53" s="949"/>
      <c r="P53" s="949"/>
      <c r="Q53" s="949"/>
      <c r="R53" s="949"/>
      <c r="S53" s="949"/>
      <c r="T53" s="949"/>
      <c r="U53" s="949"/>
      <c r="V53" s="949"/>
      <c r="W53" s="949"/>
      <c r="X53" s="949"/>
      <c r="Y53" s="949"/>
      <c r="Z53" s="949"/>
    </row>
    <row r="54" spans="1:26">
      <c r="A54" s="949"/>
      <c r="B54" s="949"/>
      <c r="C54" s="949"/>
      <c r="D54" s="949"/>
      <c r="E54" s="949"/>
      <c r="F54" s="949"/>
      <c r="G54" s="949"/>
      <c r="H54" s="949"/>
      <c r="I54" s="949"/>
      <c r="J54" s="949"/>
      <c r="K54" s="949"/>
      <c r="L54" s="949"/>
      <c r="M54" s="949"/>
      <c r="N54" s="949"/>
      <c r="O54" s="949"/>
      <c r="P54" s="949"/>
      <c r="Q54" s="949"/>
      <c r="R54" s="949"/>
      <c r="S54" s="949"/>
      <c r="T54" s="949"/>
      <c r="U54" s="949"/>
      <c r="V54" s="949"/>
      <c r="W54" s="949"/>
      <c r="X54" s="949"/>
      <c r="Y54" s="949"/>
      <c r="Z54" s="949"/>
    </row>
    <row r="55" spans="1:26">
      <c r="A55" s="949"/>
      <c r="B55" s="949"/>
      <c r="C55" s="949"/>
      <c r="D55" s="949"/>
      <c r="E55" s="949"/>
      <c r="F55" s="949"/>
      <c r="G55" s="949"/>
      <c r="H55" s="949"/>
      <c r="I55" s="949"/>
      <c r="J55" s="949"/>
      <c r="K55" s="949"/>
      <c r="L55" s="949"/>
      <c r="M55" s="949"/>
      <c r="N55" s="949"/>
      <c r="O55" s="949"/>
      <c r="P55" s="949"/>
      <c r="Q55" s="949"/>
      <c r="R55" s="949"/>
      <c r="S55" s="949"/>
      <c r="T55" s="949"/>
      <c r="U55" s="949"/>
      <c r="V55" s="949"/>
      <c r="W55" s="949"/>
      <c r="X55" s="949"/>
      <c r="Y55" s="949"/>
      <c r="Z55" s="949"/>
    </row>
    <row r="56" spans="1:26">
      <c r="A56" s="949"/>
      <c r="B56" s="949"/>
      <c r="C56" s="949"/>
      <c r="D56" s="949"/>
      <c r="E56" s="949"/>
      <c r="F56" s="949"/>
      <c r="G56" s="949"/>
      <c r="H56" s="949"/>
      <c r="I56" s="949"/>
      <c r="J56" s="949"/>
      <c r="K56" s="949"/>
      <c r="L56" s="949"/>
      <c r="M56" s="949"/>
      <c r="N56" s="949"/>
      <c r="O56" s="949"/>
      <c r="P56" s="949"/>
      <c r="Q56" s="949"/>
      <c r="R56" s="949"/>
      <c r="S56" s="949"/>
      <c r="T56" s="949"/>
      <c r="U56" s="949"/>
      <c r="V56" s="949"/>
      <c r="W56" s="949"/>
      <c r="X56" s="949"/>
      <c r="Y56" s="949"/>
      <c r="Z56" s="949"/>
    </row>
    <row r="57" spans="1:26">
      <c r="A57" s="949"/>
      <c r="B57" s="949"/>
      <c r="C57" s="949"/>
      <c r="D57" s="949"/>
      <c r="E57" s="949"/>
      <c r="F57" s="949"/>
      <c r="G57" s="949"/>
      <c r="H57" s="949"/>
      <c r="I57" s="949"/>
      <c r="J57" s="949"/>
      <c r="K57" s="949"/>
      <c r="L57" s="949"/>
      <c r="M57" s="949"/>
      <c r="N57" s="949"/>
      <c r="O57" s="949"/>
      <c r="P57" s="949"/>
      <c r="Q57" s="949"/>
      <c r="R57" s="949"/>
      <c r="S57" s="949"/>
      <c r="T57" s="949"/>
      <c r="U57" s="949"/>
      <c r="V57" s="949"/>
      <c r="W57" s="949"/>
      <c r="X57" s="949"/>
      <c r="Y57" s="949"/>
      <c r="Z57" s="949"/>
    </row>
    <row r="58" spans="1:26">
      <c r="A58" s="949"/>
      <c r="B58" s="949"/>
      <c r="C58" s="949"/>
      <c r="D58" s="949"/>
      <c r="E58" s="949"/>
      <c r="F58" s="949"/>
      <c r="G58" s="949"/>
      <c r="H58" s="949"/>
      <c r="I58" s="949"/>
      <c r="J58" s="949"/>
      <c r="K58" s="949"/>
      <c r="L58" s="949"/>
      <c r="M58" s="949"/>
      <c r="N58" s="949"/>
      <c r="O58" s="949"/>
      <c r="P58" s="949"/>
      <c r="Q58" s="949"/>
      <c r="R58" s="949"/>
      <c r="S58" s="949"/>
      <c r="T58" s="949"/>
      <c r="U58" s="949"/>
      <c r="V58" s="949"/>
      <c r="W58" s="949"/>
      <c r="X58" s="949"/>
      <c r="Y58" s="949"/>
      <c r="Z58" s="949"/>
    </row>
    <row r="59" spans="1:26">
      <c r="A59" s="949"/>
      <c r="B59" s="949"/>
      <c r="C59" s="949"/>
      <c r="D59" s="949"/>
      <c r="E59" s="949"/>
      <c r="F59" s="949"/>
      <c r="G59" s="949"/>
      <c r="H59" s="949"/>
      <c r="I59" s="949"/>
      <c r="J59" s="949"/>
      <c r="K59" s="949"/>
      <c r="L59" s="949"/>
      <c r="M59" s="949"/>
      <c r="N59" s="949"/>
      <c r="O59" s="949"/>
      <c r="P59" s="949"/>
      <c r="Q59" s="949"/>
      <c r="R59" s="949"/>
      <c r="S59" s="949"/>
      <c r="T59" s="949"/>
      <c r="U59" s="949"/>
      <c r="V59" s="949"/>
      <c r="W59" s="949"/>
      <c r="X59" s="949"/>
      <c r="Y59" s="949"/>
      <c r="Z59" s="949"/>
    </row>
    <row r="60" spans="1:26">
      <c r="A60" s="949"/>
      <c r="B60" s="949"/>
      <c r="C60" s="949"/>
      <c r="D60" s="949"/>
      <c r="E60" s="949"/>
      <c r="F60" s="949"/>
      <c r="G60" s="949"/>
      <c r="H60" s="949"/>
      <c r="I60" s="949"/>
      <c r="J60" s="949"/>
      <c r="K60" s="949"/>
      <c r="L60" s="949"/>
      <c r="M60" s="949"/>
      <c r="N60" s="949"/>
      <c r="O60" s="949"/>
      <c r="P60" s="949"/>
      <c r="Q60" s="949"/>
      <c r="R60" s="949"/>
      <c r="S60" s="949"/>
      <c r="T60" s="949"/>
      <c r="U60" s="949"/>
      <c r="V60" s="949"/>
      <c r="W60" s="949"/>
      <c r="X60" s="949"/>
      <c r="Y60" s="949"/>
      <c r="Z60" s="949"/>
    </row>
    <row r="61" spans="1:26">
      <c r="A61" s="949"/>
      <c r="B61" s="949"/>
      <c r="C61" s="949"/>
      <c r="D61" s="949"/>
      <c r="E61" s="949"/>
      <c r="F61" s="949"/>
      <c r="G61" s="949"/>
      <c r="H61" s="949"/>
      <c r="I61" s="949"/>
      <c r="J61" s="949"/>
      <c r="K61" s="949"/>
      <c r="L61" s="949"/>
      <c r="M61" s="949"/>
      <c r="N61" s="949"/>
      <c r="O61" s="949"/>
      <c r="P61" s="949"/>
      <c r="Q61" s="949"/>
      <c r="R61" s="949"/>
      <c r="S61" s="949"/>
      <c r="T61" s="949"/>
      <c r="U61" s="949"/>
      <c r="V61" s="949"/>
      <c r="W61" s="949"/>
      <c r="X61" s="949"/>
      <c r="Y61" s="949"/>
      <c r="Z61" s="949"/>
    </row>
    <row r="62" spans="1:26">
      <c r="A62" s="949"/>
      <c r="B62" s="949"/>
      <c r="C62" s="949"/>
      <c r="D62" s="949"/>
      <c r="E62" s="949"/>
      <c r="F62" s="949"/>
      <c r="G62" s="949"/>
      <c r="H62" s="949"/>
      <c r="I62" s="949"/>
      <c r="J62" s="949"/>
      <c r="K62" s="949"/>
      <c r="L62" s="949"/>
      <c r="M62" s="949"/>
      <c r="N62" s="949"/>
      <c r="O62" s="949"/>
      <c r="P62" s="949"/>
      <c r="Q62" s="949"/>
      <c r="R62" s="949"/>
      <c r="S62" s="949"/>
      <c r="T62" s="949"/>
      <c r="U62" s="949"/>
      <c r="V62" s="949"/>
      <c r="W62" s="949"/>
      <c r="X62" s="949"/>
      <c r="Y62" s="949"/>
      <c r="Z62" s="949"/>
    </row>
    <row r="63" spans="1:26">
      <c r="A63" s="949"/>
      <c r="B63" s="949"/>
      <c r="C63" s="949"/>
      <c r="D63" s="949"/>
      <c r="E63" s="949"/>
      <c r="F63" s="949"/>
      <c r="G63" s="949"/>
      <c r="H63" s="949"/>
      <c r="I63" s="949"/>
      <c r="J63" s="949"/>
      <c r="K63" s="949"/>
      <c r="L63" s="949"/>
      <c r="M63" s="949"/>
      <c r="N63" s="949"/>
      <c r="O63" s="949"/>
      <c r="P63" s="949"/>
      <c r="Q63" s="949"/>
      <c r="R63" s="949"/>
      <c r="S63" s="949"/>
      <c r="T63" s="949"/>
      <c r="U63" s="949"/>
      <c r="V63" s="949"/>
      <c r="W63" s="949"/>
      <c r="X63" s="949"/>
      <c r="Y63" s="949"/>
      <c r="Z63" s="949"/>
    </row>
    <row r="64" spans="1:26">
      <c r="A64" s="949"/>
      <c r="B64" s="949"/>
      <c r="C64" s="949"/>
      <c r="D64" s="949"/>
      <c r="E64" s="949"/>
      <c r="F64" s="949"/>
      <c r="G64" s="949"/>
      <c r="H64" s="949"/>
      <c r="I64" s="949"/>
      <c r="J64" s="949"/>
      <c r="K64" s="949"/>
      <c r="L64" s="949"/>
      <c r="M64" s="949"/>
      <c r="N64" s="949"/>
      <c r="O64" s="949"/>
      <c r="P64" s="949"/>
      <c r="Q64" s="949"/>
      <c r="R64" s="949"/>
      <c r="S64" s="949"/>
      <c r="T64" s="949"/>
      <c r="U64" s="949"/>
      <c r="V64" s="949"/>
      <c r="W64" s="949"/>
      <c r="X64" s="949"/>
      <c r="Y64" s="949"/>
      <c r="Z64" s="949"/>
    </row>
    <row r="65" spans="1:26">
      <c r="A65" s="949"/>
      <c r="B65" s="949"/>
      <c r="C65" s="949"/>
      <c r="D65" s="949"/>
      <c r="E65" s="949"/>
      <c r="F65" s="949"/>
      <c r="G65" s="949"/>
      <c r="H65" s="949"/>
      <c r="I65" s="949"/>
      <c r="J65" s="949"/>
      <c r="K65" s="949"/>
      <c r="L65" s="949"/>
      <c r="M65" s="949"/>
      <c r="N65" s="949"/>
      <c r="O65" s="949"/>
      <c r="P65" s="949"/>
      <c r="Q65" s="949"/>
      <c r="R65" s="949"/>
      <c r="S65" s="949"/>
      <c r="T65" s="949"/>
      <c r="U65" s="949"/>
      <c r="V65" s="949"/>
      <c r="W65" s="949"/>
      <c r="X65" s="949"/>
      <c r="Y65" s="949"/>
      <c r="Z65" s="949"/>
    </row>
    <row r="66" spans="1:26">
      <c r="A66" s="949"/>
      <c r="B66" s="949"/>
      <c r="C66" s="949"/>
      <c r="D66" s="949"/>
      <c r="E66" s="949"/>
      <c r="F66" s="949"/>
      <c r="G66" s="949"/>
      <c r="H66" s="949"/>
      <c r="I66" s="949"/>
      <c r="J66" s="949"/>
      <c r="K66" s="949"/>
      <c r="L66" s="949"/>
      <c r="M66" s="949"/>
      <c r="N66" s="949"/>
      <c r="O66" s="949"/>
      <c r="P66" s="949"/>
      <c r="Q66" s="949"/>
      <c r="R66" s="949"/>
      <c r="S66" s="949"/>
      <c r="T66" s="949"/>
      <c r="U66" s="949"/>
      <c r="V66" s="949"/>
      <c r="W66" s="949"/>
      <c r="X66" s="949"/>
      <c r="Y66" s="949"/>
      <c r="Z66" s="949"/>
    </row>
    <row r="67" spans="1:26">
      <c r="A67" s="949"/>
      <c r="B67" s="949"/>
      <c r="C67" s="949"/>
      <c r="D67" s="949"/>
      <c r="E67" s="949"/>
      <c r="F67" s="949"/>
      <c r="G67" s="949"/>
      <c r="H67" s="949"/>
      <c r="I67" s="949"/>
      <c r="J67" s="949"/>
      <c r="K67" s="949"/>
      <c r="L67" s="949"/>
      <c r="M67" s="949"/>
      <c r="N67" s="949"/>
      <c r="O67" s="949"/>
      <c r="P67" s="949"/>
      <c r="Q67" s="949"/>
      <c r="R67" s="949"/>
      <c r="S67" s="949"/>
      <c r="T67" s="949"/>
      <c r="U67" s="949"/>
      <c r="V67" s="949"/>
      <c r="W67" s="949"/>
      <c r="X67" s="949"/>
      <c r="Y67" s="949"/>
      <c r="Z67" s="949"/>
    </row>
    <row r="68" spans="1:26">
      <c r="A68" s="949"/>
      <c r="B68" s="949"/>
      <c r="C68" s="949"/>
      <c r="D68" s="949"/>
      <c r="E68" s="949"/>
      <c r="F68" s="949"/>
      <c r="G68" s="949"/>
      <c r="H68" s="949"/>
      <c r="I68" s="949"/>
      <c r="J68" s="949"/>
      <c r="K68" s="949"/>
      <c r="L68" s="949"/>
      <c r="M68" s="949"/>
      <c r="N68" s="949"/>
      <c r="O68" s="949"/>
      <c r="P68" s="949"/>
      <c r="Q68" s="949"/>
      <c r="R68" s="949"/>
      <c r="S68" s="949"/>
      <c r="T68" s="949"/>
      <c r="U68" s="949"/>
      <c r="V68" s="949"/>
      <c r="W68" s="949"/>
      <c r="X68" s="949"/>
      <c r="Y68" s="949"/>
      <c r="Z68" s="949"/>
    </row>
    <row r="69" spans="1:26">
      <c r="A69" s="949"/>
      <c r="B69" s="949"/>
      <c r="C69" s="949"/>
      <c r="D69" s="949"/>
      <c r="E69" s="949"/>
      <c r="F69" s="949"/>
      <c r="G69" s="949"/>
      <c r="H69" s="949"/>
      <c r="I69" s="949"/>
      <c r="J69" s="949"/>
      <c r="K69" s="949"/>
      <c r="L69" s="949"/>
      <c r="M69" s="949"/>
      <c r="N69" s="949"/>
      <c r="O69" s="949"/>
      <c r="P69" s="949"/>
      <c r="Q69" s="949"/>
      <c r="R69" s="949"/>
      <c r="S69" s="949"/>
      <c r="T69" s="949"/>
      <c r="U69" s="949"/>
      <c r="V69" s="949"/>
      <c r="W69" s="949"/>
      <c r="X69" s="949"/>
      <c r="Y69" s="949"/>
      <c r="Z69" s="949"/>
    </row>
    <row r="70" spans="1:26">
      <c r="A70" s="949"/>
      <c r="B70" s="949"/>
      <c r="C70" s="949"/>
      <c r="D70" s="949"/>
      <c r="E70" s="949"/>
      <c r="F70" s="949"/>
      <c r="G70" s="949"/>
      <c r="H70" s="949"/>
      <c r="I70" s="949"/>
      <c r="J70" s="949"/>
      <c r="K70" s="949"/>
      <c r="L70" s="949"/>
      <c r="M70" s="949"/>
      <c r="N70" s="949"/>
      <c r="O70" s="949"/>
      <c r="P70" s="949"/>
      <c r="Q70" s="949"/>
      <c r="R70" s="949"/>
      <c r="S70" s="949"/>
      <c r="T70" s="949"/>
      <c r="U70" s="949"/>
      <c r="V70" s="949"/>
      <c r="W70" s="949"/>
      <c r="X70" s="949"/>
      <c r="Y70" s="949"/>
      <c r="Z70" s="949"/>
    </row>
    <row r="71" spans="1:26">
      <c r="A71" s="949"/>
      <c r="B71" s="949"/>
      <c r="C71" s="949"/>
      <c r="D71" s="949"/>
      <c r="E71" s="949"/>
      <c r="F71" s="949"/>
      <c r="G71" s="949"/>
      <c r="H71" s="949"/>
      <c r="I71" s="949"/>
      <c r="J71" s="949"/>
      <c r="K71" s="949"/>
      <c r="L71" s="949"/>
      <c r="M71" s="949"/>
      <c r="N71" s="949"/>
      <c r="O71" s="949"/>
      <c r="P71" s="949"/>
      <c r="Q71" s="949"/>
      <c r="R71" s="949"/>
      <c r="S71" s="949"/>
      <c r="T71" s="949"/>
      <c r="U71" s="949"/>
      <c r="V71" s="949"/>
      <c r="W71" s="949"/>
      <c r="X71" s="949"/>
      <c r="Y71" s="949"/>
      <c r="Z71" s="949"/>
    </row>
    <row r="72" spans="1:26">
      <c r="A72" s="949"/>
      <c r="B72" s="949"/>
      <c r="C72" s="949"/>
      <c r="D72" s="949"/>
      <c r="E72" s="949"/>
      <c r="F72" s="949"/>
      <c r="G72" s="949"/>
      <c r="H72" s="949"/>
      <c r="I72" s="949"/>
      <c r="J72" s="949"/>
      <c r="K72" s="949"/>
      <c r="L72" s="949"/>
      <c r="M72" s="949"/>
      <c r="N72" s="949"/>
      <c r="O72" s="949"/>
      <c r="P72" s="949"/>
      <c r="Q72" s="949"/>
      <c r="R72" s="949"/>
      <c r="S72" s="949"/>
      <c r="T72" s="949"/>
      <c r="U72" s="949"/>
      <c r="V72" s="949"/>
      <c r="W72" s="949"/>
      <c r="X72" s="949"/>
      <c r="Y72" s="949"/>
      <c r="Z72" s="949"/>
    </row>
    <row r="73" spans="1:26">
      <c r="A73" s="949"/>
      <c r="B73" s="949"/>
      <c r="C73" s="949"/>
      <c r="D73" s="949"/>
      <c r="E73" s="949"/>
      <c r="F73" s="949"/>
      <c r="G73" s="949"/>
      <c r="H73" s="949"/>
      <c r="I73" s="949"/>
      <c r="J73" s="949"/>
      <c r="K73" s="949"/>
      <c r="L73" s="949"/>
      <c r="M73" s="949"/>
      <c r="N73" s="949"/>
      <c r="O73" s="949"/>
      <c r="P73" s="949"/>
      <c r="Q73" s="949"/>
      <c r="R73" s="949"/>
      <c r="S73" s="949"/>
      <c r="T73" s="949"/>
      <c r="U73" s="949"/>
      <c r="V73" s="949"/>
      <c r="W73" s="949"/>
      <c r="X73" s="949"/>
      <c r="Y73" s="949"/>
      <c r="Z73" s="949"/>
    </row>
    <row r="74" spans="1:26">
      <c r="A74" s="949"/>
      <c r="B74" s="949"/>
      <c r="C74" s="949"/>
      <c r="D74" s="949"/>
      <c r="E74" s="949"/>
      <c r="F74" s="949"/>
      <c r="G74" s="949"/>
      <c r="H74" s="949"/>
      <c r="I74" s="949"/>
      <c r="J74" s="949"/>
      <c r="K74" s="949"/>
      <c r="L74" s="949"/>
      <c r="M74" s="949"/>
      <c r="N74" s="949"/>
      <c r="O74" s="949"/>
      <c r="P74" s="949"/>
      <c r="Q74" s="949"/>
      <c r="R74" s="949"/>
      <c r="S74" s="949"/>
      <c r="T74" s="949"/>
      <c r="U74" s="949"/>
      <c r="V74" s="949"/>
      <c r="W74" s="949"/>
      <c r="X74" s="949"/>
      <c r="Y74" s="949"/>
      <c r="Z74" s="949"/>
    </row>
    <row r="75" spans="1:26">
      <c r="A75" s="949"/>
      <c r="B75" s="949"/>
      <c r="C75" s="949"/>
      <c r="D75" s="949"/>
      <c r="E75" s="949"/>
      <c r="F75" s="949"/>
      <c r="G75" s="949"/>
      <c r="H75" s="949"/>
      <c r="I75" s="949"/>
      <c r="J75" s="949"/>
      <c r="K75" s="949"/>
      <c r="L75" s="949"/>
      <c r="M75" s="949"/>
      <c r="N75" s="949"/>
      <c r="O75" s="949"/>
      <c r="P75" s="949"/>
      <c r="Q75" s="949"/>
      <c r="R75" s="949"/>
      <c r="S75" s="949"/>
      <c r="T75" s="949"/>
      <c r="U75" s="949"/>
      <c r="V75" s="949"/>
      <c r="W75" s="949"/>
      <c r="X75" s="949"/>
      <c r="Y75" s="949"/>
      <c r="Z75" s="949"/>
    </row>
    <row r="76" spans="1:26">
      <c r="A76" s="949"/>
      <c r="B76" s="949"/>
      <c r="C76" s="949"/>
      <c r="D76" s="949"/>
      <c r="E76" s="949"/>
      <c r="F76" s="949"/>
      <c r="G76" s="949"/>
      <c r="H76" s="949"/>
      <c r="I76" s="949"/>
      <c r="J76" s="949"/>
      <c r="K76" s="949"/>
      <c r="L76" s="949"/>
      <c r="M76" s="949"/>
      <c r="N76" s="949"/>
      <c r="O76" s="949"/>
      <c r="P76" s="949"/>
      <c r="Q76" s="949"/>
      <c r="R76" s="949"/>
      <c r="S76" s="949"/>
      <c r="T76" s="949"/>
      <c r="U76" s="949"/>
      <c r="V76" s="949"/>
      <c r="W76" s="949"/>
      <c r="X76" s="949"/>
      <c r="Y76" s="949"/>
      <c r="Z76" s="949"/>
    </row>
    <row r="77" spans="1:26">
      <c r="A77" s="949"/>
      <c r="B77" s="949"/>
      <c r="C77" s="949"/>
      <c r="D77" s="949"/>
      <c r="E77" s="949"/>
      <c r="F77" s="949"/>
      <c r="G77" s="949"/>
      <c r="H77" s="949"/>
      <c r="I77" s="949"/>
      <c r="J77" s="949"/>
      <c r="K77" s="949"/>
      <c r="L77" s="949"/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</row>
    <row r="78" spans="1:26">
      <c r="A78" s="949"/>
      <c r="B78" s="949"/>
      <c r="C78" s="949"/>
      <c r="D78" s="949"/>
      <c r="E78" s="949"/>
      <c r="F78" s="949"/>
      <c r="G78" s="949"/>
      <c r="H78" s="949"/>
      <c r="I78" s="949"/>
      <c r="J78" s="949"/>
      <c r="K78" s="949"/>
      <c r="L78" s="949"/>
      <c r="M78" s="949"/>
      <c r="N78" s="949"/>
      <c r="O78" s="949"/>
      <c r="P78" s="949"/>
      <c r="Q78" s="949"/>
      <c r="R78" s="949"/>
      <c r="S78" s="949"/>
      <c r="T78" s="949"/>
      <c r="U78" s="949"/>
      <c r="V78" s="949"/>
      <c r="W78" s="949"/>
      <c r="X78" s="949"/>
      <c r="Y78" s="949"/>
      <c r="Z78" s="949"/>
    </row>
    <row r="79" spans="1:26">
      <c r="A79" s="949"/>
      <c r="B79" s="949"/>
      <c r="C79" s="949"/>
      <c r="D79" s="949"/>
      <c r="E79" s="949"/>
      <c r="F79" s="949"/>
      <c r="G79" s="949"/>
      <c r="H79" s="949"/>
      <c r="I79" s="949"/>
      <c r="J79" s="949"/>
      <c r="K79" s="949"/>
      <c r="L79" s="949"/>
      <c r="M79" s="949"/>
      <c r="N79" s="949"/>
      <c r="O79" s="949"/>
      <c r="P79" s="949"/>
      <c r="Q79" s="949"/>
      <c r="R79" s="949"/>
      <c r="S79" s="949"/>
      <c r="T79" s="949"/>
      <c r="U79" s="949"/>
      <c r="V79" s="949"/>
      <c r="W79" s="949"/>
      <c r="X79" s="949"/>
      <c r="Y79" s="949"/>
      <c r="Z79" s="949"/>
    </row>
    <row r="80" spans="1:26">
      <c r="A80" s="949"/>
      <c r="B80" s="949"/>
      <c r="C80" s="949"/>
      <c r="D80" s="949"/>
      <c r="E80" s="949"/>
      <c r="F80" s="949"/>
      <c r="G80" s="949"/>
      <c r="H80" s="949"/>
      <c r="I80" s="949"/>
      <c r="J80" s="949"/>
      <c r="K80" s="949"/>
      <c r="L80" s="949"/>
      <c r="M80" s="949"/>
      <c r="N80" s="949"/>
      <c r="O80" s="949"/>
      <c r="P80" s="949"/>
      <c r="Q80" s="949"/>
      <c r="R80" s="949"/>
      <c r="S80" s="949"/>
      <c r="T80" s="949"/>
      <c r="U80" s="949"/>
      <c r="V80" s="949"/>
      <c r="W80" s="949"/>
      <c r="X80" s="949"/>
      <c r="Y80" s="949"/>
      <c r="Z80" s="949"/>
    </row>
    <row r="81" spans="1:26">
      <c r="A81" s="949"/>
      <c r="B81" s="949"/>
      <c r="C81" s="949"/>
      <c r="D81" s="949"/>
      <c r="E81" s="949"/>
      <c r="F81" s="949"/>
      <c r="G81" s="949"/>
      <c r="H81" s="949"/>
      <c r="I81" s="949"/>
      <c r="J81" s="949"/>
      <c r="K81" s="949"/>
      <c r="L81" s="949"/>
      <c r="M81" s="949"/>
      <c r="N81" s="949"/>
      <c r="O81" s="949"/>
      <c r="P81" s="949"/>
      <c r="Q81" s="949"/>
      <c r="R81" s="949"/>
      <c r="S81" s="949"/>
      <c r="T81" s="949"/>
      <c r="U81" s="949"/>
      <c r="V81" s="949"/>
      <c r="W81" s="949"/>
      <c r="X81" s="949"/>
      <c r="Y81" s="949"/>
      <c r="Z81" s="949"/>
    </row>
    <row r="82" spans="1:26">
      <c r="A82" s="949"/>
      <c r="B82" s="949"/>
      <c r="C82" s="949"/>
      <c r="D82" s="949"/>
      <c r="E82" s="949"/>
      <c r="F82" s="949"/>
      <c r="G82" s="949"/>
      <c r="H82" s="949"/>
      <c r="I82" s="949"/>
      <c r="J82" s="949"/>
      <c r="K82" s="949"/>
      <c r="L82" s="949"/>
      <c r="M82" s="949"/>
      <c r="N82" s="949"/>
      <c r="O82" s="949"/>
      <c r="P82" s="949"/>
      <c r="Q82" s="949"/>
      <c r="R82" s="949"/>
      <c r="S82" s="949"/>
      <c r="T82" s="949"/>
      <c r="U82" s="949"/>
      <c r="V82" s="949"/>
      <c r="W82" s="949"/>
      <c r="X82" s="949"/>
      <c r="Y82" s="949"/>
      <c r="Z82" s="949"/>
    </row>
    <row r="83" spans="1:26">
      <c r="A83" s="949"/>
      <c r="B83" s="949"/>
      <c r="C83" s="949"/>
      <c r="D83" s="949"/>
      <c r="E83" s="949"/>
      <c r="F83" s="949"/>
      <c r="G83" s="949"/>
      <c r="H83" s="949"/>
      <c r="I83" s="949"/>
      <c r="J83" s="949"/>
      <c r="K83" s="949"/>
      <c r="L83" s="949"/>
      <c r="M83" s="949"/>
      <c r="N83" s="949"/>
      <c r="O83" s="949"/>
      <c r="P83" s="949"/>
      <c r="Q83" s="949"/>
      <c r="R83" s="949"/>
      <c r="S83" s="949"/>
      <c r="T83" s="949"/>
      <c r="U83" s="949"/>
      <c r="V83" s="949"/>
      <c r="W83" s="949"/>
      <c r="X83" s="949"/>
      <c r="Y83" s="949"/>
      <c r="Z83" s="949"/>
    </row>
    <row r="84" spans="1:26">
      <c r="A84" s="949"/>
      <c r="B84" s="949"/>
      <c r="C84" s="949"/>
      <c r="D84" s="949"/>
      <c r="E84" s="949"/>
      <c r="F84" s="949"/>
      <c r="G84" s="949"/>
      <c r="H84" s="949"/>
      <c r="I84" s="949"/>
      <c r="J84" s="949"/>
      <c r="K84" s="949"/>
      <c r="L84" s="949"/>
      <c r="M84" s="949"/>
      <c r="N84" s="949"/>
      <c r="O84" s="949"/>
      <c r="P84" s="949"/>
      <c r="Q84" s="949"/>
      <c r="R84" s="949"/>
      <c r="S84" s="949"/>
      <c r="T84" s="949"/>
      <c r="U84" s="949"/>
      <c r="V84" s="949"/>
      <c r="W84" s="949"/>
      <c r="X84" s="949"/>
      <c r="Y84" s="949"/>
      <c r="Z84" s="949"/>
    </row>
    <row r="85" spans="1:26">
      <c r="A85" s="949"/>
      <c r="B85" s="949"/>
      <c r="C85" s="949"/>
      <c r="D85" s="949"/>
      <c r="E85" s="949"/>
      <c r="F85" s="949"/>
      <c r="G85" s="949"/>
      <c r="H85" s="949"/>
      <c r="I85" s="949"/>
      <c r="J85" s="949"/>
      <c r="K85" s="949"/>
      <c r="L85" s="949"/>
      <c r="M85" s="949"/>
      <c r="N85" s="949"/>
      <c r="O85" s="949"/>
      <c r="P85" s="949"/>
      <c r="Q85" s="949"/>
      <c r="R85" s="949"/>
      <c r="S85" s="949"/>
      <c r="T85" s="949"/>
      <c r="U85" s="949"/>
      <c r="V85" s="949"/>
      <c r="W85" s="949"/>
      <c r="X85" s="949"/>
      <c r="Y85" s="949"/>
      <c r="Z85" s="949"/>
    </row>
    <row r="86" spans="1:26">
      <c r="A86" s="949"/>
      <c r="B86" s="949"/>
      <c r="C86" s="949"/>
      <c r="D86" s="949"/>
      <c r="E86" s="949"/>
      <c r="F86" s="949"/>
      <c r="G86" s="949"/>
      <c r="H86" s="949"/>
      <c r="I86" s="949"/>
      <c r="J86" s="949"/>
      <c r="K86" s="949"/>
      <c r="L86" s="949"/>
      <c r="M86" s="949"/>
      <c r="N86" s="949"/>
      <c r="O86" s="949"/>
      <c r="P86" s="949"/>
      <c r="Q86" s="949"/>
      <c r="R86" s="949"/>
      <c r="S86" s="949"/>
      <c r="T86" s="949"/>
      <c r="U86" s="949"/>
      <c r="V86" s="949"/>
      <c r="W86" s="949"/>
      <c r="X86" s="949"/>
      <c r="Y86" s="949"/>
      <c r="Z86" s="949"/>
    </row>
    <row r="87" spans="1:26">
      <c r="A87" s="949"/>
      <c r="B87" s="949"/>
      <c r="C87" s="949"/>
      <c r="D87" s="949"/>
      <c r="E87" s="949"/>
      <c r="F87" s="949"/>
      <c r="G87" s="949"/>
      <c r="H87" s="949"/>
      <c r="I87" s="949"/>
      <c r="J87" s="949"/>
      <c r="K87" s="949"/>
      <c r="L87" s="949"/>
      <c r="M87" s="949"/>
      <c r="N87" s="949"/>
      <c r="O87" s="949"/>
      <c r="P87" s="949"/>
      <c r="Q87" s="949"/>
      <c r="R87" s="949"/>
      <c r="S87" s="949"/>
      <c r="T87" s="949"/>
      <c r="U87" s="949"/>
      <c r="V87" s="949"/>
      <c r="W87" s="949"/>
      <c r="X87" s="949"/>
      <c r="Y87" s="949"/>
      <c r="Z87" s="949"/>
    </row>
    <row r="88" spans="1:26">
      <c r="A88" s="949"/>
      <c r="B88" s="949"/>
      <c r="C88" s="949"/>
      <c r="D88" s="949"/>
      <c r="E88" s="949"/>
      <c r="F88" s="949"/>
      <c r="G88" s="949"/>
      <c r="H88" s="949"/>
      <c r="I88" s="949"/>
      <c r="J88" s="949"/>
      <c r="K88" s="949"/>
      <c r="L88" s="949"/>
      <c r="M88" s="949"/>
      <c r="N88" s="949"/>
      <c r="O88" s="949"/>
      <c r="P88" s="949"/>
      <c r="Q88" s="949"/>
      <c r="R88" s="949"/>
      <c r="S88" s="949"/>
      <c r="T88" s="949"/>
      <c r="U88" s="949"/>
      <c r="V88" s="949"/>
      <c r="W88" s="949"/>
      <c r="X88" s="949"/>
      <c r="Y88" s="949"/>
      <c r="Z88" s="949"/>
    </row>
    <row r="89" spans="1:26">
      <c r="A89" s="949"/>
      <c r="B89" s="949"/>
      <c r="C89" s="949"/>
      <c r="D89" s="949"/>
      <c r="E89" s="949"/>
      <c r="F89" s="949"/>
      <c r="G89" s="949"/>
      <c r="H89" s="949"/>
      <c r="I89" s="949"/>
      <c r="J89" s="949"/>
      <c r="K89" s="949"/>
      <c r="L89" s="949"/>
      <c r="M89" s="949"/>
      <c r="N89" s="949"/>
      <c r="O89" s="949"/>
      <c r="P89" s="949"/>
      <c r="Q89" s="949"/>
      <c r="R89" s="949"/>
      <c r="S89" s="949"/>
      <c r="T89" s="949"/>
      <c r="U89" s="949"/>
      <c r="V89" s="949"/>
      <c r="W89" s="949"/>
      <c r="X89" s="949"/>
      <c r="Y89" s="949"/>
      <c r="Z89" s="949"/>
    </row>
    <row r="90" spans="1:26">
      <c r="A90" s="949"/>
      <c r="B90" s="949"/>
      <c r="C90" s="949"/>
      <c r="D90" s="949"/>
      <c r="E90" s="949"/>
      <c r="F90" s="949"/>
      <c r="G90" s="949"/>
      <c r="H90" s="949"/>
      <c r="I90" s="949"/>
      <c r="J90" s="949"/>
      <c r="K90" s="949"/>
      <c r="L90" s="949"/>
      <c r="M90" s="949"/>
      <c r="N90" s="949"/>
      <c r="O90" s="949"/>
      <c r="P90" s="949"/>
      <c r="Q90" s="949"/>
      <c r="R90" s="949"/>
      <c r="S90" s="949"/>
      <c r="T90" s="949"/>
      <c r="U90" s="949"/>
      <c r="V90" s="949"/>
      <c r="W90" s="949"/>
      <c r="X90" s="949"/>
      <c r="Y90" s="949"/>
      <c r="Z90" s="949"/>
    </row>
    <row r="91" spans="1:26">
      <c r="A91" s="949"/>
      <c r="B91" s="949"/>
      <c r="C91" s="949"/>
      <c r="D91" s="949"/>
      <c r="E91" s="949"/>
      <c r="F91" s="949"/>
      <c r="G91" s="949"/>
      <c r="H91" s="949"/>
      <c r="I91" s="949"/>
      <c r="J91" s="949"/>
      <c r="K91" s="949"/>
      <c r="L91" s="949"/>
      <c r="M91" s="949"/>
      <c r="N91" s="949"/>
      <c r="O91" s="949"/>
      <c r="P91" s="949"/>
      <c r="Q91" s="949"/>
      <c r="R91" s="949"/>
      <c r="S91" s="949"/>
      <c r="T91" s="949"/>
      <c r="U91" s="949"/>
      <c r="V91" s="949"/>
      <c r="W91" s="949"/>
      <c r="X91" s="949"/>
      <c r="Y91" s="949"/>
      <c r="Z91" s="949"/>
    </row>
    <row r="92" spans="1:26">
      <c r="A92" s="949"/>
      <c r="B92" s="949"/>
      <c r="C92" s="949"/>
      <c r="D92" s="949"/>
      <c r="E92" s="949"/>
      <c r="F92" s="949"/>
      <c r="G92" s="949"/>
      <c r="H92" s="949"/>
      <c r="I92" s="949"/>
      <c r="J92" s="949"/>
      <c r="K92" s="949"/>
      <c r="L92" s="949"/>
      <c r="M92" s="949"/>
      <c r="N92" s="949"/>
      <c r="O92" s="949"/>
      <c r="P92" s="949"/>
      <c r="Q92" s="949"/>
      <c r="R92" s="949"/>
      <c r="S92" s="949"/>
      <c r="T92" s="949"/>
      <c r="U92" s="949"/>
      <c r="V92" s="949"/>
      <c r="W92" s="949"/>
      <c r="X92" s="949"/>
      <c r="Y92" s="949"/>
      <c r="Z92" s="949"/>
    </row>
    <row r="93" spans="1:26">
      <c r="A93" s="949"/>
      <c r="B93" s="949"/>
      <c r="C93" s="949"/>
      <c r="D93" s="949"/>
      <c r="E93" s="949"/>
      <c r="F93" s="949"/>
      <c r="G93" s="949"/>
      <c r="H93" s="949"/>
      <c r="I93" s="949"/>
      <c r="J93" s="949"/>
      <c r="K93" s="949"/>
      <c r="L93" s="949"/>
      <c r="M93" s="949"/>
      <c r="N93" s="949"/>
      <c r="O93" s="949"/>
      <c r="P93" s="949"/>
      <c r="Q93" s="949"/>
      <c r="R93" s="949"/>
      <c r="S93" s="949"/>
      <c r="T93" s="949"/>
      <c r="U93" s="949"/>
      <c r="V93" s="949"/>
      <c r="W93" s="949"/>
      <c r="X93" s="949"/>
      <c r="Y93" s="949"/>
      <c r="Z93" s="949"/>
    </row>
    <row r="94" spans="1:26">
      <c r="A94" s="949"/>
      <c r="B94" s="949"/>
      <c r="C94" s="949"/>
      <c r="D94" s="949"/>
      <c r="E94" s="949"/>
      <c r="F94" s="949"/>
      <c r="G94" s="949"/>
      <c r="H94" s="949"/>
      <c r="I94" s="949"/>
      <c r="J94" s="949"/>
      <c r="K94" s="949"/>
      <c r="L94" s="949"/>
      <c r="M94" s="949"/>
      <c r="N94" s="949"/>
      <c r="O94" s="949"/>
      <c r="P94" s="949"/>
      <c r="Q94" s="949"/>
      <c r="R94" s="949"/>
      <c r="S94" s="949"/>
      <c r="T94" s="949"/>
      <c r="U94" s="949"/>
      <c r="V94" s="949"/>
      <c r="W94" s="949"/>
      <c r="X94" s="949"/>
      <c r="Y94" s="949"/>
      <c r="Z94" s="949"/>
    </row>
    <row r="95" spans="1:26">
      <c r="A95" s="949"/>
      <c r="B95" s="949"/>
      <c r="C95" s="949"/>
      <c r="D95" s="949"/>
      <c r="E95" s="949"/>
      <c r="F95" s="949"/>
      <c r="G95" s="949"/>
      <c r="H95" s="949"/>
      <c r="I95" s="949"/>
      <c r="J95" s="949"/>
      <c r="K95" s="949"/>
      <c r="L95" s="949"/>
      <c r="M95" s="949"/>
      <c r="N95" s="949"/>
      <c r="O95" s="949"/>
      <c r="P95" s="949"/>
      <c r="Q95" s="949"/>
      <c r="R95" s="949"/>
      <c r="S95" s="949"/>
      <c r="T95" s="949"/>
      <c r="U95" s="949"/>
      <c r="V95" s="949"/>
      <c r="W95" s="949"/>
      <c r="X95" s="949"/>
      <c r="Y95" s="949"/>
      <c r="Z95" s="949"/>
    </row>
    <row r="96" spans="1:26">
      <c r="A96" s="949"/>
      <c r="B96" s="949"/>
      <c r="C96" s="949"/>
      <c r="D96" s="949"/>
      <c r="E96" s="949"/>
      <c r="F96" s="949"/>
      <c r="G96" s="949"/>
      <c r="H96" s="949"/>
      <c r="I96" s="949"/>
      <c r="J96" s="949"/>
      <c r="K96" s="949"/>
      <c r="L96" s="949"/>
      <c r="M96" s="949"/>
      <c r="N96" s="949"/>
      <c r="O96" s="949"/>
      <c r="P96" s="949"/>
      <c r="Q96" s="949"/>
      <c r="R96" s="949"/>
      <c r="S96" s="949"/>
      <c r="T96" s="949"/>
      <c r="U96" s="949"/>
      <c r="V96" s="949"/>
      <c r="W96" s="949"/>
      <c r="X96" s="949"/>
      <c r="Y96" s="949"/>
      <c r="Z96" s="949"/>
    </row>
    <row r="97" spans="1:26">
      <c r="A97" s="949"/>
      <c r="B97" s="949"/>
      <c r="C97" s="949"/>
      <c r="D97" s="949"/>
      <c r="E97" s="949"/>
      <c r="F97" s="949"/>
      <c r="G97" s="949"/>
      <c r="H97" s="949"/>
      <c r="I97" s="949"/>
      <c r="J97" s="949"/>
      <c r="K97" s="949"/>
      <c r="L97" s="949"/>
      <c r="M97" s="949"/>
      <c r="N97" s="949"/>
      <c r="O97" s="949"/>
      <c r="P97" s="949"/>
      <c r="Q97" s="949"/>
      <c r="R97" s="949"/>
      <c r="S97" s="949"/>
      <c r="T97" s="949"/>
      <c r="U97" s="949"/>
      <c r="V97" s="949"/>
      <c r="W97" s="949"/>
      <c r="X97" s="949"/>
      <c r="Y97" s="949"/>
      <c r="Z97" s="949"/>
    </row>
    <row r="98" spans="1:26">
      <c r="A98" s="949"/>
      <c r="B98" s="949"/>
      <c r="C98" s="949"/>
      <c r="D98" s="949"/>
      <c r="E98" s="949"/>
      <c r="F98" s="949"/>
      <c r="G98" s="949"/>
      <c r="H98" s="949"/>
      <c r="I98" s="949"/>
      <c r="J98" s="949"/>
      <c r="K98" s="949"/>
      <c r="L98" s="949"/>
      <c r="M98" s="949"/>
      <c r="N98" s="949"/>
      <c r="O98" s="949"/>
      <c r="P98" s="949"/>
      <c r="Q98" s="949"/>
      <c r="R98" s="949"/>
      <c r="S98" s="949"/>
      <c r="T98" s="949"/>
      <c r="U98" s="949"/>
      <c r="V98" s="949"/>
      <c r="W98" s="949"/>
      <c r="X98" s="949"/>
      <c r="Y98" s="949"/>
      <c r="Z98" s="949"/>
    </row>
    <row r="99" spans="1:26">
      <c r="A99" s="949"/>
      <c r="B99" s="949"/>
      <c r="C99" s="949"/>
      <c r="D99" s="949"/>
      <c r="E99" s="949"/>
      <c r="F99" s="949"/>
      <c r="G99" s="949"/>
      <c r="H99" s="949"/>
      <c r="I99" s="949"/>
      <c r="J99" s="949"/>
      <c r="K99" s="949"/>
      <c r="L99" s="949"/>
      <c r="M99" s="949"/>
      <c r="N99" s="949"/>
      <c r="O99" s="949"/>
      <c r="P99" s="949"/>
      <c r="Q99" s="949"/>
      <c r="R99" s="949"/>
      <c r="S99" s="949"/>
      <c r="T99" s="949"/>
      <c r="U99" s="949"/>
      <c r="V99" s="949"/>
      <c r="W99" s="949"/>
      <c r="X99" s="949"/>
      <c r="Y99" s="949"/>
      <c r="Z99" s="94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G4" sqref="G4"/>
    </sheetView>
  </sheetViews>
  <sheetFormatPr defaultColWidth="9.140625" defaultRowHeight="14.25"/>
  <cols>
    <col min="1" max="1" width="3.7109375" style="453" customWidth="1"/>
    <col min="2" max="2" width="19.5703125" style="453" customWidth="1"/>
    <col min="3" max="3" width="93.5703125" style="453" bestFit="1" customWidth="1"/>
    <col min="4" max="4" width="11.28515625" style="453" customWidth="1"/>
    <col min="5" max="5" width="11.42578125" style="453" customWidth="1"/>
    <col min="6" max="6" width="15.28515625" style="453" customWidth="1"/>
    <col min="7" max="7" width="18.5703125" style="453" customWidth="1"/>
    <col min="8" max="8" width="96.5703125" style="453" customWidth="1"/>
    <col min="9" max="16384" width="9.140625" style="453"/>
  </cols>
  <sheetData>
    <row r="1" spans="2:20" ht="15" thickBot="1"/>
    <row r="2" spans="2:20" ht="19.5" thickBot="1">
      <c r="B2" s="1072" t="s">
        <v>2</v>
      </c>
      <c r="C2" s="1073"/>
      <c r="D2" s="1073"/>
      <c r="E2" s="1074"/>
      <c r="G2" s="1072" t="s">
        <v>3</v>
      </c>
      <c r="H2" s="1074"/>
      <c r="I2" s="454"/>
      <c r="J2" s="454"/>
      <c r="K2" s="455"/>
      <c r="L2" s="455"/>
      <c r="M2" s="455"/>
      <c r="N2" s="455"/>
      <c r="O2" s="455"/>
      <c r="P2" s="455"/>
      <c r="Q2" s="455"/>
      <c r="R2" s="455"/>
      <c r="S2" s="455"/>
      <c r="T2" s="455"/>
    </row>
    <row r="3" spans="2:20" ht="15.75" thickBot="1">
      <c r="B3" s="475" t="s">
        <v>584</v>
      </c>
      <c r="C3" s="476" t="s">
        <v>4</v>
      </c>
      <c r="D3" s="476" t="s">
        <v>5</v>
      </c>
      <c r="E3" s="477" t="s">
        <v>735</v>
      </c>
      <c r="G3" s="457"/>
      <c r="H3" s="504" t="s">
        <v>585</v>
      </c>
      <c r="I3" s="454"/>
      <c r="J3" s="454"/>
      <c r="K3" s="455"/>
      <c r="L3" s="455"/>
      <c r="M3" s="455"/>
      <c r="N3" s="455"/>
      <c r="O3" s="455"/>
      <c r="P3" s="455"/>
      <c r="Q3" s="455"/>
      <c r="R3" s="455"/>
      <c r="S3" s="455"/>
      <c r="T3" s="455"/>
    </row>
    <row r="4" spans="2:20">
      <c r="B4" s="478" t="s">
        <v>733</v>
      </c>
      <c r="C4" s="479" t="s">
        <v>734</v>
      </c>
      <c r="D4" s="480">
        <v>44136</v>
      </c>
      <c r="E4" s="481" t="s">
        <v>736</v>
      </c>
      <c r="G4" s="461"/>
      <c r="H4" s="505" t="s">
        <v>587</v>
      </c>
      <c r="I4" s="454"/>
      <c r="J4" s="454"/>
      <c r="K4" s="455"/>
      <c r="L4" s="455"/>
      <c r="M4" s="455"/>
      <c r="N4" s="455"/>
      <c r="O4" s="455"/>
      <c r="P4" s="455"/>
      <c r="Q4" s="455"/>
      <c r="R4" s="455"/>
      <c r="S4" s="455"/>
      <c r="T4" s="455"/>
    </row>
    <row r="5" spans="2:20">
      <c r="B5" s="482" t="s">
        <v>6</v>
      </c>
      <c r="C5" s="458" t="s">
        <v>586</v>
      </c>
      <c r="D5" s="462">
        <v>44169</v>
      </c>
      <c r="E5" s="483" t="s">
        <v>737</v>
      </c>
      <c r="G5" s="463"/>
      <c r="H5" s="505" t="s">
        <v>589</v>
      </c>
      <c r="I5" s="454"/>
      <c r="J5" s="454"/>
      <c r="K5" s="455"/>
      <c r="L5" s="455"/>
      <c r="M5" s="455"/>
      <c r="N5" s="455"/>
      <c r="O5" s="455"/>
      <c r="P5" s="455"/>
      <c r="Q5" s="455"/>
      <c r="R5" s="455"/>
      <c r="S5" s="455"/>
      <c r="T5" s="455"/>
    </row>
    <row r="6" spans="2:20">
      <c r="B6" s="482" t="s">
        <v>738</v>
      </c>
      <c r="C6" s="458" t="s">
        <v>739</v>
      </c>
      <c r="D6" s="462">
        <v>44166</v>
      </c>
      <c r="E6" s="483" t="s">
        <v>737</v>
      </c>
      <c r="G6" s="464"/>
      <c r="H6" s="505" t="s">
        <v>864</v>
      </c>
      <c r="I6" s="454"/>
      <c r="J6" s="454"/>
      <c r="K6" s="455"/>
      <c r="L6" s="455"/>
      <c r="M6" s="455"/>
      <c r="N6" s="455"/>
      <c r="O6" s="455"/>
      <c r="P6" s="455"/>
      <c r="Q6" s="455"/>
      <c r="R6" s="455"/>
      <c r="S6" s="455"/>
      <c r="T6" s="455"/>
    </row>
    <row r="7" spans="2:20" ht="15" thickBot="1">
      <c r="B7" s="482" t="s">
        <v>741</v>
      </c>
      <c r="C7" s="458" t="s">
        <v>588</v>
      </c>
      <c r="D7" s="459">
        <v>43862</v>
      </c>
      <c r="E7" s="483" t="s">
        <v>737</v>
      </c>
      <c r="G7" s="465"/>
      <c r="H7" s="506" t="s">
        <v>7</v>
      </c>
      <c r="I7" s="454"/>
      <c r="J7" s="454"/>
      <c r="K7" s="455"/>
      <c r="L7" s="455"/>
      <c r="M7" s="455"/>
      <c r="N7" s="455"/>
      <c r="O7" s="455"/>
      <c r="P7" s="455"/>
      <c r="Q7" s="455"/>
      <c r="R7" s="455"/>
      <c r="S7" s="455"/>
      <c r="T7" s="455"/>
    </row>
    <row r="8" spans="2:20">
      <c r="B8" s="482" t="s">
        <v>590</v>
      </c>
      <c r="C8" s="458" t="s">
        <v>740</v>
      </c>
      <c r="D8" s="459">
        <v>44166</v>
      </c>
      <c r="E8" s="483" t="s">
        <v>737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82" t="s">
        <v>742</v>
      </c>
      <c r="C9" s="458" t="s">
        <v>743</v>
      </c>
      <c r="D9" s="459">
        <v>44044</v>
      </c>
      <c r="E9" s="483" t="s">
        <v>737</v>
      </c>
    </row>
    <row r="10" spans="2:20" ht="15" thickBot="1">
      <c r="B10" s="482" t="s">
        <v>744</v>
      </c>
      <c r="C10" s="458" t="s">
        <v>591</v>
      </c>
      <c r="D10" s="459">
        <v>44136</v>
      </c>
      <c r="E10" s="483" t="s">
        <v>737</v>
      </c>
    </row>
    <row r="11" spans="2:20" ht="19.5" thickBot="1">
      <c r="B11" s="482" t="s">
        <v>745</v>
      </c>
      <c r="C11" s="458" t="s">
        <v>592</v>
      </c>
      <c r="D11" s="459">
        <v>44013</v>
      </c>
      <c r="E11" s="483" t="s">
        <v>737</v>
      </c>
      <c r="G11" s="1072" t="s">
        <v>11</v>
      </c>
      <c r="H11" s="1074"/>
    </row>
    <row r="12" spans="2:20" ht="15">
      <c r="B12" s="482" t="s">
        <v>746</v>
      </c>
      <c r="C12" s="458" t="s">
        <v>593</v>
      </c>
      <c r="D12" s="459">
        <v>44136</v>
      </c>
      <c r="E12" s="483" t="s">
        <v>736</v>
      </c>
      <c r="G12" s="466" t="s">
        <v>12</v>
      </c>
      <c r="H12" s="467" t="s">
        <v>599</v>
      </c>
    </row>
    <row r="13" spans="2:20" ht="15">
      <c r="B13" s="482" t="s">
        <v>747</v>
      </c>
      <c r="C13" s="458" t="s">
        <v>749</v>
      </c>
      <c r="D13" s="459">
        <v>44136</v>
      </c>
      <c r="E13" s="483" t="s">
        <v>737</v>
      </c>
      <c r="G13" s="468" t="s">
        <v>600</v>
      </c>
      <c r="H13" s="469" t="s">
        <v>13</v>
      </c>
    </row>
    <row r="14" spans="2:20" ht="15">
      <c r="B14" s="482" t="s">
        <v>748</v>
      </c>
      <c r="C14" s="458" t="s">
        <v>750</v>
      </c>
      <c r="D14" s="459">
        <v>44105</v>
      </c>
      <c r="E14" s="483" t="s">
        <v>737</v>
      </c>
      <c r="G14" s="468" t="s">
        <v>14</v>
      </c>
      <c r="H14" s="469" t="s">
        <v>751</v>
      </c>
    </row>
    <row r="15" spans="2:20" ht="15">
      <c r="B15" s="482" t="s">
        <v>594</v>
      </c>
      <c r="C15" s="458" t="s">
        <v>595</v>
      </c>
      <c r="D15" s="459">
        <v>44105</v>
      </c>
      <c r="E15" s="483" t="s">
        <v>737</v>
      </c>
      <c r="G15" s="470" t="s">
        <v>601</v>
      </c>
      <c r="H15" s="471">
        <v>2018</v>
      </c>
    </row>
    <row r="16" spans="2:20">
      <c r="B16" s="482" t="s">
        <v>8</v>
      </c>
      <c r="C16" s="458" t="s">
        <v>596</v>
      </c>
      <c r="D16" s="459">
        <v>44166</v>
      </c>
      <c r="E16" s="483" t="s">
        <v>737</v>
      </c>
    </row>
    <row r="17" spans="2:8" ht="15" thickBot="1">
      <c r="B17" s="482" t="s">
        <v>9</v>
      </c>
      <c r="C17" s="458" t="s">
        <v>597</v>
      </c>
      <c r="D17" s="459">
        <v>44166</v>
      </c>
      <c r="E17" s="483" t="s">
        <v>737</v>
      </c>
    </row>
    <row r="18" spans="2:8" ht="19.5" thickBot="1">
      <c r="B18" s="484" t="s">
        <v>10</v>
      </c>
      <c r="C18" s="485" t="s">
        <v>598</v>
      </c>
      <c r="D18" s="486">
        <v>44166</v>
      </c>
      <c r="E18" s="487" t="s">
        <v>737</v>
      </c>
      <c r="G18" s="1075" t="s">
        <v>604</v>
      </c>
      <c r="H18" s="1076"/>
    </row>
    <row r="19" spans="2:8" ht="15">
      <c r="B19" s="455"/>
      <c r="C19" s="455"/>
      <c r="D19" s="933"/>
      <c r="G19" s="493" t="s">
        <v>17</v>
      </c>
      <c r="H19" s="493" t="s">
        <v>764</v>
      </c>
    </row>
    <row r="20" spans="2:8">
      <c r="B20" s="455"/>
      <c r="C20" s="455"/>
      <c r="D20" s="933"/>
      <c r="G20" s="460"/>
      <c r="H20" s="460"/>
    </row>
    <row r="21" spans="2:8" ht="15" customHeight="1">
      <c r="B21" s="455"/>
      <c r="C21" s="455"/>
      <c r="D21" s="933"/>
      <c r="G21" s="460"/>
      <c r="H21" s="460"/>
    </row>
    <row r="22" spans="2:8" ht="15" customHeight="1">
      <c r="B22" s="455"/>
      <c r="C22" s="455"/>
      <c r="D22" s="933"/>
      <c r="G22" s="460"/>
      <c r="H22" s="460"/>
    </row>
    <row r="23" spans="2:8" ht="15" customHeight="1">
      <c r="B23" s="455"/>
      <c r="C23" s="455"/>
      <c r="D23" s="933"/>
      <c r="G23" s="460"/>
      <c r="H23" s="460"/>
    </row>
    <row r="24" spans="2:8" ht="15" customHeight="1">
      <c r="B24" s="455"/>
      <c r="C24" s="455"/>
      <c r="D24" s="933"/>
      <c r="G24" s="460"/>
      <c r="H24" s="460"/>
    </row>
    <row r="25" spans="2:8" ht="15" hidden="1" customHeight="1">
      <c r="B25" s="455"/>
      <c r="C25" s="455"/>
      <c r="D25" s="933"/>
      <c r="G25" s="460"/>
      <c r="H25" s="460"/>
    </row>
    <row r="26" spans="2:8" ht="15" customHeight="1"/>
    <row r="27" spans="2:8" ht="15" customHeight="1" thickBot="1">
      <c r="B27" s="1077" t="s">
        <v>602</v>
      </c>
      <c r="C27" s="1078"/>
      <c r="D27" s="1078"/>
      <c r="E27" s="1078"/>
      <c r="F27" s="1078"/>
    </row>
    <row r="28" spans="2:8" ht="15" customHeight="1">
      <c r="B28" s="489" t="s">
        <v>584</v>
      </c>
      <c r="C28" s="490" t="s">
        <v>4</v>
      </c>
      <c r="D28" s="491" t="s">
        <v>5</v>
      </c>
      <c r="E28" s="492" t="s">
        <v>735</v>
      </c>
      <c r="F28" s="492" t="s">
        <v>871</v>
      </c>
    </row>
    <row r="29" spans="2:8" ht="15" customHeight="1">
      <c r="B29" s="498" t="s">
        <v>15</v>
      </c>
      <c r="C29" s="494" t="s">
        <v>603</v>
      </c>
      <c r="D29" s="494"/>
      <c r="E29" s="499"/>
      <c r="F29" s="944" t="s">
        <v>872</v>
      </c>
    </row>
    <row r="30" spans="2:8" ht="15">
      <c r="B30" s="934" t="s">
        <v>16</v>
      </c>
      <c r="C30" s="942" t="s">
        <v>605</v>
      </c>
      <c r="D30" s="942"/>
      <c r="E30" s="943"/>
      <c r="F30" s="937" t="s">
        <v>316</v>
      </c>
    </row>
    <row r="31" spans="2:8" ht="15">
      <c r="B31" s="498" t="s">
        <v>18</v>
      </c>
      <c r="C31" s="460" t="s">
        <v>19</v>
      </c>
      <c r="D31" s="495" t="s">
        <v>20</v>
      </c>
      <c r="E31" s="483" t="s">
        <v>737</v>
      </c>
      <c r="F31" s="944" t="s">
        <v>872</v>
      </c>
      <c r="G31" s="58" t="s">
        <v>870</v>
      </c>
    </row>
    <row r="32" spans="2:8" ht="15">
      <c r="B32" s="934" t="s">
        <v>21</v>
      </c>
      <c r="C32" s="942" t="s">
        <v>606</v>
      </c>
      <c r="D32" s="936">
        <v>44044</v>
      </c>
      <c r="E32" s="943" t="s">
        <v>737</v>
      </c>
      <c r="F32" s="937" t="s">
        <v>316</v>
      </c>
    </row>
    <row r="33" spans="2:7" ht="17.25" customHeight="1">
      <c r="B33" s="498" t="s">
        <v>607</v>
      </c>
      <c r="C33" s="497" t="s">
        <v>608</v>
      </c>
      <c r="D33" s="496">
        <v>43952</v>
      </c>
      <c r="E33" s="483" t="s">
        <v>737</v>
      </c>
      <c r="F33" s="945" t="s">
        <v>872</v>
      </c>
    </row>
    <row r="34" spans="2:7" ht="15">
      <c r="B34" s="498" t="s">
        <v>22</v>
      </c>
      <c r="C34" s="497" t="s">
        <v>609</v>
      </c>
      <c r="D34" s="496">
        <v>43952</v>
      </c>
      <c r="E34" s="483" t="s">
        <v>737</v>
      </c>
      <c r="F34" s="944" t="s">
        <v>872</v>
      </c>
      <c r="G34" s="58" t="s">
        <v>868</v>
      </c>
    </row>
    <row r="35" spans="2:7" ht="15" hidden="1">
      <c r="B35" s="498" t="s">
        <v>752</v>
      </c>
      <c r="C35" s="497" t="s">
        <v>755</v>
      </c>
      <c r="D35" s="496">
        <v>43983</v>
      </c>
      <c r="E35" s="483" t="s">
        <v>737</v>
      </c>
      <c r="F35" s="483" t="s">
        <v>737</v>
      </c>
    </row>
    <row r="36" spans="2:7" ht="15" hidden="1">
      <c r="B36" s="498" t="s">
        <v>753</v>
      </c>
      <c r="C36" s="497" t="s">
        <v>754</v>
      </c>
      <c r="D36" s="496">
        <v>43983</v>
      </c>
      <c r="E36" s="483" t="s">
        <v>737</v>
      </c>
      <c r="F36" s="483" t="s">
        <v>737</v>
      </c>
    </row>
    <row r="37" spans="2:7" ht="15">
      <c r="B37" s="498" t="s">
        <v>756</v>
      </c>
      <c r="C37" s="497" t="s">
        <v>867</v>
      </c>
      <c r="D37" s="496">
        <v>43983</v>
      </c>
      <c r="E37" s="483" t="s">
        <v>737</v>
      </c>
      <c r="F37" s="945" t="s">
        <v>872</v>
      </c>
      <c r="G37" s="58" t="s">
        <v>866</v>
      </c>
    </row>
    <row r="38" spans="2:7" ht="15">
      <c r="B38" s="498" t="s">
        <v>757</v>
      </c>
      <c r="C38" s="497" t="s">
        <v>583</v>
      </c>
      <c r="D38" s="496">
        <v>43983</v>
      </c>
      <c r="E38" s="483" t="s">
        <v>737</v>
      </c>
      <c r="F38" s="945" t="s">
        <v>872</v>
      </c>
      <c r="G38" s="58" t="s">
        <v>866</v>
      </c>
    </row>
    <row r="39" spans="2:7" ht="15">
      <c r="B39" s="498" t="s">
        <v>759</v>
      </c>
      <c r="C39" s="497" t="s">
        <v>873</v>
      </c>
      <c r="D39" s="496">
        <v>43983</v>
      </c>
      <c r="E39" s="483" t="s">
        <v>737</v>
      </c>
      <c r="F39" s="945" t="s">
        <v>872</v>
      </c>
      <c r="G39" s="58" t="s">
        <v>874</v>
      </c>
    </row>
    <row r="40" spans="2:7" ht="15">
      <c r="B40" s="498" t="s">
        <v>758</v>
      </c>
      <c r="C40" s="497" t="s">
        <v>582</v>
      </c>
      <c r="D40" s="496">
        <v>43983</v>
      </c>
      <c r="E40" s="483" t="s">
        <v>737</v>
      </c>
      <c r="F40" s="945" t="s">
        <v>872</v>
      </c>
    </row>
    <row r="41" spans="2:7" ht="15">
      <c r="B41" s="498" t="s">
        <v>760</v>
      </c>
      <c r="C41" s="497" t="s">
        <v>761</v>
      </c>
      <c r="D41" s="496">
        <v>44044</v>
      </c>
      <c r="E41" s="483" t="s">
        <v>737</v>
      </c>
      <c r="F41" s="944" t="s">
        <v>872</v>
      </c>
    </row>
    <row r="42" spans="2:7" ht="15">
      <c r="B42" s="934" t="s">
        <v>763</v>
      </c>
      <c r="C42" s="935" t="s">
        <v>762</v>
      </c>
      <c r="D42" s="936">
        <v>44044</v>
      </c>
      <c r="E42" s="937" t="s">
        <v>737</v>
      </c>
      <c r="F42" s="937" t="s">
        <v>316</v>
      </c>
    </row>
    <row r="43" spans="2:7" ht="15.75" thickBot="1">
      <c r="B43" s="938" t="s">
        <v>763</v>
      </c>
      <c r="C43" s="939" t="s">
        <v>762</v>
      </c>
      <c r="D43" s="940">
        <v>44044</v>
      </c>
      <c r="E43" s="941" t="s">
        <v>737</v>
      </c>
      <c r="F43" s="941" t="s">
        <v>316</v>
      </c>
    </row>
    <row r="44" spans="2:7" ht="15">
      <c r="B44" s="946" t="s">
        <v>753</v>
      </c>
      <c r="C44" s="947" t="s">
        <v>875</v>
      </c>
      <c r="D44" s="496">
        <v>44044</v>
      </c>
      <c r="E44" s="483" t="s">
        <v>737</v>
      </c>
      <c r="F44" s="945" t="s">
        <v>872</v>
      </c>
      <c r="G44" s="453" t="s">
        <v>876</v>
      </c>
    </row>
    <row r="45" spans="2:7" ht="15" thickBot="1"/>
    <row r="46" spans="2:7" ht="19.5" thickBot="1">
      <c r="B46" s="1072" t="s">
        <v>610</v>
      </c>
      <c r="C46" s="1073"/>
      <c r="D46" s="1073"/>
      <c r="E46" s="1074"/>
    </row>
    <row r="47" spans="2:7" ht="15">
      <c r="B47" s="472" t="s">
        <v>611</v>
      </c>
      <c r="C47" s="473" t="s">
        <v>4</v>
      </c>
      <c r="D47" s="456" t="s">
        <v>5</v>
      </c>
      <c r="E47" s="456" t="s">
        <v>735</v>
      </c>
    </row>
    <row r="48" spans="2:7" ht="15">
      <c r="B48" s="493">
        <v>1</v>
      </c>
      <c r="C48" s="494" t="s">
        <v>863</v>
      </c>
      <c r="D48" s="502">
        <v>44166</v>
      </c>
      <c r="E48" s="503" t="s">
        <v>737</v>
      </c>
      <c r="G48" s="453" t="s">
        <v>869</v>
      </c>
    </row>
    <row r="49" spans="2:5" ht="15">
      <c r="B49" s="493"/>
      <c r="C49" s="460"/>
      <c r="D49" s="460"/>
      <c r="E49" s="495"/>
    </row>
    <row r="50" spans="2:5" ht="15">
      <c r="B50" s="474"/>
      <c r="E50" s="500"/>
    </row>
    <row r="51" spans="2:5" ht="15">
      <c r="B51" s="474"/>
      <c r="C51" s="501"/>
      <c r="D51" s="501"/>
      <c r="E51" s="488"/>
    </row>
    <row r="52" spans="2:5" ht="15">
      <c r="B52" s="474"/>
      <c r="C52" s="501"/>
      <c r="D52" s="501"/>
      <c r="E52" s="488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15" t="str" cm="1">
        <f t="array" ref="C3">INDEX(C5:C7,$A$4)</f>
        <v>IE</v>
      </c>
      <c r="D3" s="415" t="str" cm="1">
        <f t="array" ref="D3">INDEX(D5:D7,$A$4)</f>
        <v>National</v>
      </c>
      <c r="E3" s="415" t="str" cm="1">
        <f t="array" ref="E3">INDEX(E5:E7,$A$4)</f>
        <v>IE-CW</v>
      </c>
      <c r="F3" s="415" t="str" cm="1">
        <f t="array" ref="F3">INDEX(F5:F7,$A$4)</f>
        <v>IE-D</v>
      </c>
      <c r="G3" s="415" t="str" cm="1">
        <f t="array" ref="G3">INDEX(G5:G7,$A$4)</f>
        <v>IE-KE</v>
      </c>
      <c r="H3" s="415" t="str" cm="1">
        <f t="array" ref="H3">INDEX(H5:H7,$A$4)</f>
        <v>IE-KK</v>
      </c>
      <c r="I3" s="415" t="str" cm="1">
        <f t="array" ref="I3">INDEX(I5:I7,$A$4)</f>
        <v>IE-LS</v>
      </c>
      <c r="J3" s="415" t="str" cm="1">
        <f t="array" ref="J3">INDEX(J5:J7,$A$4)</f>
        <v>IE-LD</v>
      </c>
      <c r="K3" s="415" t="str" cm="1">
        <f t="array" ref="K3">INDEX(K5:K7,$A$4)</f>
        <v>IE-LH</v>
      </c>
      <c r="L3" s="415" t="str" cm="1">
        <f t="array" ref="L3">INDEX(L5:L7,$A$4)</f>
        <v>IE-MH</v>
      </c>
      <c r="M3" s="415" t="str" cm="1">
        <f t="array" ref="M3">INDEX(M5:M7,$A$4)</f>
        <v>IE-OY</v>
      </c>
      <c r="N3" s="415" t="str" cm="1">
        <f t="array" ref="N3">INDEX(N5:N7,$A$4)</f>
        <v>IE-WH</v>
      </c>
      <c r="O3" s="415" t="str" cm="1">
        <f t="array" ref="O3">INDEX(O5:O7,$A$4)</f>
        <v>IE-WX</v>
      </c>
      <c r="P3" s="415" t="str" cm="1">
        <f t="array" ref="P3">INDEX(P5:P7,$A$4)</f>
        <v>IE-WW</v>
      </c>
      <c r="Q3" s="415" t="str" cm="1">
        <f t="array" ref="Q3">INDEX(Q5:Q7,$A$4)</f>
        <v>IE-CE</v>
      </c>
      <c r="R3" s="415" t="str" cm="1">
        <f t="array" ref="R3">INDEX(R5:R7,$A$4)</f>
        <v>IE-CO</v>
      </c>
      <c r="S3" s="415" t="str" cm="1">
        <f t="array" ref="S3">INDEX(S5:S7,$A$4)</f>
        <v>IE-KY</v>
      </c>
      <c r="T3" s="415" t="str" cm="1">
        <f t="array" ref="T3">INDEX(T5:T7,$A$4)</f>
        <v>IE-LK</v>
      </c>
      <c r="U3" s="415" t="str" cm="1">
        <f t="array" ref="U3">INDEX(U5:U7,$A$4)</f>
        <v>IE-TA</v>
      </c>
      <c r="V3" s="415" t="str" cm="1">
        <f t="array" ref="V3">INDEX(V5:V7,$A$4)</f>
        <v>IE-WD</v>
      </c>
      <c r="W3" s="415" t="str" cm="1">
        <f t="array" ref="W3">INDEX(W5:W7,$A$4)</f>
        <v>IE-G</v>
      </c>
      <c r="X3" s="415" t="str" cm="1">
        <f t="array" ref="X3">INDEX(X5:X7,$A$4)</f>
        <v>IE-LM</v>
      </c>
      <c r="Y3" s="415" t="str" cm="1">
        <f t="array" ref="Y3">INDEX(Y5:Y7,$A$4)</f>
        <v>IE-MO</v>
      </c>
      <c r="Z3" s="415" t="str" cm="1">
        <f t="array" ref="Z3">INDEX(Z5:Z7,$A$4)</f>
        <v>IE-RN</v>
      </c>
      <c r="AA3" s="415" t="str" cm="1">
        <f t="array" ref="AA3">INDEX(AA5:AA7,$A$4)</f>
        <v>IE-SO</v>
      </c>
      <c r="AB3" s="415" t="str" cm="1">
        <f t="array" ref="AB3">INDEX(AB5:AB7,$A$4)</f>
        <v>IE-CN</v>
      </c>
      <c r="AC3" s="415" t="str" cm="1">
        <f t="array" ref="AC3">INDEX(AC5:AC7,$A$4)</f>
        <v>IE-DL</v>
      </c>
      <c r="AD3" s="415" t="str" cm="1">
        <f t="array" ref="AD3">INDEX(AD5:AD7,$A$4)</f>
        <v>IE-MN</v>
      </c>
    </row>
    <row r="4" spans="1:30">
      <c r="A4">
        <v>1</v>
      </c>
    </row>
    <row r="5" spans="1:30" ht="15">
      <c r="A5" t="s">
        <v>662</v>
      </c>
      <c r="C5" s="416" t="s">
        <v>194</v>
      </c>
      <c r="D5" s="416" t="s">
        <v>663</v>
      </c>
      <c r="E5" s="415" t="str">
        <f>A11</f>
        <v>IE-CW</v>
      </c>
      <c r="F5" s="415" t="str">
        <f>A16</f>
        <v>IE-D</v>
      </c>
      <c r="G5" s="415" t="str">
        <f>A19</f>
        <v>IE-KE</v>
      </c>
      <c r="H5" s="415" t="str">
        <f>A20</f>
        <v>IE-KK</v>
      </c>
      <c r="I5" s="415" t="str">
        <f>A21</f>
        <v>IE-LS</v>
      </c>
      <c r="J5" s="415" t="str">
        <f>A24</f>
        <v>IE-LD</v>
      </c>
      <c r="K5" s="415" t="str">
        <f>A25</f>
        <v>IE-LH</v>
      </c>
      <c r="L5" s="415" t="str">
        <f>A27</f>
        <v>IE-MH</v>
      </c>
      <c r="M5" s="415" t="str">
        <f>A29</f>
        <v>IE-OY</v>
      </c>
      <c r="N5" s="415" t="str">
        <f>A34</f>
        <v>IE-WH</v>
      </c>
      <c r="O5" s="415" t="str">
        <f>A35</f>
        <v>IE-WX</v>
      </c>
      <c r="P5" s="415" t="str">
        <f>A36</f>
        <v>IE-WW</v>
      </c>
      <c r="Q5" s="415" t="str">
        <f>A13</f>
        <v>IE-CE</v>
      </c>
      <c r="R5" s="415" t="str">
        <f>A14</f>
        <v>IE-CO</v>
      </c>
      <c r="S5" s="415" t="str">
        <f>A18</f>
        <v>IE-KY</v>
      </c>
      <c r="T5" s="415" t="str">
        <f>A23</f>
        <v>IE-LK</v>
      </c>
      <c r="U5" s="415" t="str">
        <f>A32</f>
        <v>IE-TA</v>
      </c>
      <c r="V5" s="415" t="str">
        <f>A33</f>
        <v>IE-WD</v>
      </c>
      <c r="W5" s="415" t="str">
        <f>A17</f>
        <v>IE-G</v>
      </c>
      <c r="X5" s="415" t="str">
        <f>A22</f>
        <v>IE-LM</v>
      </c>
      <c r="Y5" s="415" t="str">
        <f>A26</f>
        <v>IE-MO</v>
      </c>
      <c r="Z5" s="415" t="str">
        <f>A30</f>
        <v>IE-RN</v>
      </c>
      <c r="AA5" s="415" t="str">
        <f>A31</f>
        <v>IE-SO</v>
      </c>
      <c r="AB5" s="415" t="str">
        <f>A12</f>
        <v>IE-CN</v>
      </c>
      <c r="AC5" s="415" t="str">
        <f>A15</f>
        <v>IE-DL</v>
      </c>
      <c r="AD5" s="415" t="str">
        <f>A28</f>
        <v>IE-MN</v>
      </c>
    </row>
    <row r="6" spans="1:30" ht="15">
      <c r="A6" t="s">
        <v>664</v>
      </c>
      <c r="C6" s="415" t="str">
        <f>C5</f>
        <v>IE</v>
      </c>
      <c r="D6" s="415" t="str">
        <f>"*"&amp;D5</f>
        <v>*National</v>
      </c>
      <c r="E6" s="415" t="str">
        <f>"*"&amp;E5</f>
        <v>*IE-CW</v>
      </c>
      <c r="F6" s="415" t="str">
        <f t="shared" ref="F6:AD6" si="0">"*"&amp;F5</f>
        <v>*IE-D</v>
      </c>
      <c r="G6" s="415" t="str">
        <f t="shared" si="0"/>
        <v>*IE-KE</v>
      </c>
      <c r="H6" s="415" t="str">
        <f t="shared" si="0"/>
        <v>*IE-KK</v>
      </c>
      <c r="I6" s="415" t="str">
        <f t="shared" si="0"/>
        <v>*IE-LS</v>
      </c>
      <c r="J6" s="415" t="str">
        <f t="shared" si="0"/>
        <v>*IE-LD</v>
      </c>
      <c r="K6" s="415" t="str">
        <f t="shared" si="0"/>
        <v>*IE-LH</v>
      </c>
      <c r="L6" s="415" t="str">
        <f t="shared" si="0"/>
        <v>*IE-MH</v>
      </c>
      <c r="M6" s="415" t="str">
        <f t="shared" si="0"/>
        <v>*IE-OY</v>
      </c>
      <c r="N6" s="415" t="str">
        <f t="shared" si="0"/>
        <v>*IE-WH</v>
      </c>
      <c r="O6" s="415" t="str">
        <f t="shared" si="0"/>
        <v>*IE-WX</v>
      </c>
      <c r="P6" s="415" t="str">
        <f t="shared" si="0"/>
        <v>*IE-WW</v>
      </c>
      <c r="Q6" s="415" t="str">
        <f t="shared" si="0"/>
        <v>*IE-CE</v>
      </c>
      <c r="R6" s="415" t="str">
        <f t="shared" si="0"/>
        <v>*IE-CO</v>
      </c>
      <c r="S6" s="415" t="str">
        <f t="shared" si="0"/>
        <v>*IE-KY</v>
      </c>
      <c r="T6" s="415" t="str">
        <f t="shared" si="0"/>
        <v>*IE-LK</v>
      </c>
      <c r="U6" s="415" t="str">
        <f t="shared" si="0"/>
        <v>*IE-TA</v>
      </c>
      <c r="V6" s="415" t="str">
        <f t="shared" si="0"/>
        <v>*IE-WD</v>
      </c>
      <c r="W6" s="415" t="str">
        <f t="shared" si="0"/>
        <v>*IE-G</v>
      </c>
      <c r="X6" s="415" t="str">
        <f t="shared" si="0"/>
        <v>*IE-LM</v>
      </c>
      <c r="Y6" s="415" t="str">
        <f t="shared" si="0"/>
        <v>*IE-MO</v>
      </c>
      <c r="Z6" s="415" t="str">
        <f t="shared" si="0"/>
        <v>*IE-RN</v>
      </c>
      <c r="AA6" s="415" t="str">
        <f t="shared" si="0"/>
        <v>*IE-SO</v>
      </c>
      <c r="AB6" s="415" t="str">
        <f t="shared" si="0"/>
        <v>*IE-CN</v>
      </c>
      <c r="AC6" s="415" t="str">
        <f t="shared" si="0"/>
        <v>*IE-DL</v>
      </c>
      <c r="AD6" s="415" t="str">
        <f t="shared" si="0"/>
        <v>*IE-MN</v>
      </c>
    </row>
    <row r="7" spans="1:30" ht="15">
      <c r="A7" t="s">
        <v>665</v>
      </c>
      <c r="C7" s="415" t="str">
        <f>"*"&amp;C5</f>
        <v>*IE</v>
      </c>
      <c r="D7" s="415" t="str">
        <f>D5</f>
        <v>National</v>
      </c>
      <c r="E7" s="415" t="str">
        <f t="shared" ref="E7:AD7" si="1">E5</f>
        <v>IE-CW</v>
      </c>
      <c r="F7" s="415" t="str">
        <f t="shared" si="1"/>
        <v>IE-D</v>
      </c>
      <c r="G7" s="415" t="str">
        <f t="shared" si="1"/>
        <v>IE-KE</v>
      </c>
      <c r="H7" s="415" t="str">
        <f t="shared" si="1"/>
        <v>IE-KK</v>
      </c>
      <c r="I7" s="415" t="str">
        <f t="shared" si="1"/>
        <v>IE-LS</v>
      </c>
      <c r="J7" s="415" t="str">
        <f t="shared" si="1"/>
        <v>IE-LD</v>
      </c>
      <c r="K7" s="415" t="str">
        <f t="shared" si="1"/>
        <v>IE-LH</v>
      </c>
      <c r="L7" s="415" t="str">
        <f t="shared" si="1"/>
        <v>IE-MH</v>
      </c>
      <c r="M7" s="415" t="str">
        <f t="shared" si="1"/>
        <v>IE-OY</v>
      </c>
      <c r="N7" s="415" t="str">
        <f t="shared" si="1"/>
        <v>IE-WH</v>
      </c>
      <c r="O7" s="415" t="str">
        <f t="shared" si="1"/>
        <v>IE-WX</v>
      </c>
      <c r="P7" s="415" t="str">
        <f t="shared" si="1"/>
        <v>IE-WW</v>
      </c>
      <c r="Q7" s="415" t="str">
        <f t="shared" si="1"/>
        <v>IE-CE</v>
      </c>
      <c r="R7" s="415" t="str">
        <f t="shared" si="1"/>
        <v>IE-CO</v>
      </c>
      <c r="S7" s="415" t="str">
        <f t="shared" si="1"/>
        <v>IE-KY</v>
      </c>
      <c r="T7" s="415" t="str">
        <f t="shared" si="1"/>
        <v>IE-LK</v>
      </c>
      <c r="U7" s="415" t="str">
        <f t="shared" si="1"/>
        <v>IE-TA</v>
      </c>
      <c r="V7" s="415" t="str">
        <f t="shared" si="1"/>
        <v>IE-WD</v>
      </c>
      <c r="W7" s="415" t="str">
        <f t="shared" si="1"/>
        <v>IE-G</v>
      </c>
      <c r="X7" s="415" t="str">
        <f t="shared" si="1"/>
        <v>IE-LM</v>
      </c>
      <c r="Y7" s="415" t="str">
        <f t="shared" si="1"/>
        <v>IE-MO</v>
      </c>
      <c r="Z7" s="415" t="str">
        <f t="shared" si="1"/>
        <v>IE-RN</v>
      </c>
      <c r="AA7" s="415" t="str">
        <f t="shared" si="1"/>
        <v>IE-SO</v>
      </c>
      <c r="AB7" s="415" t="str">
        <f t="shared" si="1"/>
        <v>IE-CN</v>
      </c>
      <c r="AC7" s="415" t="str">
        <f t="shared" si="1"/>
        <v>IE-DL</v>
      </c>
      <c r="AD7" s="415" t="str">
        <f t="shared" si="1"/>
        <v>IE-MN</v>
      </c>
    </row>
    <row r="10" spans="1:30" ht="15.75" thickBot="1">
      <c r="A10" s="417" t="s">
        <v>633</v>
      </c>
      <c r="B10" s="417" t="s">
        <v>666</v>
      </c>
    </row>
    <row r="11" spans="1:30">
      <c r="A11" s="418" t="s">
        <v>667</v>
      </c>
      <c r="B11" s="418" t="s">
        <v>296</v>
      </c>
    </row>
    <row r="12" spans="1:30">
      <c r="A12" s="419" t="s">
        <v>668</v>
      </c>
      <c r="B12" s="419" t="s">
        <v>308</v>
      </c>
    </row>
    <row r="13" spans="1:30">
      <c r="A13" s="419" t="s">
        <v>669</v>
      </c>
      <c r="B13" s="419" t="s">
        <v>326</v>
      </c>
    </row>
    <row r="14" spans="1:30">
      <c r="A14" s="419" t="s">
        <v>670</v>
      </c>
      <c r="B14" s="419" t="s">
        <v>330</v>
      </c>
    </row>
    <row r="15" spans="1:30">
      <c r="A15" s="419" t="s">
        <v>671</v>
      </c>
      <c r="B15" s="419" t="s">
        <v>334</v>
      </c>
    </row>
    <row r="16" spans="1:30">
      <c r="A16" s="419" t="s">
        <v>672</v>
      </c>
      <c r="B16" s="419" t="s">
        <v>338</v>
      </c>
    </row>
    <row r="17" spans="1:2">
      <c r="A17" s="419" t="s">
        <v>673</v>
      </c>
      <c r="B17" s="419" t="s">
        <v>340</v>
      </c>
    </row>
    <row r="18" spans="1:2">
      <c r="A18" s="419" t="s">
        <v>674</v>
      </c>
      <c r="B18" s="419" t="s">
        <v>341</v>
      </c>
    </row>
    <row r="19" spans="1:2">
      <c r="A19" s="419" t="s">
        <v>675</v>
      </c>
      <c r="B19" s="419" t="s">
        <v>327</v>
      </c>
    </row>
    <row r="20" spans="1:2">
      <c r="A20" s="419" t="s">
        <v>676</v>
      </c>
      <c r="B20" s="419" t="s">
        <v>328</v>
      </c>
    </row>
    <row r="21" spans="1:2">
      <c r="A21" s="419" t="s">
        <v>677</v>
      </c>
      <c r="B21" s="419" t="s">
        <v>329</v>
      </c>
    </row>
    <row r="22" spans="1:2">
      <c r="A22" s="419" t="s">
        <v>678</v>
      </c>
      <c r="B22" s="419" t="s">
        <v>345</v>
      </c>
    </row>
    <row r="23" spans="1:2">
      <c r="A23" s="419" t="s">
        <v>679</v>
      </c>
      <c r="B23" s="419" t="s">
        <v>342</v>
      </c>
    </row>
    <row r="24" spans="1:2">
      <c r="A24" s="419" t="s">
        <v>680</v>
      </c>
      <c r="B24" s="419" t="s">
        <v>331</v>
      </c>
    </row>
    <row r="25" spans="1:2">
      <c r="A25" s="419" t="s">
        <v>681</v>
      </c>
      <c r="B25" s="419" t="s">
        <v>332</v>
      </c>
    </row>
    <row r="26" spans="1:2">
      <c r="A26" s="419" t="s">
        <v>682</v>
      </c>
      <c r="B26" s="419" t="s">
        <v>346</v>
      </c>
    </row>
    <row r="27" spans="1:2">
      <c r="A27" s="419" t="s">
        <v>683</v>
      </c>
      <c r="B27" s="419" t="s">
        <v>333</v>
      </c>
    </row>
    <row r="28" spans="1:2">
      <c r="A28" s="419" t="s">
        <v>684</v>
      </c>
      <c r="B28" s="419" t="s">
        <v>349</v>
      </c>
    </row>
    <row r="29" spans="1:2">
      <c r="A29" s="419" t="s">
        <v>685</v>
      </c>
      <c r="B29" s="419" t="s">
        <v>335</v>
      </c>
    </row>
    <row r="30" spans="1:2">
      <c r="A30" s="419" t="s">
        <v>686</v>
      </c>
      <c r="B30" s="419" t="s">
        <v>347</v>
      </c>
    </row>
    <row r="31" spans="1:2">
      <c r="A31" s="419" t="s">
        <v>687</v>
      </c>
      <c r="B31" s="419" t="s">
        <v>348</v>
      </c>
    </row>
    <row r="32" spans="1:2">
      <c r="A32" s="419" t="s">
        <v>688</v>
      </c>
      <c r="B32" s="419" t="s">
        <v>343</v>
      </c>
    </row>
    <row r="33" spans="1:2">
      <c r="A33" s="419" t="s">
        <v>689</v>
      </c>
      <c r="B33" s="419" t="s">
        <v>344</v>
      </c>
    </row>
    <row r="34" spans="1:2">
      <c r="A34" s="419" t="s">
        <v>690</v>
      </c>
      <c r="B34" s="419" t="s">
        <v>336</v>
      </c>
    </row>
    <row r="35" spans="1:2">
      <c r="A35" s="419" t="s">
        <v>691</v>
      </c>
      <c r="B35" s="419" t="s">
        <v>337</v>
      </c>
    </row>
    <row r="36" spans="1:2">
      <c r="A36" s="419" t="s">
        <v>692</v>
      </c>
      <c r="B36" s="419" t="s">
        <v>339</v>
      </c>
    </row>
    <row r="37" spans="1:2" ht="15">
      <c r="A37" s="420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2"/>
  <sheetViews>
    <sheetView topLeftCell="A47" workbookViewId="0">
      <selection activeCell="C86" sqref="C86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079" t="s">
        <v>23</v>
      </c>
      <c r="B1" s="1080"/>
      <c r="C1" s="1080"/>
    </row>
    <row r="2" spans="1:3" s="47" customFormat="1">
      <c r="A2" s="870" t="s">
        <v>612</v>
      </c>
      <c r="B2" s="870" t="s">
        <v>24</v>
      </c>
      <c r="C2" s="870" t="s">
        <v>4</v>
      </c>
    </row>
    <row r="3" spans="1:3">
      <c r="A3"/>
      <c r="B3" s="234" t="s">
        <v>575</v>
      </c>
      <c r="C3" s="235" t="s">
        <v>1</v>
      </c>
    </row>
    <row r="4" spans="1:3">
      <c r="A4"/>
      <c r="B4" s="234" t="s">
        <v>706</v>
      </c>
      <c r="C4" s="234" t="s">
        <v>634</v>
      </c>
    </row>
    <row r="5" spans="1:3">
      <c r="A5"/>
      <c r="B5" s="234" t="s">
        <v>617</v>
      </c>
      <c r="C5" s="234" t="s">
        <v>616</v>
      </c>
    </row>
    <row r="6" spans="1:3">
      <c r="A6" s="870"/>
      <c r="B6" s="870" t="s">
        <v>24</v>
      </c>
      <c r="C6" s="870" t="s">
        <v>4</v>
      </c>
    </row>
    <row r="7" spans="1:3">
      <c r="A7" s="1081" t="s">
        <v>25</v>
      </c>
      <c r="B7" s="1082"/>
      <c r="C7" s="1083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5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5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5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5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5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5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5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5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5">
      <c r="A25" s="255"/>
      <c r="B25" s="236" t="s">
        <v>495</v>
      </c>
      <c r="C25" s="236" t="s">
        <v>426</v>
      </c>
    </row>
    <row r="26" spans="1:5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5">
      <c r="A27" s="255"/>
      <c r="B27" s="236" t="str">
        <f>B3&amp;RSD_Balance!A27</f>
        <v>RSDHET</v>
      </c>
      <c r="C27" s="236" t="str">
        <f>TRIM(RSD_Balance!B27&amp;" to "&amp;C3)</f>
        <v>Heat to Residential</v>
      </c>
    </row>
    <row r="28" spans="1:5">
      <c r="A28" s="1081" t="s">
        <v>26</v>
      </c>
      <c r="B28" s="1082"/>
      <c r="C28" s="1083"/>
    </row>
    <row r="29" spans="1:5">
      <c r="A29" s="255"/>
      <c r="B29" s="236" t="s">
        <v>27</v>
      </c>
      <c r="C29" s="236" t="s">
        <v>28</v>
      </c>
    </row>
    <row r="30" spans="1:5">
      <c r="A30" s="255"/>
      <c r="B30" s="236" t="s">
        <v>29</v>
      </c>
      <c r="C30" s="236" t="s">
        <v>30</v>
      </c>
    </row>
    <row r="31" spans="1:5">
      <c r="A31" s="255"/>
      <c r="B31" s="236" t="s">
        <v>33</v>
      </c>
      <c r="C31" s="236" t="s">
        <v>34</v>
      </c>
      <c r="E31" s="255"/>
    </row>
    <row r="32" spans="1:5">
      <c r="A32" s="255"/>
      <c r="B32" s="236" t="s">
        <v>31</v>
      </c>
      <c r="C32" s="236" t="s">
        <v>32</v>
      </c>
    </row>
    <row r="33" spans="1:3">
      <c r="A33" s="255"/>
      <c r="B33" s="236" t="s">
        <v>35</v>
      </c>
      <c r="C33" s="236" t="s">
        <v>36</v>
      </c>
    </row>
    <row r="34" spans="1:3">
      <c r="A34" s="255"/>
      <c r="B34" s="236" t="s">
        <v>37</v>
      </c>
      <c r="C34" s="236" t="s">
        <v>38</v>
      </c>
    </row>
    <row r="35" spans="1:3">
      <c r="A35" s="1081" t="s">
        <v>39</v>
      </c>
      <c r="B35" s="1082"/>
      <c r="C35" s="1083"/>
    </row>
    <row r="36" spans="1:3">
      <c r="A36" s="255" t="s">
        <v>40</v>
      </c>
      <c r="B36" s="236" t="s">
        <v>41</v>
      </c>
      <c r="C36" s="236" t="s">
        <v>42</v>
      </c>
    </row>
    <row r="37" spans="1:3">
      <c r="A37" s="255"/>
      <c r="B37" s="236" t="s">
        <v>43</v>
      </c>
      <c r="C37" s="236" t="s">
        <v>44</v>
      </c>
    </row>
    <row r="38" spans="1:3">
      <c r="A38" s="255"/>
      <c r="B38" s="236" t="s">
        <v>45</v>
      </c>
      <c r="C38" s="236" t="s">
        <v>46</v>
      </c>
    </row>
    <row r="39" spans="1:3">
      <c r="A39" s="1081" t="s">
        <v>47</v>
      </c>
      <c r="B39" s="1082"/>
      <c r="C39" s="1083"/>
    </row>
    <row r="40" spans="1:3">
      <c r="A40" s="255" t="s">
        <v>40</v>
      </c>
      <c r="B40" s="236" t="s">
        <v>48</v>
      </c>
      <c r="C40" s="252" t="s">
        <v>49</v>
      </c>
    </row>
    <row r="41" spans="1:3">
      <c r="A41" s="255"/>
      <c r="B41" s="236" t="s">
        <v>50</v>
      </c>
      <c r="C41" s="252" t="s">
        <v>51</v>
      </c>
    </row>
    <row r="42" spans="1:3">
      <c r="A42" s="255"/>
      <c r="B42" s="236" t="s">
        <v>52</v>
      </c>
      <c r="C42" s="252" t="s">
        <v>53</v>
      </c>
    </row>
    <row r="43" spans="1:3">
      <c r="A43" s="255"/>
      <c r="B43" s="236" t="s">
        <v>54</v>
      </c>
      <c r="C43" s="252" t="s">
        <v>55</v>
      </c>
    </row>
    <row r="44" spans="1:3">
      <c r="A44" s="255"/>
      <c r="B44" s="236" t="s">
        <v>56</v>
      </c>
      <c r="C44" s="252" t="s">
        <v>57</v>
      </c>
    </row>
    <row r="45" spans="1:3">
      <c r="A45" s="255"/>
      <c r="B45" s="236" t="s">
        <v>58</v>
      </c>
      <c r="C45" s="252" t="s">
        <v>59</v>
      </c>
    </row>
    <row r="46" spans="1:3">
      <c r="A46" s="255"/>
      <c r="B46" s="236" t="s">
        <v>60</v>
      </c>
      <c r="C46" s="252" t="s">
        <v>61</v>
      </c>
    </row>
    <row r="47" spans="1:3">
      <c r="A47" s="255"/>
      <c r="B47" s="236" t="s">
        <v>62</v>
      </c>
      <c r="C47" s="252" t="s">
        <v>63</v>
      </c>
    </row>
    <row r="48" spans="1:3">
      <c r="A48" s="255"/>
      <c r="B48" s="236" t="s">
        <v>64</v>
      </c>
      <c r="C48" s="252" t="s">
        <v>65</v>
      </c>
    </row>
    <row r="49" spans="1:3">
      <c r="A49" s="1081" t="s">
        <v>66</v>
      </c>
      <c r="B49" s="1082"/>
      <c r="C49" s="1083"/>
    </row>
    <row r="50" spans="1:3">
      <c r="A50" s="255"/>
      <c r="B50" s="237" t="s">
        <v>719</v>
      </c>
      <c r="C50" s="236" t="s">
        <v>219</v>
      </c>
    </row>
    <row r="51" spans="1:3">
      <c r="A51" s="437" t="s">
        <v>254</v>
      </c>
      <c r="B51" s="237" t="s">
        <v>720</v>
      </c>
      <c r="C51" s="236" t="s">
        <v>730</v>
      </c>
    </row>
    <row r="52" spans="1:3">
      <c r="A52" s="255"/>
      <c r="B52" s="237" t="s">
        <v>721</v>
      </c>
      <c r="C52" s="236" t="s">
        <v>220</v>
      </c>
    </row>
    <row r="53" spans="1:3">
      <c r="A53" s="255"/>
      <c r="B53" s="237" t="s">
        <v>723</v>
      </c>
      <c r="C53" s="236" t="s">
        <v>221</v>
      </c>
    </row>
    <row r="54" spans="1:3">
      <c r="A54" s="255"/>
      <c r="B54" s="237" t="s">
        <v>722</v>
      </c>
      <c r="C54" s="236" t="s">
        <v>222</v>
      </c>
    </row>
    <row r="55" spans="1:3">
      <c r="A55" s="255"/>
      <c r="B55" s="237" t="s">
        <v>724</v>
      </c>
      <c r="C55" s="236" t="s">
        <v>224</v>
      </c>
    </row>
    <row r="56" spans="1:3">
      <c r="A56" s="255"/>
      <c r="B56" s="237" t="s">
        <v>725</v>
      </c>
      <c r="C56" s="236" t="s">
        <v>223</v>
      </c>
    </row>
    <row r="57" spans="1:3">
      <c r="A57" s="255"/>
      <c r="B57" s="237" t="s">
        <v>726</v>
      </c>
      <c r="C57" s="236" t="s">
        <v>225</v>
      </c>
    </row>
    <row r="58" spans="1:3">
      <c r="A58" s="255"/>
      <c r="B58" s="237" t="s">
        <v>67</v>
      </c>
      <c r="C58" s="236" t="s">
        <v>226</v>
      </c>
    </row>
    <row r="59" spans="1:3">
      <c r="A59" s="255"/>
      <c r="B59" s="237" t="s">
        <v>727</v>
      </c>
      <c r="C59" s="236" t="s">
        <v>227</v>
      </c>
    </row>
    <row r="60" spans="1:3">
      <c r="A60" s="255"/>
      <c r="B60" s="237" t="s">
        <v>728</v>
      </c>
      <c r="C60" s="236" t="s">
        <v>731</v>
      </c>
    </row>
    <row r="61" spans="1:3">
      <c r="A61" s="437" t="s">
        <v>254</v>
      </c>
      <c r="B61" s="237" t="s">
        <v>729</v>
      </c>
      <c r="C61" s="236" t="s">
        <v>732</v>
      </c>
    </row>
    <row r="62" spans="1:3">
      <c r="A62" s="1081" t="s">
        <v>68</v>
      </c>
      <c r="B62" s="1082"/>
      <c r="C62" s="1083"/>
    </row>
    <row r="63" spans="1:3">
      <c r="A63" s="1081" t="s">
        <v>69</v>
      </c>
      <c r="B63" s="1082"/>
      <c r="C63" s="1083"/>
    </row>
    <row r="64" spans="1:3">
      <c r="A64" s="255"/>
      <c r="B64" s="236" t="s">
        <v>70</v>
      </c>
      <c r="C64" s="237" t="s">
        <v>71</v>
      </c>
    </row>
    <row r="65" spans="1:3">
      <c r="A65" s="255"/>
      <c r="B65" s="236" t="s">
        <v>72</v>
      </c>
      <c r="C65" s="237" t="s">
        <v>73</v>
      </c>
    </row>
    <row r="66" spans="1:3">
      <c r="A66" s="255"/>
      <c r="B66" s="236" t="s">
        <v>74</v>
      </c>
      <c r="C66" s="237" t="s">
        <v>75</v>
      </c>
    </row>
    <row r="67" spans="1:3">
      <c r="A67" s="255"/>
      <c r="B67" s="236" t="s">
        <v>620</v>
      </c>
      <c r="C67" s="237" t="s">
        <v>623</v>
      </c>
    </row>
    <row r="68" spans="1:3">
      <c r="A68" s="255"/>
      <c r="B68" s="236" t="s">
        <v>621</v>
      </c>
      <c r="C68" s="237" t="s">
        <v>624</v>
      </c>
    </row>
    <row r="69" spans="1:3">
      <c r="A69" s="255"/>
      <c r="B69" s="236" t="s">
        <v>622</v>
      </c>
      <c r="C69" s="237" t="s">
        <v>625</v>
      </c>
    </row>
    <row r="70" spans="1:3">
      <c r="A70" s="1081" t="s">
        <v>76</v>
      </c>
      <c r="B70" s="1082"/>
      <c r="C70" s="1083"/>
    </row>
    <row r="71" spans="1:3">
      <c r="A71" s="255" t="s">
        <v>40</v>
      </c>
      <c r="B71" s="237" t="s">
        <v>77</v>
      </c>
      <c r="C71" s="236" t="s">
        <v>78</v>
      </c>
    </row>
    <row r="72" spans="1:3">
      <c r="A72" s="255" t="s">
        <v>40</v>
      </c>
      <c r="B72" s="237" t="s">
        <v>79</v>
      </c>
      <c r="C72" s="236" t="s">
        <v>80</v>
      </c>
    </row>
    <row r="73" spans="1:3">
      <c r="A73" s="256"/>
      <c r="B73" s="237" t="s">
        <v>81</v>
      </c>
      <c r="C73" s="236" t="s">
        <v>82</v>
      </c>
    </row>
    <row r="74" spans="1:3">
      <c r="A74" s="256"/>
      <c r="B74" s="237" t="s">
        <v>83</v>
      </c>
      <c r="C74" s="236" t="s">
        <v>84</v>
      </c>
    </row>
    <row r="75" spans="1:3">
      <c r="A75" s="256"/>
      <c r="B75" s="237" t="s">
        <v>85</v>
      </c>
      <c r="C75" s="236" t="s">
        <v>86</v>
      </c>
    </row>
    <row r="76" spans="1:3">
      <c r="A76" s="1081" t="s">
        <v>487</v>
      </c>
      <c r="B76" s="1082"/>
      <c r="C76" s="1083"/>
    </row>
    <row r="77" spans="1:3">
      <c r="B77" s="237" t="s">
        <v>628</v>
      </c>
      <c r="C77" s="236" t="s">
        <v>485</v>
      </c>
    </row>
    <row r="78" spans="1:3">
      <c r="B78" s="237" t="s">
        <v>486</v>
      </c>
      <c r="C78" s="236" t="s">
        <v>496</v>
      </c>
    </row>
    <row r="79" spans="1:3">
      <c r="B79" s="237" t="s">
        <v>626</v>
      </c>
      <c r="C79" s="236" t="s">
        <v>627</v>
      </c>
    </row>
    <row r="80" spans="1:3">
      <c r="B80" s="237" t="s">
        <v>489</v>
      </c>
      <c r="C80" s="236" t="s">
        <v>488</v>
      </c>
    </row>
    <row r="81" spans="1:3">
      <c r="B81" s="237" t="s">
        <v>629</v>
      </c>
      <c r="C81" s="237" t="s">
        <v>630</v>
      </c>
    </row>
    <row r="82" spans="1:3">
      <c r="B82" s="237" t="s">
        <v>490</v>
      </c>
      <c r="C82" s="237" t="s">
        <v>491</v>
      </c>
    </row>
    <row r="83" spans="1:3">
      <c r="B83" s="237" t="s">
        <v>631</v>
      </c>
      <c r="C83" s="25" t="s">
        <v>632</v>
      </c>
    </row>
    <row r="84" spans="1:3">
      <c r="A84" s="1081" t="s">
        <v>716</v>
      </c>
      <c r="B84" s="1082"/>
      <c r="C84" s="1083"/>
    </row>
    <row r="85" spans="1:3">
      <c r="B85" s="25" t="s">
        <v>717</v>
      </c>
      <c r="C85" s="25" t="s">
        <v>718</v>
      </c>
    </row>
    <row r="89" spans="1:3">
      <c r="C89" t="s">
        <v>40</v>
      </c>
    </row>
    <row r="90" spans="1:3">
      <c r="C90" t="s">
        <v>40</v>
      </c>
    </row>
    <row r="91" spans="1:3">
      <c r="C91" t="s">
        <v>40</v>
      </c>
    </row>
    <row r="92" spans="1:3">
      <c r="C92" t="s">
        <v>40</v>
      </c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K1" workbookViewId="0">
      <selection activeCell="A56" sqref="A56:XFD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26" t="s">
        <v>787</v>
      </c>
      <c r="B1" s="527" t="s">
        <v>788</v>
      </c>
      <c r="C1" s="788" t="s">
        <v>88</v>
      </c>
      <c r="D1" s="791" t="s">
        <v>89</v>
      </c>
      <c r="E1" s="792" t="s">
        <v>789</v>
      </c>
      <c r="F1" s="793" t="s">
        <v>90</v>
      </c>
      <c r="G1" s="793" t="s">
        <v>91</v>
      </c>
      <c r="H1" s="789" t="s">
        <v>92</v>
      </c>
      <c r="I1" s="791" t="s">
        <v>93</v>
      </c>
      <c r="J1" s="792" t="s">
        <v>94</v>
      </c>
      <c r="K1" s="792" t="s">
        <v>95</v>
      </c>
      <c r="L1" s="789" t="s">
        <v>96</v>
      </c>
      <c r="M1" s="791" t="s">
        <v>97</v>
      </c>
      <c r="N1" s="791" t="s">
        <v>790</v>
      </c>
      <c r="O1" s="792" t="s">
        <v>98</v>
      </c>
      <c r="P1" s="792" t="s">
        <v>99</v>
      </c>
      <c r="Q1" s="792" t="s">
        <v>100</v>
      </c>
      <c r="R1" s="792" t="s">
        <v>101</v>
      </c>
      <c r="S1" s="792" t="s">
        <v>102</v>
      </c>
      <c r="T1" s="789" t="s">
        <v>103</v>
      </c>
      <c r="U1" s="792" t="s">
        <v>104</v>
      </c>
      <c r="V1" s="792" t="s">
        <v>105</v>
      </c>
      <c r="W1" s="793" t="s">
        <v>106</v>
      </c>
      <c r="X1" s="793" t="s">
        <v>107</v>
      </c>
      <c r="Y1" s="793" t="s">
        <v>108</v>
      </c>
      <c r="Z1" s="792" t="s">
        <v>109</v>
      </c>
      <c r="AA1" s="789" t="s">
        <v>110</v>
      </c>
      <c r="AB1" s="790" t="s">
        <v>111</v>
      </c>
      <c r="AC1" s="794" t="s">
        <v>112</v>
      </c>
      <c r="AD1" s="792" t="s">
        <v>113</v>
      </c>
      <c r="AE1" s="789" t="s">
        <v>791</v>
      </c>
      <c r="AF1" s="792" t="s">
        <v>792</v>
      </c>
      <c r="AG1" s="792" t="s">
        <v>114</v>
      </c>
      <c r="AH1" s="792" t="s">
        <v>115</v>
      </c>
      <c r="AI1" s="789" t="s">
        <v>793</v>
      </c>
      <c r="AJ1" s="789" t="s">
        <v>794</v>
      </c>
      <c r="AK1" s="789" t="s">
        <v>795</v>
      </c>
      <c r="AL1" s="789" t="s">
        <v>796</v>
      </c>
      <c r="AM1" s="789" t="s">
        <v>797</v>
      </c>
      <c r="AN1" s="789" t="s">
        <v>116</v>
      </c>
      <c r="AO1" s="789" t="s">
        <v>117</v>
      </c>
      <c r="AP1" s="790" t="s">
        <v>118</v>
      </c>
      <c r="AQ1" s="528" t="s">
        <v>119</v>
      </c>
      <c r="AS1" s="2"/>
    </row>
    <row r="2" spans="1:45" ht="12.75" customHeight="1">
      <c r="A2" s="529" t="s">
        <v>120</v>
      </c>
      <c r="B2" s="530"/>
      <c r="C2" s="531">
        <f>SUM(D2:G2)</f>
        <v>0</v>
      </c>
      <c r="D2" s="532">
        <v>0</v>
      </c>
      <c r="E2" s="533"/>
      <c r="F2" s="534"/>
      <c r="G2" s="534"/>
      <c r="H2" s="535">
        <f>SUM(I2:K2)</f>
        <v>815.92434898628403</v>
      </c>
      <c r="I2" s="536">
        <v>688.22034898628408</v>
      </c>
      <c r="J2" s="537">
        <v>127.70399999999999</v>
      </c>
      <c r="K2" s="537"/>
      <c r="L2" s="535">
        <f>SUM(M2:Z2)</f>
        <v>0</v>
      </c>
      <c r="M2" s="536"/>
      <c r="N2" s="538"/>
      <c r="O2" s="539"/>
      <c r="P2" s="539"/>
      <c r="Q2" s="539"/>
      <c r="R2" s="539"/>
      <c r="S2" s="539"/>
      <c r="T2" s="539"/>
      <c r="U2" s="539"/>
      <c r="V2" s="539"/>
      <c r="W2" s="534"/>
      <c r="X2" s="534"/>
      <c r="Y2" s="534"/>
      <c r="Z2" s="537"/>
      <c r="AA2" s="535">
        <v>2751.9191872187112</v>
      </c>
      <c r="AB2" s="540">
        <f>SUM(AC2:AM2)</f>
        <v>1331.2863828445347</v>
      </c>
      <c r="AC2" s="541">
        <v>59.691708987970003</v>
      </c>
      <c r="AD2" s="537">
        <v>743.01992281532614</v>
      </c>
      <c r="AE2" s="537">
        <v>249.68174480509879</v>
      </c>
      <c r="AF2" s="537">
        <v>139.99992739520798</v>
      </c>
      <c r="AG2" s="537">
        <v>33.531818868055431</v>
      </c>
      <c r="AH2" s="537">
        <v>16.813132576534866</v>
      </c>
      <c r="AI2" s="537">
        <v>27.095124147648001</v>
      </c>
      <c r="AJ2" s="537">
        <v>2.6691993220799999</v>
      </c>
      <c r="AK2" s="536">
        <v>1.4323955643044282</v>
      </c>
      <c r="AL2" s="536">
        <v>13.54608560366562</v>
      </c>
      <c r="AM2" s="534">
        <v>43.805322758643676</v>
      </c>
      <c r="AN2" s="542">
        <v>145.43710297949829</v>
      </c>
      <c r="AO2" s="542"/>
      <c r="AP2" s="540"/>
      <c r="AQ2" s="543">
        <f>C2+H2+L2+AA2+AB2+AN2+AO2+AP2</f>
        <v>5044.5670220290285</v>
      </c>
    </row>
    <row r="3" spans="1:45" ht="12.75" customHeight="1">
      <c r="A3" s="544" t="s">
        <v>121</v>
      </c>
      <c r="B3" s="545"/>
      <c r="C3" s="546">
        <f>SUM(D3:G3)</f>
        <v>935.78934491090115</v>
      </c>
      <c r="D3" s="547">
        <v>802.24865041659757</v>
      </c>
      <c r="E3" s="548">
        <v>125.38500136039437</v>
      </c>
      <c r="F3" s="549"/>
      <c r="G3" s="549">
        <v>8.1556931339092724</v>
      </c>
      <c r="H3" s="550">
        <f>SUM(I3:K3)</f>
        <v>0</v>
      </c>
      <c r="I3" s="551"/>
      <c r="J3" s="552"/>
      <c r="K3" s="552"/>
      <c r="L3" s="550">
        <f>SUM(M3:Z3)</f>
        <v>9146.774069288922</v>
      </c>
      <c r="M3" s="551">
        <v>3053.4742963851995</v>
      </c>
      <c r="N3" s="551">
        <v>16.633377499200002</v>
      </c>
      <c r="O3" s="552">
        <v>0</v>
      </c>
      <c r="P3" s="552">
        <v>564.2282843555555</v>
      </c>
      <c r="Q3" s="552">
        <v>369.55541863968</v>
      </c>
      <c r="R3" s="552">
        <v>1543.1782335883197</v>
      </c>
      <c r="S3" s="552">
        <v>82.827948630790956</v>
      </c>
      <c r="T3" s="552">
        <v>157.5463640726893</v>
      </c>
      <c r="U3" s="552">
        <v>2941.4703035056637</v>
      </c>
      <c r="V3" s="552">
        <v>164.48328641762765</v>
      </c>
      <c r="W3" s="549">
        <v>7.5616539426795564</v>
      </c>
      <c r="X3" s="549">
        <v>200.83222211696253</v>
      </c>
      <c r="Y3" s="549">
        <v>1.2281470084248403</v>
      </c>
      <c r="Z3" s="552">
        <v>43.754533126130625</v>
      </c>
      <c r="AA3" s="550">
        <v>1728.338063506957</v>
      </c>
      <c r="AB3" s="553">
        <f>SUM(AC3:AM3)</f>
        <v>150.18873559012798</v>
      </c>
      <c r="AC3" s="554"/>
      <c r="AD3" s="552"/>
      <c r="AE3" s="552">
        <v>23.169037781663999</v>
      </c>
      <c r="AF3" s="552"/>
      <c r="AG3" s="552"/>
      <c r="AH3" s="552"/>
      <c r="AI3" s="552">
        <v>104.16969909062398</v>
      </c>
      <c r="AJ3" s="552">
        <v>22.849998717839998</v>
      </c>
      <c r="AK3" s="551"/>
      <c r="AL3" s="551"/>
      <c r="AM3" s="549"/>
      <c r="AN3" s="555"/>
      <c r="AO3" s="555">
        <v>139.45061680000001</v>
      </c>
      <c r="AP3" s="553"/>
      <c r="AQ3" s="556">
        <f t="shared" ref="AQ3:AQ20" si="0">C3+H3+L3+AA3+AB3+AN3+AO3+AP3</f>
        <v>12100.540830096908</v>
      </c>
    </row>
    <row r="4" spans="1:45" ht="12.75" customHeight="1">
      <c r="A4" s="544" t="s">
        <v>122</v>
      </c>
      <c r="B4" s="545"/>
      <c r="C4" s="546">
        <f>SUM(D4:G4)</f>
        <v>15.186580890896002</v>
      </c>
      <c r="D4" s="547">
        <v>0</v>
      </c>
      <c r="E4" s="557">
        <v>14.097722162000002</v>
      </c>
      <c r="F4" s="549"/>
      <c r="G4" s="549">
        <v>1.0888587288959999</v>
      </c>
      <c r="H4" s="550">
        <f>SUM(I4:K4)</f>
        <v>7.0330680000000001</v>
      </c>
      <c r="I4" s="551"/>
      <c r="J4" s="552"/>
      <c r="K4" s="552">
        <v>7.0330680000000001</v>
      </c>
      <c r="L4" s="550">
        <f>SUM(M4:Z4)</f>
        <v>1717.0624747879344</v>
      </c>
      <c r="M4" s="551">
        <v>0</v>
      </c>
      <c r="N4" s="551">
        <v>0</v>
      </c>
      <c r="O4" s="552"/>
      <c r="P4" s="552">
        <v>364.52221864444448</v>
      </c>
      <c r="Q4" s="552">
        <v>21.672508399360005</v>
      </c>
      <c r="R4" s="552">
        <v>156.29379915984001</v>
      </c>
      <c r="S4" s="552">
        <v>986.60611760112999</v>
      </c>
      <c r="T4" s="552">
        <v>35.289733288720633</v>
      </c>
      <c r="U4" s="552">
        <v>102.14625414775992</v>
      </c>
      <c r="V4" s="552">
        <v>2.9088437938490893E-3</v>
      </c>
      <c r="W4" s="549">
        <v>36.297317128453038</v>
      </c>
      <c r="X4" s="549">
        <v>5.4694689952000006</v>
      </c>
      <c r="Y4" s="549">
        <v>1.8500297569930473E-2</v>
      </c>
      <c r="Z4" s="552">
        <v>8.7436482816626366</v>
      </c>
      <c r="AA4" s="550">
        <v>0</v>
      </c>
      <c r="AB4" s="553">
        <f>SUM(AC4:AM4)</f>
        <v>9.4476585178560004</v>
      </c>
      <c r="AC4" s="554"/>
      <c r="AD4" s="552"/>
      <c r="AE4" s="552">
        <v>0.41264639999999991</v>
      </c>
      <c r="AF4" s="552"/>
      <c r="AG4" s="552"/>
      <c r="AH4" s="552"/>
      <c r="AI4" s="552">
        <v>9.0350121178560006</v>
      </c>
      <c r="AJ4" s="552">
        <v>0</v>
      </c>
      <c r="AK4" s="551"/>
      <c r="AL4" s="551"/>
      <c r="AM4" s="549"/>
      <c r="AN4" s="555"/>
      <c r="AO4" s="555">
        <v>141.83539077999998</v>
      </c>
      <c r="AP4" s="553"/>
      <c r="AQ4" s="556">
        <f t="shared" si="0"/>
        <v>1890.5651729766864</v>
      </c>
    </row>
    <row r="5" spans="1:45" ht="12.75" customHeight="1">
      <c r="A5" s="544" t="s">
        <v>123</v>
      </c>
      <c r="B5" s="545"/>
      <c r="C5" s="546">
        <f>SUM(D5:G5)</f>
        <v>0</v>
      </c>
      <c r="D5" s="547"/>
      <c r="E5" s="557"/>
      <c r="F5" s="549"/>
      <c r="G5" s="549"/>
      <c r="H5" s="550">
        <f>SUM(I5:K5)</f>
        <v>0</v>
      </c>
      <c r="I5" s="551"/>
      <c r="J5" s="552"/>
      <c r="K5" s="552"/>
      <c r="L5" s="550">
        <f>SUM(M5:Z5)</f>
        <v>162.14899063248015</v>
      </c>
      <c r="M5" s="551"/>
      <c r="N5" s="551"/>
      <c r="O5" s="552"/>
      <c r="P5" s="552"/>
      <c r="Q5" s="552"/>
      <c r="R5" s="552"/>
      <c r="S5" s="552">
        <v>15.730078096892656</v>
      </c>
      <c r="T5" s="552"/>
      <c r="U5" s="552">
        <v>146.41891253558748</v>
      </c>
      <c r="V5" s="552"/>
      <c r="W5" s="549"/>
      <c r="X5" s="549"/>
      <c r="Y5" s="549"/>
      <c r="Z5" s="552"/>
      <c r="AA5" s="550"/>
      <c r="AB5" s="553">
        <f>SUM(AC5:AM5)</f>
        <v>0</v>
      </c>
      <c r="AC5" s="554"/>
      <c r="AD5" s="552"/>
      <c r="AE5" s="552"/>
      <c r="AF5" s="552"/>
      <c r="AG5" s="552"/>
      <c r="AH5" s="552"/>
      <c r="AI5" s="552"/>
      <c r="AJ5" s="552"/>
      <c r="AK5" s="551"/>
      <c r="AL5" s="551"/>
      <c r="AM5" s="549"/>
      <c r="AN5" s="555"/>
      <c r="AO5" s="555"/>
      <c r="AP5" s="553"/>
      <c r="AQ5" s="556">
        <f t="shared" si="0"/>
        <v>162.14899063248015</v>
      </c>
    </row>
    <row r="6" spans="1:45" ht="12.75" customHeight="1" thickBot="1">
      <c r="A6" s="558" t="s">
        <v>124</v>
      </c>
      <c r="B6" s="559"/>
      <c r="C6" s="546">
        <f>SUM(D6:G6)</f>
        <v>-105.50045932171129</v>
      </c>
      <c r="D6" s="560">
        <v>-106.11399866466098</v>
      </c>
      <c r="E6" s="549">
        <v>-0.8079766727235479</v>
      </c>
      <c r="F6" s="561"/>
      <c r="G6" s="561">
        <v>1.4215160156732278</v>
      </c>
      <c r="H6" s="562">
        <f>SUM(I6:K6)</f>
        <v>-122.93905189963694</v>
      </c>
      <c r="I6" s="563">
        <v>-136.53826589963694</v>
      </c>
      <c r="J6" s="563">
        <v>0</v>
      </c>
      <c r="K6" s="563">
        <v>13.599214000000003</v>
      </c>
      <c r="L6" s="562">
        <f>SUM(M6:Z6)</f>
        <v>151.33981188504902</v>
      </c>
      <c r="M6" s="551">
        <v>38.730964773999993</v>
      </c>
      <c r="N6" s="551">
        <v>-8.8751519999999999</v>
      </c>
      <c r="O6" s="552"/>
      <c r="P6" s="552">
        <v>-9.6980083333333713</v>
      </c>
      <c r="Q6" s="552">
        <v>12.883201938880001</v>
      </c>
      <c r="R6" s="552">
        <v>82.12024884504001</v>
      </c>
      <c r="S6" s="552">
        <v>23.637599999999999</v>
      </c>
      <c r="T6" s="552">
        <v>1.4659197380156652</v>
      </c>
      <c r="U6" s="552">
        <v>8.3874136006762399</v>
      </c>
      <c r="V6" s="552">
        <v>3.2040911090633046</v>
      </c>
      <c r="W6" s="561">
        <v>-0.51646778729281662</v>
      </c>
      <c r="X6" s="561">
        <v>0</v>
      </c>
      <c r="Y6" s="561">
        <v>0</v>
      </c>
      <c r="Z6" s="563">
        <v>0</v>
      </c>
      <c r="AA6" s="562">
        <v>0</v>
      </c>
      <c r="AB6" s="564">
        <f>SUM(AC6:AM6)</f>
        <v>4.4601014379600006</v>
      </c>
      <c r="AC6" s="565"/>
      <c r="AD6" s="566"/>
      <c r="AE6" s="566">
        <v>0.26707427819999968</v>
      </c>
      <c r="AF6" s="566"/>
      <c r="AG6" s="566"/>
      <c r="AH6" s="566"/>
      <c r="AI6" s="566">
        <v>1.7828522013120007</v>
      </c>
      <c r="AJ6" s="566">
        <v>2.4101749584479997</v>
      </c>
      <c r="AK6" s="563"/>
      <c r="AL6" s="563"/>
      <c r="AM6" s="561"/>
      <c r="AN6" s="567"/>
      <c r="AO6" s="567"/>
      <c r="AP6" s="564"/>
      <c r="AQ6" s="568">
        <f t="shared" si="0"/>
        <v>-72.639597898339204</v>
      </c>
    </row>
    <row r="7" spans="1:45" s="5" customFormat="1" ht="12.75" customHeight="1">
      <c r="A7" s="569" t="s">
        <v>125</v>
      </c>
      <c r="B7" s="570"/>
      <c r="C7" s="571">
        <f t="shared" ref="C7:AP7" si="1">C2+C3-C4-C5+C6</f>
        <v>815.10230469829378</v>
      </c>
      <c r="D7" s="572">
        <f t="shared" si="1"/>
        <v>696.13465175193664</v>
      </c>
      <c r="E7" s="573">
        <f t="shared" si="1"/>
        <v>110.47930252567083</v>
      </c>
      <c r="F7" s="573">
        <f t="shared" si="1"/>
        <v>0</v>
      </c>
      <c r="G7" s="573">
        <f t="shared" si="1"/>
        <v>8.4883504206865013</v>
      </c>
      <c r="H7" s="574">
        <f t="shared" si="1"/>
        <v>685.95222908664709</v>
      </c>
      <c r="I7" s="572">
        <f t="shared" si="1"/>
        <v>551.68208308664714</v>
      </c>
      <c r="J7" s="573">
        <f t="shared" si="1"/>
        <v>127.70399999999999</v>
      </c>
      <c r="K7" s="573">
        <f t="shared" si="1"/>
        <v>6.5661460000000034</v>
      </c>
      <c r="L7" s="574">
        <f t="shared" si="1"/>
        <v>7418.9024157535559</v>
      </c>
      <c r="M7" s="572">
        <f t="shared" si="1"/>
        <v>3092.2052611591994</v>
      </c>
      <c r="N7" s="572">
        <f t="shared" si="1"/>
        <v>7.7582254992000017</v>
      </c>
      <c r="O7" s="573">
        <f t="shared" si="1"/>
        <v>0</v>
      </c>
      <c r="P7" s="573">
        <f t="shared" si="1"/>
        <v>190.00805737777765</v>
      </c>
      <c r="Q7" s="573">
        <f t="shared" si="1"/>
        <v>360.76611217919998</v>
      </c>
      <c r="R7" s="573">
        <f t="shared" si="1"/>
        <v>1469.0046832735197</v>
      </c>
      <c r="S7" s="573">
        <f t="shared" si="1"/>
        <v>-895.87064706723163</v>
      </c>
      <c r="T7" s="573">
        <f t="shared" si="1"/>
        <v>123.72255052198433</v>
      </c>
      <c r="U7" s="573">
        <f t="shared" si="1"/>
        <v>2701.2925504229925</v>
      </c>
      <c r="V7" s="573">
        <f t="shared" si="1"/>
        <v>167.68446868289712</v>
      </c>
      <c r="W7" s="573">
        <f t="shared" si="1"/>
        <v>-29.252130973066301</v>
      </c>
      <c r="X7" s="573">
        <f t="shared" si="1"/>
        <v>195.36275312176252</v>
      </c>
      <c r="Y7" s="573">
        <f t="shared" si="1"/>
        <v>1.2096467108549098</v>
      </c>
      <c r="Z7" s="573">
        <f t="shared" si="1"/>
        <v>35.010884844467988</v>
      </c>
      <c r="AA7" s="574">
        <f t="shared" si="1"/>
        <v>4480.2572507256682</v>
      </c>
      <c r="AB7" s="574">
        <f t="shared" si="1"/>
        <v>1476.4875613547667</v>
      </c>
      <c r="AC7" s="572">
        <f t="shared" si="1"/>
        <v>59.691708987970003</v>
      </c>
      <c r="AD7" s="573">
        <f t="shared" si="1"/>
        <v>743.01992281532614</v>
      </c>
      <c r="AE7" s="573">
        <f t="shared" si="1"/>
        <v>272.70521046496276</v>
      </c>
      <c r="AF7" s="573">
        <f t="shared" si="1"/>
        <v>139.99992739520798</v>
      </c>
      <c r="AG7" s="573">
        <f t="shared" si="1"/>
        <v>33.531818868055431</v>
      </c>
      <c r="AH7" s="573">
        <f t="shared" si="1"/>
        <v>16.813132576534866</v>
      </c>
      <c r="AI7" s="573">
        <f t="shared" si="1"/>
        <v>124.01266332172798</v>
      </c>
      <c r="AJ7" s="573">
        <f t="shared" si="1"/>
        <v>27.929372998367999</v>
      </c>
      <c r="AK7" s="575">
        <f t="shared" si="1"/>
        <v>1.4323955643044282</v>
      </c>
      <c r="AL7" s="575">
        <f t="shared" si="1"/>
        <v>13.54608560366562</v>
      </c>
      <c r="AM7" s="572">
        <f t="shared" si="1"/>
        <v>43.805322758643676</v>
      </c>
      <c r="AN7" s="574">
        <f t="shared" si="1"/>
        <v>145.43710297949829</v>
      </c>
      <c r="AO7" s="574">
        <f t="shared" si="1"/>
        <v>-2.3847739799999772</v>
      </c>
      <c r="AP7" s="576">
        <f t="shared" si="1"/>
        <v>0</v>
      </c>
      <c r="AQ7" s="577">
        <f t="shared" si="0"/>
        <v>15019.754090618429</v>
      </c>
      <c r="AR7" s="1"/>
      <c r="AS7" s="4"/>
    </row>
    <row r="8" spans="1:45" s="5" customFormat="1" ht="12.75" customHeight="1" thickBot="1">
      <c r="A8" s="578" t="s">
        <v>126</v>
      </c>
      <c r="B8" s="579"/>
      <c r="C8" s="580">
        <f t="shared" ref="C8:AP8" si="2">C7-C27</f>
        <v>815.10230469829378</v>
      </c>
      <c r="D8" s="581">
        <f t="shared" si="2"/>
        <v>696.13465175193664</v>
      </c>
      <c r="E8" s="582">
        <f t="shared" si="2"/>
        <v>110.47930252567083</v>
      </c>
      <c r="F8" s="583">
        <f t="shared" si="2"/>
        <v>0</v>
      </c>
      <c r="G8" s="583">
        <f t="shared" si="2"/>
        <v>8.4883504206865013</v>
      </c>
      <c r="H8" s="584">
        <f t="shared" si="2"/>
        <v>685.95222908664709</v>
      </c>
      <c r="I8" s="581">
        <f t="shared" si="2"/>
        <v>551.68208308664714</v>
      </c>
      <c r="J8" s="582">
        <f t="shared" si="2"/>
        <v>127.70399999999999</v>
      </c>
      <c r="K8" s="582">
        <f t="shared" si="2"/>
        <v>6.5661460000000034</v>
      </c>
      <c r="L8" s="584">
        <f t="shared" si="2"/>
        <v>7187.3191310764705</v>
      </c>
      <c r="M8" s="581">
        <f t="shared" si="2"/>
        <v>3092.2052611591994</v>
      </c>
      <c r="N8" s="581">
        <f t="shared" si="2"/>
        <v>7.7582254992000017</v>
      </c>
      <c r="O8" s="582">
        <f t="shared" si="2"/>
        <v>0</v>
      </c>
      <c r="P8" s="582">
        <f t="shared" si="2"/>
        <v>190.00805737777765</v>
      </c>
      <c r="Q8" s="582">
        <f t="shared" si="2"/>
        <v>360.76611217919998</v>
      </c>
      <c r="R8" s="582">
        <f t="shared" si="2"/>
        <v>1469.0046832735197</v>
      </c>
      <c r="S8" s="582">
        <f t="shared" si="2"/>
        <v>-895.87064706723163</v>
      </c>
      <c r="T8" s="582">
        <f t="shared" si="2"/>
        <v>123.72255052198433</v>
      </c>
      <c r="U8" s="582">
        <f t="shared" si="2"/>
        <v>2701.2925504229925</v>
      </c>
      <c r="V8" s="582">
        <f t="shared" si="2"/>
        <v>167.68446868289712</v>
      </c>
      <c r="W8" s="583">
        <f t="shared" si="2"/>
        <v>-29.252130973066301</v>
      </c>
      <c r="X8" s="583">
        <f t="shared" si="2"/>
        <v>0</v>
      </c>
      <c r="Y8" s="583">
        <f t="shared" si="2"/>
        <v>0</v>
      </c>
      <c r="Z8" s="582">
        <f t="shared" si="2"/>
        <v>0</v>
      </c>
      <c r="AA8" s="584">
        <f t="shared" si="2"/>
        <v>4480.2572507256682</v>
      </c>
      <c r="AB8" s="585">
        <f t="shared" si="2"/>
        <v>1476.4875613547667</v>
      </c>
      <c r="AC8" s="581">
        <f t="shared" si="2"/>
        <v>59.691708987970003</v>
      </c>
      <c r="AD8" s="582">
        <f t="shared" si="2"/>
        <v>743.01992281532614</v>
      </c>
      <c r="AE8" s="582">
        <f t="shared" si="2"/>
        <v>272.70521046496276</v>
      </c>
      <c r="AF8" s="582">
        <f t="shared" si="2"/>
        <v>139.99992739520798</v>
      </c>
      <c r="AG8" s="582">
        <f t="shared" si="2"/>
        <v>33.531818868055431</v>
      </c>
      <c r="AH8" s="582">
        <f t="shared" si="2"/>
        <v>16.813132576534866</v>
      </c>
      <c r="AI8" s="582">
        <f t="shared" si="2"/>
        <v>124.01266332172798</v>
      </c>
      <c r="AJ8" s="582">
        <f t="shared" si="2"/>
        <v>27.929372998367999</v>
      </c>
      <c r="AK8" s="586">
        <f t="shared" si="2"/>
        <v>1.4323955643044282</v>
      </c>
      <c r="AL8" s="586">
        <f t="shared" si="2"/>
        <v>13.54608560366562</v>
      </c>
      <c r="AM8" s="581">
        <f t="shared" si="2"/>
        <v>43.805322758643676</v>
      </c>
      <c r="AN8" s="584">
        <f t="shared" si="2"/>
        <v>145.43710297949829</v>
      </c>
      <c r="AO8" s="584">
        <f t="shared" si="2"/>
        <v>-2.3847739799999772</v>
      </c>
      <c r="AP8" s="581">
        <f t="shared" si="2"/>
        <v>0</v>
      </c>
      <c r="AQ8" s="587">
        <f t="shared" si="0"/>
        <v>14788.170805941343</v>
      </c>
      <c r="AR8" s="1"/>
      <c r="AS8" s="4"/>
    </row>
    <row r="9" spans="1:45" s="5" customFormat="1" ht="12.75" customHeight="1">
      <c r="A9" s="569" t="s">
        <v>127</v>
      </c>
      <c r="B9" s="570"/>
      <c r="C9" s="571">
        <f t="shared" ref="C9:AP9" si="3">SUM(C10:C14)</f>
        <v>488.64939432989598</v>
      </c>
      <c r="D9" s="575">
        <f t="shared" si="3"/>
        <v>488.64939432989598</v>
      </c>
      <c r="E9" s="573">
        <f t="shared" si="3"/>
        <v>0</v>
      </c>
      <c r="F9" s="588">
        <f t="shared" si="3"/>
        <v>0</v>
      </c>
      <c r="G9" s="588">
        <f t="shared" si="3"/>
        <v>0</v>
      </c>
      <c r="H9" s="574">
        <f t="shared" si="3"/>
        <v>541.02658367795425</v>
      </c>
      <c r="I9" s="575">
        <f t="shared" si="3"/>
        <v>541.02658367795425</v>
      </c>
      <c r="J9" s="573">
        <f t="shared" si="3"/>
        <v>0</v>
      </c>
      <c r="K9" s="573">
        <f t="shared" si="3"/>
        <v>0</v>
      </c>
      <c r="L9" s="574">
        <f t="shared" si="3"/>
        <v>3165.7216476484605</v>
      </c>
      <c r="M9" s="573">
        <f t="shared" si="3"/>
        <v>3092.2052611591994</v>
      </c>
      <c r="N9" s="573">
        <f t="shared" ref="N9" si="4">SUM(N10:N14)</f>
        <v>38.786602361842682</v>
      </c>
      <c r="O9" s="573">
        <f t="shared" si="3"/>
        <v>0</v>
      </c>
      <c r="P9" s="573">
        <f t="shared" si="3"/>
        <v>0</v>
      </c>
      <c r="Q9" s="573">
        <f t="shared" si="3"/>
        <v>0</v>
      </c>
      <c r="R9" s="573">
        <f t="shared" si="3"/>
        <v>0</v>
      </c>
      <c r="S9" s="573">
        <f t="shared" si="3"/>
        <v>25.868327226603597</v>
      </c>
      <c r="T9" s="573">
        <f t="shared" si="3"/>
        <v>0.63499472294399995</v>
      </c>
      <c r="U9" s="573">
        <f t="shared" si="3"/>
        <v>8.2264621778709284</v>
      </c>
      <c r="V9" s="573">
        <f t="shared" si="3"/>
        <v>0</v>
      </c>
      <c r="W9" s="588">
        <f t="shared" si="3"/>
        <v>0</v>
      </c>
      <c r="X9" s="588">
        <f t="shared" si="3"/>
        <v>0</v>
      </c>
      <c r="Y9" s="588">
        <f t="shared" si="3"/>
        <v>0</v>
      </c>
      <c r="Z9" s="573">
        <f t="shared" si="3"/>
        <v>0</v>
      </c>
      <c r="AA9" s="574">
        <f t="shared" si="3"/>
        <v>2501.2994242635782</v>
      </c>
      <c r="AB9" s="572">
        <f t="shared" si="3"/>
        <v>215.90352917717644</v>
      </c>
      <c r="AC9" s="589">
        <f t="shared" si="3"/>
        <v>0</v>
      </c>
      <c r="AD9" s="573">
        <f t="shared" si="3"/>
        <v>0</v>
      </c>
      <c r="AE9" s="573">
        <f t="shared" si="3"/>
        <v>76.028615684916531</v>
      </c>
      <c r="AF9" s="573">
        <f t="shared" ref="AF9" si="5">SUM(AF10:AF14)</f>
        <v>99.30702317107577</v>
      </c>
      <c r="AG9" s="573">
        <f t="shared" si="3"/>
        <v>33.531818868055431</v>
      </c>
      <c r="AH9" s="573">
        <f t="shared" si="3"/>
        <v>7.0360714531287174</v>
      </c>
      <c r="AI9" s="573">
        <f t="shared" si="3"/>
        <v>0</v>
      </c>
      <c r="AJ9" s="573">
        <f t="shared" ref="AJ9" si="6">SUM(AJ10:AJ14)</f>
        <v>0</v>
      </c>
      <c r="AK9" s="575">
        <f t="shared" si="3"/>
        <v>0</v>
      </c>
      <c r="AL9" s="575">
        <f t="shared" ref="AL9" si="7">SUM(AL10:AL14)</f>
        <v>0</v>
      </c>
      <c r="AM9" s="588">
        <f t="shared" si="3"/>
        <v>0</v>
      </c>
      <c r="AN9" s="574">
        <f t="shared" si="3"/>
        <v>90.714163374524205</v>
      </c>
      <c r="AO9" s="574">
        <f t="shared" si="3"/>
        <v>54.38453208</v>
      </c>
      <c r="AP9" s="572">
        <f t="shared" si="3"/>
        <v>0</v>
      </c>
      <c r="AQ9" s="590">
        <f t="shared" si="0"/>
        <v>7057.699274551589</v>
      </c>
      <c r="AR9" s="1"/>
      <c r="AS9" s="4"/>
    </row>
    <row r="10" spans="1:45" ht="12.75" customHeight="1">
      <c r="A10" s="591" t="s">
        <v>128</v>
      </c>
      <c r="B10" s="592"/>
      <c r="C10" s="593">
        <f>SUM(D10:G10)</f>
        <v>488.64939432989598</v>
      </c>
      <c r="D10" s="594">
        <v>488.64939432989598</v>
      </c>
      <c r="E10" s="595"/>
      <c r="F10" s="596"/>
      <c r="G10" s="596"/>
      <c r="H10" s="597">
        <f>SUM(I10:K10)</f>
        <v>467.10845991760607</v>
      </c>
      <c r="I10" s="594">
        <v>467.10845991760607</v>
      </c>
      <c r="J10" s="595">
        <v>0</v>
      </c>
      <c r="K10" s="595"/>
      <c r="L10" s="597">
        <f>SUM(M10:Z10)</f>
        <v>34.094789404474525</v>
      </c>
      <c r="M10" s="595"/>
      <c r="N10" s="595"/>
      <c r="O10" s="595"/>
      <c r="P10" s="595"/>
      <c r="Q10" s="595"/>
      <c r="R10" s="595"/>
      <c r="S10" s="595">
        <v>25.868327226603597</v>
      </c>
      <c r="T10" s="595"/>
      <c r="U10" s="595">
        <v>8.2264621778709284</v>
      </c>
      <c r="V10" s="595"/>
      <c r="W10" s="596"/>
      <c r="X10" s="596"/>
      <c r="Y10" s="596"/>
      <c r="Z10" s="595"/>
      <c r="AA10" s="597">
        <v>2187.6033883210698</v>
      </c>
      <c r="AB10" s="598">
        <f>SUM(AC10:AM10)</f>
        <v>205.30590173319058</v>
      </c>
      <c r="AC10" s="599"/>
      <c r="AD10" s="595"/>
      <c r="AE10" s="595">
        <v>72.467059694059387</v>
      </c>
      <c r="AF10" s="595">
        <v>99.30702317107577</v>
      </c>
      <c r="AG10" s="595">
        <v>33.531818868055431</v>
      </c>
      <c r="AH10" s="595"/>
      <c r="AI10" s="595"/>
      <c r="AJ10" s="595"/>
      <c r="AK10" s="594"/>
      <c r="AL10" s="594"/>
      <c r="AM10" s="596"/>
      <c r="AN10" s="600">
        <v>90.714163374524205</v>
      </c>
      <c r="AO10" s="597"/>
      <c r="AP10" s="598"/>
      <c r="AQ10" s="601">
        <f t="shared" si="0"/>
        <v>3473.4760970807611</v>
      </c>
    </row>
    <row r="11" spans="1:45" ht="12.75" customHeight="1">
      <c r="A11" s="544" t="s">
        <v>129</v>
      </c>
      <c r="B11" s="545"/>
      <c r="C11" s="546">
        <f>SUM(D11:G11)</f>
        <v>0</v>
      </c>
      <c r="D11" s="551">
        <v>0</v>
      </c>
      <c r="E11" s="552"/>
      <c r="F11" s="549"/>
      <c r="G11" s="549"/>
      <c r="H11" s="550">
        <f>SUM(I11:K11)</f>
        <v>5.8425469182429177</v>
      </c>
      <c r="I11" s="551">
        <v>5.8425469182429177</v>
      </c>
      <c r="J11" s="552"/>
      <c r="K11" s="552"/>
      <c r="L11" s="550">
        <f>SUM(M11:Z11)</f>
        <v>0.63499472294399995</v>
      </c>
      <c r="M11" s="552"/>
      <c r="N11" s="602"/>
      <c r="O11" s="602">
        <v>0</v>
      </c>
      <c r="P11" s="552"/>
      <c r="Q11" s="552"/>
      <c r="R11" s="552"/>
      <c r="S11" s="552">
        <v>0</v>
      </c>
      <c r="T11" s="552">
        <v>0.63499472294399995</v>
      </c>
      <c r="U11" s="552">
        <v>0</v>
      </c>
      <c r="V11" s="552"/>
      <c r="W11" s="549"/>
      <c r="X11" s="549"/>
      <c r="Y11" s="549"/>
      <c r="Z11" s="552"/>
      <c r="AA11" s="550">
        <v>272.96145103491432</v>
      </c>
      <c r="AB11" s="553">
        <f>SUM(AC11:AM11)</f>
        <v>10.597627443985861</v>
      </c>
      <c r="AC11" s="554"/>
      <c r="AD11" s="552"/>
      <c r="AE11" s="552">
        <v>3.5615559908571428</v>
      </c>
      <c r="AF11" s="552"/>
      <c r="AG11" s="552"/>
      <c r="AH11" s="552">
        <v>7.0360714531287174</v>
      </c>
      <c r="AI11" s="552"/>
      <c r="AJ11" s="552"/>
      <c r="AK11" s="551"/>
      <c r="AL11" s="551"/>
      <c r="AM11" s="549"/>
      <c r="AN11" s="555"/>
      <c r="AO11" s="555"/>
      <c r="AP11" s="553"/>
      <c r="AQ11" s="556">
        <f t="shared" si="0"/>
        <v>290.03662012008709</v>
      </c>
    </row>
    <row r="12" spans="1:45" ht="12.75" customHeight="1">
      <c r="A12" s="544" t="s">
        <v>130</v>
      </c>
      <c r="B12" s="545"/>
      <c r="C12" s="546"/>
      <c r="D12" s="551"/>
      <c r="E12" s="552"/>
      <c r="F12" s="549"/>
      <c r="G12" s="549"/>
      <c r="H12" s="550"/>
      <c r="I12" s="551"/>
      <c r="J12" s="552"/>
      <c r="K12" s="552"/>
      <c r="L12" s="550"/>
      <c r="M12" s="552"/>
      <c r="N12" s="602"/>
      <c r="O12" s="602"/>
      <c r="P12" s="552"/>
      <c r="Q12" s="552"/>
      <c r="R12" s="552"/>
      <c r="S12" s="552"/>
      <c r="T12" s="552"/>
      <c r="U12" s="552"/>
      <c r="V12" s="552"/>
      <c r="W12" s="549"/>
      <c r="X12" s="549"/>
      <c r="Y12" s="549"/>
      <c r="Z12" s="552"/>
      <c r="AA12" s="550"/>
      <c r="AB12" s="553"/>
      <c r="AC12" s="554"/>
      <c r="AD12" s="552"/>
      <c r="AE12" s="552"/>
      <c r="AF12" s="552"/>
      <c r="AG12" s="552"/>
      <c r="AH12" s="552"/>
      <c r="AI12" s="552"/>
      <c r="AJ12" s="552"/>
      <c r="AK12" s="551"/>
      <c r="AL12" s="551"/>
      <c r="AM12" s="549"/>
      <c r="AN12" s="555"/>
      <c r="AO12" s="555">
        <v>42.942060079999997</v>
      </c>
      <c r="AP12" s="553"/>
      <c r="AQ12" s="556">
        <f t="shared" si="0"/>
        <v>42.942060079999997</v>
      </c>
    </row>
    <row r="13" spans="1:45" ht="12.75" customHeight="1">
      <c r="A13" s="544" t="s">
        <v>131</v>
      </c>
      <c r="B13" s="545"/>
      <c r="C13" s="546">
        <f>SUM(D13:G13)</f>
        <v>0</v>
      </c>
      <c r="D13" s="551"/>
      <c r="E13" s="549"/>
      <c r="F13" s="549"/>
      <c r="G13" s="549"/>
      <c r="H13" s="550">
        <f>SUM(I13:K13)</f>
        <v>68.075576842105264</v>
      </c>
      <c r="I13" s="551">
        <v>68.075576842105264</v>
      </c>
      <c r="J13" s="552"/>
      <c r="K13" s="552"/>
      <c r="L13" s="550">
        <f>SUM(M13:Z13)</f>
        <v>0</v>
      </c>
      <c r="M13" s="552"/>
      <c r="N13" s="552"/>
      <c r="O13" s="552"/>
      <c r="P13" s="552"/>
      <c r="Q13" s="552"/>
      <c r="R13" s="552"/>
      <c r="S13" s="552"/>
      <c r="T13" s="552"/>
      <c r="U13" s="552"/>
      <c r="V13" s="552"/>
      <c r="W13" s="549"/>
      <c r="X13" s="549"/>
      <c r="Y13" s="549"/>
      <c r="Z13" s="552"/>
      <c r="AA13" s="550"/>
      <c r="AB13" s="553">
        <f>SUM(AC13:AM13)</f>
        <v>0</v>
      </c>
      <c r="AC13" s="554"/>
      <c r="AD13" s="552"/>
      <c r="AE13" s="552"/>
      <c r="AF13" s="552"/>
      <c r="AG13" s="552"/>
      <c r="AH13" s="552"/>
      <c r="AI13" s="552"/>
      <c r="AJ13" s="552"/>
      <c r="AK13" s="551"/>
      <c r="AL13" s="551"/>
      <c r="AM13" s="549"/>
      <c r="AN13" s="555"/>
      <c r="AO13" s="555"/>
      <c r="AP13" s="553"/>
      <c r="AQ13" s="556">
        <f t="shared" si="0"/>
        <v>68.075576842105264</v>
      </c>
    </row>
    <row r="14" spans="1:45" ht="12.75" customHeight="1">
      <c r="A14" s="603" t="s">
        <v>132</v>
      </c>
      <c r="B14" s="604"/>
      <c r="C14" s="605">
        <f>SUM(D14:G14)</f>
        <v>0</v>
      </c>
      <c r="D14" s="606"/>
      <c r="E14" s="607"/>
      <c r="F14" s="608"/>
      <c r="G14" s="608"/>
      <c r="H14" s="609">
        <f>SUM(I14:K14)</f>
        <v>0</v>
      </c>
      <c r="I14" s="606"/>
      <c r="J14" s="607"/>
      <c r="K14" s="607"/>
      <c r="L14" s="609">
        <f>SUM(M14:Z14)</f>
        <v>3130.991863521042</v>
      </c>
      <c r="M14" s="607">
        <v>3092.2052611591994</v>
      </c>
      <c r="N14" s="607">
        <v>38.786602361842682</v>
      </c>
      <c r="O14" s="607"/>
      <c r="P14" s="607"/>
      <c r="Q14" s="607"/>
      <c r="R14" s="607"/>
      <c r="S14" s="607"/>
      <c r="T14" s="607"/>
      <c r="U14" s="607"/>
      <c r="V14" s="607"/>
      <c r="W14" s="608"/>
      <c r="X14" s="608"/>
      <c r="Y14" s="608"/>
      <c r="Z14" s="607"/>
      <c r="AA14" s="609">
        <v>40.734584907594211</v>
      </c>
      <c r="AB14" s="610">
        <f>SUM(AC14:AM14)</f>
        <v>0</v>
      </c>
      <c r="AC14" s="611"/>
      <c r="AD14" s="607"/>
      <c r="AE14" s="607"/>
      <c r="AF14" s="607"/>
      <c r="AG14" s="607"/>
      <c r="AH14" s="607"/>
      <c r="AI14" s="607"/>
      <c r="AJ14" s="607"/>
      <c r="AK14" s="606"/>
      <c r="AL14" s="606"/>
      <c r="AM14" s="608"/>
      <c r="AN14" s="612"/>
      <c r="AO14" s="612">
        <v>11.442471999999999</v>
      </c>
      <c r="AP14" s="610"/>
      <c r="AQ14" s="613">
        <f t="shared" si="0"/>
        <v>3183.1689204286363</v>
      </c>
    </row>
    <row r="15" spans="1:45" s="5" customFormat="1" ht="12.75" customHeight="1">
      <c r="A15" s="614" t="s">
        <v>133</v>
      </c>
      <c r="B15" s="615"/>
      <c r="C15" s="616">
        <f t="shared" ref="C15:AP15" si="8">SUM(C16:C20)</f>
        <v>0</v>
      </c>
      <c r="D15" s="617">
        <f t="shared" si="8"/>
        <v>0</v>
      </c>
      <c r="E15" s="618">
        <f t="shared" si="8"/>
        <v>0</v>
      </c>
      <c r="F15" s="619">
        <f t="shared" si="8"/>
        <v>0</v>
      </c>
      <c r="G15" s="619">
        <f t="shared" si="8"/>
        <v>0</v>
      </c>
      <c r="H15" s="620">
        <f t="shared" si="8"/>
        <v>64.671797999999995</v>
      </c>
      <c r="I15" s="617">
        <f t="shared" si="8"/>
        <v>0</v>
      </c>
      <c r="J15" s="618">
        <f t="shared" si="8"/>
        <v>0</v>
      </c>
      <c r="K15" s="618">
        <f t="shared" si="8"/>
        <v>64.671797999999995</v>
      </c>
      <c r="L15" s="620">
        <f t="shared" si="8"/>
        <v>3166.7858692089685</v>
      </c>
      <c r="M15" s="618">
        <f t="shared" si="8"/>
        <v>0</v>
      </c>
      <c r="N15" s="618">
        <f t="shared" si="8"/>
        <v>0</v>
      </c>
      <c r="O15" s="618">
        <f t="shared" si="8"/>
        <v>90.017983923640699</v>
      </c>
      <c r="P15" s="618">
        <f t="shared" si="8"/>
        <v>640.53679657777786</v>
      </c>
      <c r="Q15" s="618">
        <f t="shared" si="8"/>
        <v>226.77459106847999</v>
      </c>
      <c r="R15" s="618">
        <f t="shared" si="8"/>
        <v>0</v>
      </c>
      <c r="S15" s="618">
        <f t="shared" si="8"/>
        <v>960.95017928079096</v>
      </c>
      <c r="T15" s="618">
        <f t="shared" si="8"/>
        <v>64.797462901984332</v>
      </c>
      <c r="U15" s="618">
        <f t="shared" si="8"/>
        <v>1146.9502117491124</v>
      </c>
      <c r="V15" s="618">
        <f t="shared" si="8"/>
        <v>0</v>
      </c>
      <c r="W15" s="619">
        <f t="shared" si="8"/>
        <v>36.758643707182323</v>
      </c>
      <c r="X15" s="619">
        <f t="shared" si="8"/>
        <v>0</v>
      </c>
      <c r="Y15" s="619">
        <f t="shared" si="8"/>
        <v>0</v>
      </c>
      <c r="Z15" s="618">
        <f t="shared" si="8"/>
        <v>0</v>
      </c>
      <c r="AA15" s="620">
        <f t="shared" si="8"/>
        <v>0</v>
      </c>
      <c r="AB15" s="12">
        <f t="shared" si="8"/>
        <v>0</v>
      </c>
      <c r="AC15" s="621">
        <f t="shared" si="8"/>
        <v>0</v>
      </c>
      <c r="AD15" s="618">
        <f t="shared" si="8"/>
        <v>0</v>
      </c>
      <c r="AE15" s="618">
        <f t="shared" si="8"/>
        <v>0</v>
      </c>
      <c r="AF15" s="618">
        <f t="shared" si="8"/>
        <v>0</v>
      </c>
      <c r="AG15" s="622">
        <f t="shared" si="8"/>
        <v>0</v>
      </c>
      <c r="AH15" s="622">
        <f t="shared" si="8"/>
        <v>0</v>
      </c>
      <c r="AI15" s="622">
        <f t="shared" si="8"/>
        <v>0</v>
      </c>
      <c r="AJ15" s="622">
        <f t="shared" si="8"/>
        <v>0</v>
      </c>
      <c r="AK15" s="617">
        <f t="shared" si="8"/>
        <v>0</v>
      </c>
      <c r="AL15" s="617">
        <f t="shared" si="8"/>
        <v>0</v>
      </c>
      <c r="AM15" s="619">
        <f t="shared" si="8"/>
        <v>0</v>
      </c>
      <c r="AN15" s="620">
        <f t="shared" si="8"/>
        <v>0</v>
      </c>
      <c r="AO15" s="620">
        <f t="shared" si="8"/>
        <v>1873.361490524092</v>
      </c>
      <c r="AP15" s="12">
        <f t="shared" si="8"/>
        <v>0</v>
      </c>
      <c r="AQ15" s="623">
        <f t="shared" si="0"/>
        <v>5104.8191577330599</v>
      </c>
      <c r="AR15" s="1"/>
      <c r="AS15" s="4"/>
    </row>
    <row r="16" spans="1:45" ht="12.75" customHeight="1">
      <c r="A16" s="591" t="s">
        <v>128</v>
      </c>
      <c r="B16" s="592"/>
      <c r="C16" s="593">
        <f>SUM(D16:G16)</f>
        <v>0</v>
      </c>
      <c r="D16" s="594"/>
      <c r="E16" s="595"/>
      <c r="F16" s="596"/>
      <c r="G16" s="596"/>
      <c r="H16" s="597">
        <f>SUM(I16:K16)</f>
        <v>0</v>
      </c>
      <c r="I16" s="594"/>
      <c r="J16" s="595"/>
      <c r="K16" s="595"/>
      <c r="L16" s="597">
        <f>SUM(M16:Z16)</f>
        <v>0</v>
      </c>
      <c r="M16" s="595"/>
      <c r="N16" s="595"/>
      <c r="O16" s="595"/>
      <c r="P16" s="595"/>
      <c r="Q16" s="595"/>
      <c r="R16" s="595"/>
      <c r="S16" s="595"/>
      <c r="T16" s="595"/>
      <c r="U16" s="595"/>
      <c r="V16" s="595"/>
      <c r="W16" s="596"/>
      <c r="X16" s="596"/>
      <c r="Y16" s="596"/>
      <c r="Z16" s="595"/>
      <c r="AA16" s="597"/>
      <c r="AB16" s="598">
        <f>SUM(AC16:AL16)</f>
        <v>0</v>
      </c>
      <c r="AC16" s="599"/>
      <c r="AD16" s="595"/>
      <c r="AE16" s="595"/>
      <c r="AF16" s="595"/>
      <c r="AG16" s="602"/>
      <c r="AH16" s="602"/>
      <c r="AI16" s="602"/>
      <c r="AJ16" s="602"/>
      <c r="AK16" s="594"/>
      <c r="AL16" s="594"/>
      <c r="AM16" s="596"/>
      <c r="AN16" s="600"/>
      <c r="AO16" s="600">
        <v>1667.7865923774164</v>
      </c>
      <c r="AP16" s="598"/>
      <c r="AQ16" s="624">
        <f>C16+H16+L16+AA16+AO16+AP16</f>
        <v>1667.7865923774164</v>
      </c>
    </row>
    <row r="17" spans="1:45" ht="12.75" customHeight="1">
      <c r="A17" s="544" t="s">
        <v>129</v>
      </c>
      <c r="B17" s="545"/>
      <c r="C17" s="546">
        <f>SUM(D17:G17)</f>
        <v>0</v>
      </c>
      <c r="D17" s="551"/>
      <c r="E17" s="552"/>
      <c r="F17" s="549"/>
      <c r="G17" s="549"/>
      <c r="H17" s="550">
        <f>SUM(I17:K17)</f>
        <v>0</v>
      </c>
      <c r="I17" s="551"/>
      <c r="J17" s="552"/>
      <c r="K17" s="552"/>
      <c r="L17" s="550">
        <f>SUM(M17:Z17)</f>
        <v>0</v>
      </c>
      <c r="M17" s="552"/>
      <c r="N17" s="552"/>
      <c r="O17" s="552"/>
      <c r="P17" s="552"/>
      <c r="Q17" s="552"/>
      <c r="R17" s="552"/>
      <c r="S17" s="552"/>
      <c r="T17" s="552"/>
      <c r="U17" s="552"/>
      <c r="V17" s="552"/>
      <c r="W17" s="549"/>
      <c r="X17" s="549"/>
      <c r="Y17" s="549"/>
      <c r="Z17" s="552"/>
      <c r="AA17" s="550"/>
      <c r="AB17" s="553">
        <f>SUM(AC17:AL17)</f>
        <v>0</v>
      </c>
      <c r="AC17" s="554"/>
      <c r="AD17" s="552"/>
      <c r="AE17" s="552"/>
      <c r="AF17" s="552"/>
      <c r="AG17" s="552"/>
      <c r="AH17" s="552"/>
      <c r="AI17" s="552"/>
      <c r="AJ17" s="552"/>
      <c r="AK17" s="551"/>
      <c r="AL17" s="551"/>
      <c r="AM17" s="549"/>
      <c r="AN17" s="555"/>
      <c r="AO17" s="625">
        <v>185.14395873624346</v>
      </c>
      <c r="AP17" s="553"/>
      <c r="AQ17" s="556">
        <f>C17+H17+L17+AA17+AO17+AP17</f>
        <v>185.14395873624346</v>
      </c>
    </row>
    <row r="18" spans="1:45" ht="12.75" customHeight="1">
      <c r="A18" s="544" t="s">
        <v>134</v>
      </c>
      <c r="B18" s="545"/>
      <c r="C18" s="546"/>
      <c r="D18" s="551"/>
      <c r="E18" s="552"/>
      <c r="F18" s="549"/>
      <c r="G18" s="549"/>
      <c r="H18" s="550"/>
      <c r="I18" s="551"/>
      <c r="J18" s="552"/>
      <c r="K18" s="552"/>
      <c r="L18" s="550"/>
      <c r="M18" s="552"/>
      <c r="N18" s="552"/>
      <c r="O18" s="552"/>
      <c r="P18" s="552"/>
      <c r="Q18" s="552"/>
      <c r="R18" s="552"/>
      <c r="S18" s="552"/>
      <c r="T18" s="552"/>
      <c r="U18" s="552"/>
      <c r="V18" s="552"/>
      <c r="W18" s="549"/>
      <c r="X18" s="549"/>
      <c r="Y18" s="549"/>
      <c r="Z18" s="552"/>
      <c r="AA18" s="550"/>
      <c r="AB18" s="553"/>
      <c r="AC18" s="554"/>
      <c r="AD18" s="552"/>
      <c r="AE18" s="552"/>
      <c r="AF18" s="552"/>
      <c r="AG18" s="552"/>
      <c r="AH18" s="552"/>
      <c r="AI18" s="552"/>
      <c r="AJ18" s="552"/>
      <c r="AK18" s="551"/>
      <c r="AL18" s="551"/>
      <c r="AM18" s="549"/>
      <c r="AN18" s="555"/>
      <c r="AO18" s="555">
        <v>20.430939410432</v>
      </c>
      <c r="AP18" s="553"/>
      <c r="AQ18" s="556">
        <f t="shared" si="0"/>
        <v>20.430939410432</v>
      </c>
    </row>
    <row r="19" spans="1:45" ht="12.75" customHeight="1">
      <c r="A19" s="544" t="s">
        <v>131</v>
      </c>
      <c r="B19" s="545"/>
      <c r="C19" s="546"/>
      <c r="D19" s="1"/>
      <c r="E19" s="552"/>
      <c r="F19" s="549"/>
      <c r="G19" s="549"/>
      <c r="H19" s="550">
        <f>SUM(I19:K19)</f>
        <v>64.671797999999995</v>
      </c>
      <c r="I19" s="551"/>
      <c r="J19" s="552"/>
      <c r="K19" s="552">
        <v>64.671797999999995</v>
      </c>
      <c r="L19" s="550">
        <f>SUM(M19:Z19)</f>
        <v>0</v>
      </c>
      <c r="M19" s="552"/>
      <c r="N19" s="552"/>
      <c r="O19" s="552"/>
      <c r="P19" s="552"/>
      <c r="Q19" s="552"/>
      <c r="R19" s="552"/>
      <c r="S19" s="552"/>
      <c r="T19" s="552"/>
      <c r="U19" s="552"/>
      <c r="V19" s="552"/>
      <c r="W19" s="549"/>
      <c r="X19" s="549"/>
      <c r="Y19" s="549"/>
      <c r="Z19" s="552"/>
      <c r="AA19" s="550"/>
      <c r="AB19" s="553">
        <f>SUM(AC19:AL19)</f>
        <v>0</v>
      </c>
      <c r="AC19" s="554"/>
      <c r="AD19" s="552"/>
      <c r="AE19" s="552"/>
      <c r="AF19" s="552"/>
      <c r="AG19" s="552"/>
      <c r="AH19" s="552"/>
      <c r="AI19" s="552"/>
      <c r="AJ19" s="552"/>
      <c r="AK19" s="551"/>
      <c r="AL19" s="551"/>
      <c r="AM19" s="549"/>
      <c r="AN19" s="555"/>
      <c r="AO19" s="555"/>
      <c r="AP19" s="553"/>
      <c r="AQ19" s="556">
        <f t="shared" si="0"/>
        <v>64.671797999999995</v>
      </c>
    </row>
    <row r="20" spans="1:45" ht="12.75" customHeight="1">
      <c r="A20" s="603" t="s">
        <v>135</v>
      </c>
      <c r="B20" s="604"/>
      <c r="C20" s="605"/>
      <c r="D20" s="606"/>
      <c r="E20" s="607"/>
      <c r="F20" s="608"/>
      <c r="G20" s="608"/>
      <c r="H20" s="609">
        <f>SUM(I20:K20)</f>
        <v>0</v>
      </c>
      <c r="I20" s="606"/>
      <c r="J20" s="607"/>
      <c r="K20" s="607"/>
      <c r="L20" s="609">
        <f>SUM(M20:Z20)</f>
        <v>3166.7858692089685</v>
      </c>
      <c r="M20" s="607"/>
      <c r="N20" s="607"/>
      <c r="O20" s="607">
        <v>90.017983923640699</v>
      </c>
      <c r="P20" s="607">
        <v>640.53679657777786</v>
      </c>
      <c r="Q20" s="607">
        <v>226.77459106847999</v>
      </c>
      <c r="R20" s="607">
        <v>0</v>
      </c>
      <c r="S20" s="607">
        <v>960.95017928079096</v>
      </c>
      <c r="T20" s="607">
        <v>64.797462901984332</v>
      </c>
      <c r="U20" s="607">
        <v>1146.9502117491124</v>
      </c>
      <c r="V20" s="607"/>
      <c r="W20" s="608">
        <v>36.758643707182323</v>
      </c>
      <c r="X20" s="608"/>
      <c r="Y20" s="608"/>
      <c r="Z20" s="607"/>
      <c r="AA20" s="609"/>
      <c r="AB20" s="610">
        <f>SUM(AC20:AL20)</f>
        <v>0</v>
      </c>
      <c r="AC20" s="611"/>
      <c r="AD20" s="607"/>
      <c r="AE20" s="607"/>
      <c r="AF20" s="607"/>
      <c r="AG20" s="607"/>
      <c r="AH20" s="607"/>
      <c r="AI20" s="607"/>
      <c r="AJ20" s="607"/>
      <c r="AK20" s="606"/>
      <c r="AL20" s="606"/>
      <c r="AM20" s="608"/>
      <c r="AN20" s="612"/>
      <c r="AO20" s="612"/>
      <c r="AP20" s="610"/>
      <c r="AQ20" s="613">
        <f t="shared" si="0"/>
        <v>3166.7858692089685</v>
      </c>
    </row>
    <row r="21" spans="1:45" ht="12.75" customHeight="1">
      <c r="A21" s="626" t="s">
        <v>136</v>
      </c>
      <c r="B21" s="627"/>
      <c r="C21" s="628">
        <f>SUM(C22:C24)</f>
        <v>22.240061570656763</v>
      </c>
      <c r="D21" s="629">
        <f>SUM(D22:D24)</f>
        <v>-17.141361188350004</v>
      </c>
      <c r="E21" s="630">
        <f>SUM(E22:E24)</f>
        <v>39.381422759006767</v>
      </c>
      <c r="F21" s="631">
        <f>SUM(F22:F24)</f>
        <v>0</v>
      </c>
      <c r="G21" s="631">
        <f>SUM(G22:G24)</f>
        <v>0</v>
      </c>
      <c r="H21" s="632">
        <f>SUM(I21:K21)</f>
        <v>0</v>
      </c>
      <c r="I21" s="629">
        <f>SUM(I22:I24)</f>
        <v>0</v>
      </c>
      <c r="J21" s="630">
        <f>SUM(J22:J24)</f>
        <v>0</v>
      </c>
      <c r="K21" s="630">
        <f>SUM(K22:K24)</f>
        <v>0</v>
      </c>
      <c r="L21" s="632">
        <f>SUM(M21:Z21)</f>
        <v>-24.953759699422424</v>
      </c>
      <c r="M21" s="630">
        <f t="shared" ref="M21:AQ21" si="9">SUM(M22:M24)</f>
        <v>0</v>
      </c>
      <c r="N21" s="630">
        <f t="shared" si="9"/>
        <v>30.880435114089789</v>
      </c>
      <c r="O21" s="630">
        <f t="shared" si="9"/>
        <v>0</v>
      </c>
      <c r="P21" s="630">
        <f t="shared" si="9"/>
        <v>-31.080771455555681</v>
      </c>
      <c r="Q21" s="630">
        <f t="shared" si="9"/>
        <v>374.46366644960005</v>
      </c>
      <c r="R21" s="630">
        <f t="shared" si="9"/>
        <v>-373.64776418279996</v>
      </c>
      <c r="S21" s="630">
        <f t="shared" si="9"/>
        <v>0</v>
      </c>
      <c r="T21" s="630">
        <f t="shared" si="9"/>
        <v>0</v>
      </c>
      <c r="U21" s="630">
        <f t="shared" si="9"/>
        <v>-3.3292640540998377</v>
      </c>
      <c r="V21" s="630">
        <f t="shared" si="9"/>
        <v>-22.240061570656767</v>
      </c>
      <c r="W21" s="631">
        <f t="shared" si="9"/>
        <v>0</v>
      </c>
      <c r="X21" s="631">
        <f t="shared" si="9"/>
        <v>0</v>
      </c>
      <c r="Y21" s="631">
        <f t="shared" si="9"/>
        <v>0</v>
      </c>
      <c r="Z21" s="630">
        <f t="shared" si="9"/>
        <v>0</v>
      </c>
      <c r="AA21" s="632">
        <f t="shared" si="9"/>
        <v>0</v>
      </c>
      <c r="AB21" s="633">
        <f t="shared" si="9"/>
        <v>-804.14402736760053</v>
      </c>
      <c r="AC21" s="634">
        <f t="shared" si="9"/>
        <v>-59.691708987970003</v>
      </c>
      <c r="AD21" s="630">
        <f t="shared" si="9"/>
        <v>-743.01992281532614</v>
      </c>
      <c r="AE21" s="630">
        <f t="shared" si="9"/>
        <v>0</v>
      </c>
      <c r="AF21" s="630">
        <f t="shared" si="9"/>
        <v>0</v>
      </c>
      <c r="AG21" s="635">
        <f t="shared" si="9"/>
        <v>0</v>
      </c>
      <c r="AH21" s="635">
        <f t="shared" si="9"/>
        <v>0</v>
      </c>
      <c r="AI21" s="635">
        <f t="shared" si="9"/>
        <v>0</v>
      </c>
      <c r="AJ21" s="635">
        <f t="shared" si="9"/>
        <v>0</v>
      </c>
      <c r="AK21" s="629">
        <f t="shared" si="9"/>
        <v>-1.4323955643044282</v>
      </c>
      <c r="AL21" s="635">
        <f t="shared" si="9"/>
        <v>0</v>
      </c>
      <c r="AM21" s="631">
        <f t="shared" si="9"/>
        <v>0</v>
      </c>
      <c r="AN21" s="636">
        <f t="shared" si="9"/>
        <v>0</v>
      </c>
      <c r="AO21" s="632">
        <f t="shared" si="9"/>
        <v>804.14402736760053</v>
      </c>
      <c r="AP21" s="633">
        <f t="shared" si="9"/>
        <v>0</v>
      </c>
      <c r="AQ21" s="637">
        <f t="shared" si="9"/>
        <v>-2.7136981287656603</v>
      </c>
    </row>
    <row r="22" spans="1:45" ht="12.75" customHeight="1">
      <c r="A22" s="591" t="s">
        <v>137</v>
      </c>
      <c r="B22" s="592"/>
      <c r="C22" s="638"/>
      <c r="D22" s="639"/>
      <c r="E22" s="640"/>
      <c r="F22" s="596"/>
      <c r="G22" s="596"/>
      <c r="H22" s="597"/>
      <c r="I22" s="641"/>
      <c r="J22" s="595"/>
      <c r="K22" s="595"/>
      <c r="L22" s="597"/>
      <c r="M22" s="595"/>
      <c r="N22" s="595"/>
      <c r="O22" s="595"/>
      <c r="P22" s="595"/>
      <c r="Q22" s="595"/>
      <c r="R22" s="595"/>
      <c r="S22" s="595"/>
      <c r="T22" s="595"/>
      <c r="U22" s="595"/>
      <c r="V22" s="595"/>
      <c r="W22" s="596"/>
      <c r="X22" s="596"/>
      <c r="Y22" s="596"/>
      <c r="Z22" s="595"/>
      <c r="AA22" s="597"/>
      <c r="AB22" s="598">
        <f>SUM(AC22:AM22)</f>
        <v>-804.14402736760053</v>
      </c>
      <c r="AC22" s="599">
        <f>-AC2</f>
        <v>-59.691708987970003</v>
      </c>
      <c r="AD22" s="595">
        <f>-AD2</f>
        <v>-743.01992281532614</v>
      </c>
      <c r="AE22" s="595"/>
      <c r="AF22" s="595"/>
      <c r="AG22" s="602"/>
      <c r="AH22" s="602"/>
      <c r="AI22" s="602"/>
      <c r="AJ22" s="602"/>
      <c r="AK22" s="594">
        <v>-1.4323955643044282</v>
      </c>
      <c r="AL22" s="602"/>
      <c r="AM22" s="596"/>
      <c r="AN22" s="600"/>
      <c r="AO22" s="597">
        <f>-(C22+H22+L22+AA22+AB22)</f>
        <v>804.14402736760053</v>
      </c>
      <c r="AP22" s="598"/>
      <c r="AQ22" s="624">
        <f>C22+H22+L22+AA22+AB22+AN22+AO22+AP22</f>
        <v>0</v>
      </c>
    </row>
    <row r="23" spans="1:45" ht="12.75" customHeight="1">
      <c r="A23" s="11" t="s">
        <v>138</v>
      </c>
      <c r="B23" s="615"/>
      <c r="C23" s="642"/>
      <c r="D23" s="643"/>
      <c r="E23" s="618"/>
      <c r="F23" s="644"/>
      <c r="G23" s="644"/>
      <c r="H23" s="620"/>
      <c r="J23" s="645"/>
      <c r="K23" s="645"/>
      <c r="L23" s="620"/>
      <c r="M23" s="645"/>
      <c r="N23" s="645"/>
      <c r="O23" s="645"/>
      <c r="P23" s="645"/>
      <c r="Q23" s="645"/>
      <c r="R23" s="645"/>
      <c r="S23" s="645"/>
      <c r="T23" s="645"/>
      <c r="U23" s="645"/>
      <c r="V23" s="645"/>
      <c r="W23" s="644"/>
      <c r="X23" s="644"/>
      <c r="Y23" s="644"/>
      <c r="Z23" s="645"/>
      <c r="AA23" s="620"/>
      <c r="AB23" s="12"/>
      <c r="AC23" s="646"/>
      <c r="AD23" s="645"/>
      <c r="AE23" s="645"/>
      <c r="AF23" s="645"/>
      <c r="AG23" s="645"/>
      <c r="AH23" s="645"/>
      <c r="AI23" s="645"/>
      <c r="AJ23" s="645"/>
      <c r="AK23" s="647"/>
      <c r="AL23" s="647"/>
      <c r="AM23" s="644"/>
      <c r="AN23" s="648"/>
      <c r="AO23" s="620"/>
      <c r="AP23" s="12"/>
      <c r="AQ23" s="649">
        <f>C23+H23+L23+AA23+AB23+AN23+AO23+AP23</f>
        <v>0</v>
      </c>
    </row>
    <row r="24" spans="1:45" ht="12.75" customHeight="1" thickBot="1">
      <c r="A24" s="558" t="s">
        <v>139</v>
      </c>
      <c r="B24" s="559"/>
      <c r="C24" s="650">
        <f>SUM(D24:G24)</f>
        <v>22.240061570656763</v>
      </c>
      <c r="D24" s="651">
        <v>-17.141361188350004</v>
      </c>
      <c r="E24" s="566">
        <f>-D24-V24</f>
        <v>39.381422759006767</v>
      </c>
      <c r="F24" s="561"/>
      <c r="G24" s="561"/>
      <c r="H24" s="562"/>
      <c r="I24" s="652"/>
      <c r="J24" s="566"/>
      <c r="K24" s="566"/>
      <c r="L24" s="562">
        <f>SUM(N24:Z24)</f>
        <v>-24.953759699422424</v>
      </c>
      <c r="M24" s="566"/>
      <c r="N24" s="566">
        <v>30.880435114089789</v>
      </c>
      <c r="O24" s="566"/>
      <c r="P24" s="566">
        <v>-31.080771455555681</v>
      </c>
      <c r="Q24" s="566">
        <v>374.46366644960005</v>
      </c>
      <c r="R24" s="566">
        <v>-373.64776418279996</v>
      </c>
      <c r="S24" s="566">
        <v>0</v>
      </c>
      <c r="T24" s="566"/>
      <c r="U24" s="566">
        <v>-3.3292640540998377</v>
      </c>
      <c r="V24" s="561">
        <v>-22.240061570656767</v>
      </c>
      <c r="W24" s="561">
        <v>0</v>
      </c>
      <c r="X24" s="561"/>
      <c r="Y24" s="561"/>
      <c r="Z24" s="566"/>
      <c r="AA24" s="562"/>
      <c r="AB24" s="562">
        <f>SUM(AC24:AM24)</f>
        <v>0</v>
      </c>
      <c r="AC24" s="565"/>
      <c r="AD24" s="566"/>
      <c r="AE24" s="566"/>
      <c r="AF24" s="566"/>
      <c r="AG24" s="566"/>
      <c r="AH24" s="566"/>
      <c r="AI24" s="566"/>
      <c r="AJ24" s="566"/>
      <c r="AK24" s="563"/>
      <c r="AL24" s="563"/>
      <c r="AM24" s="561"/>
      <c r="AN24" s="567"/>
      <c r="AO24" s="562"/>
      <c r="AP24" s="564"/>
      <c r="AQ24" s="568">
        <f>C24+H24+L24+AA24+AB24+AN24+AO24+AP24</f>
        <v>-2.7136981287656603</v>
      </c>
    </row>
    <row r="25" spans="1:45" ht="12.75" customHeight="1" thickBot="1">
      <c r="A25" s="614" t="s">
        <v>140</v>
      </c>
      <c r="B25" s="615"/>
      <c r="C25" s="616">
        <f>SUM(D25:G25)</f>
        <v>0</v>
      </c>
      <c r="D25" s="617"/>
      <c r="E25" s="618"/>
      <c r="F25" s="644"/>
      <c r="G25" s="644"/>
      <c r="H25" s="620">
        <f>SUM(I25:K25)</f>
        <v>10.28324833984202</v>
      </c>
      <c r="I25" s="644">
        <v>10.28324833984202</v>
      </c>
      <c r="J25" s="645"/>
      <c r="K25" s="645"/>
      <c r="L25" s="620">
        <f>SUM(O25:Z25)</f>
        <v>98.284657617035819</v>
      </c>
      <c r="M25" s="645"/>
      <c r="N25" s="645"/>
      <c r="O25" s="645">
        <v>95.274692021714102</v>
      </c>
      <c r="P25" s="645"/>
      <c r="Q25" s="645"/>
      <c r="R25" s="645"/>
      <c r="S25" s="645">
        <v>0</v>
      </c>
      <c r="T25" s="645">
        <v>4.1693256233877908E-3</v>
      </c>
      <c r="U25" s="645">
        <v>3.0057962696983291</v>
      </c>
      <c r="V25" s="645"/>
      <c r="W25" s="644"/>
      <c r="X25" s="644"/>
      <c r="Y25" s="644"/>
      <c r="Z25" s="645"/>
      <c r="AA25" s="620">
        <v>57.528599543766255</v>
      </c>
      <c r="AB25" s="12">
        <f>SUM(AC25:AI25)</f>
        <v>0</v>
      </c>
      <c r="AC25" s="621"/>
      <c r="AD25" s="645"/>
      <c r="AE25" s="645"/>
      <c r="AF25" s="645"/>
      <c r="AG25" s="645"/>
      <c r="AH25" s="645"/>
      <c r="AI25" s="645"/>
      <c r="AJ25" s="645"/>
      <c r="AK25" s="647"/>
      <c r="AL25" s="647"/>
      <c r="AM25" s="644"/>
      <c r="AN25" s="648"/>
      <c r="AO25" s="620">
        <v>259.46681438260055</v>
      </c>
      <c r="AP25" s="12"/>
      <c r="AQ25" s="649">
        <f>C25+H25+L25+AA25+AB25+AN25+AO25+AP25</f>
        <v>425.56331988324462</v>
      </c>
    </row>
    <row r="26" spans="1:45" s="5" customFormat="1" ht="12.75" customHeight="1" thickBot="1">
      <c r="A26" s="653" t="s">
        <v>141</v>
      </c>
      <c r="B26" s="654"/>
      <c r="C26" s="655">
        <f t="shared" ref="C26:AP26" si="10">C7-C9+C15+C21-C25</f>
        <v>348.69297193905459</v>
      </c>
      <c r="D26" s="656">
        <f t="shared" si="10"/>
        <v>190.34389623369066</v>
      </c>
      <c r="E26" s="657">
        <f t="shared" si="10"/>
        <v>149.86072528467759</v>
      </c>
      <c r="F26" s="657">
        <f t="shared" si="10"/>
        <v>0</v>
      </c>
      <c r="G26" s="657">
        <f t="shared" si="10"/>
        <v>8.4883504206865013</v>
      </c>
      <c r="H26" s="658">
        <f t="shared" si="10"/>
        <v>199.31419506885081</v>
      </c>
      <c r="I26" s="656">
        <f t="shared" si="10"/>
        <v>0.37225106885087023</v>
      </c>
      <c r="J26" s="657">
        <f t="shared" si="10"/>
        <v>127.70399999999999</v>
      </c>
      <c r="K26" s="657">
        <f t="shared" si="10"/>
        <v>71.237943999999999</v>
      </c>
      <c r="L26" s="658">
        <f t="shared" si="10"/>
        <v>7296.7282199976062</v>
      </c>
      <c r="M26" s="657">
        <f t="shared" si="10"/>
        <v>0</v>
      </c>
      <c r="N26" s="657">
        <f t="shared" si="10"/>
        <v>-0.14794174855289199</v>
      </c>
      <c r="O26" s="657">
        <f t="shared" si="10"/>
        <v>-5.2567080980734033</v>
      </c>
      <c r="P26" s="657">
        <f t="shared" si="10"/>
        <v>799.46408249999979</v>
      </c>
      <c r="Q26" s="657">
        <f t="shared" si="10"/>
        <v>962.00436969728003</v>
      </c>
      <c r="R26" s="657">
        <f t="shared" si="10"/>
        <v>1095.3569190907197</v>
      </c>
      <c r="S26" s="657">
        <f t="shared" si="10"/>
        <v>39.21120498695575</v>
      </c>
      <c r="T26" s="657">
        <f t="shared" si="10"/>
        <v>187.88084937540125</v>
      </c>
      <c r="U26" s="657">
        <f t="shared" si="10"/>
        <v>3833.6812396704358</v>
      </c>
      <c r="V26" s="657">
        <f t="shared" si="10"/>
        <v>145.44440711224036</v>
      </c>
      <c r="W26" s="657">
        <f t="shared" si="10"/>
        <v>7.506512734116022</v>
      </c>
      <c r="X26" s="657">
        <f t="shared" si="10"/>
        <v>195.36275312176252</v>
      </c>
      <c r="Y26" s="657">
        <f t="shared" si="10"/>
        <v>1.2096467108549098</v>
      </c>
      <c r="Z26" s="657">
        <f t="shared" si="10"/>
        <v>35.010884844467988</v>
      </c>
      <c r="AA26" s="658">
        <f t="shared" si="10"/>
        <v>1921.4292269183238</v>
      </c>
      <c r="AB26" s="659">
        <f t="shared" si="10"/>
        <v>456.44000480998989</v>
      </c>
      <c r="AC26" s="589">
        <f t="shared" si="10"/>
        <v>0</v>
      </c>
      <c r="AD26" s="573">
        <f t="shared" si="10"/>
        <v>0</v>
      </c>
      <c r="AE26" s="573">
        <f t="shared" si="10"/>
        <v>196.67659478004623</v>
      </c>
      <c r="AF26" s="573">
        <f t="shared" si="10"/>
        <v>40.692904224132207</v>
      </c>
      <c r="AG26" s="573">
        <f t="shared" si="10"/>
        <v>0</v>
      </c>
      <c r="AH26" s="573">
        <f t="shared" si="10"/>
        <v>9.7770611234061491</v>
      </c>
      <c r="AI26" s="573">
        <f t="shared" si="10"/>
        <v>124.01266332172798</v>
      </c>
      <c r="AJ26" s="573">
        <f t="shared" si="10"/>
        <v>27.929372998367999</v>
      </c>
      <c r="AK26" s="575">
        <f t="shared" si="10"/>
        <v>0</v>
      </c>
      <c r="AL26" s="575">
        <f t="shared" si="10"/>
        <v>13.54608560366562</v>
      </c>
      <c r="AM26" s="660">
        <f t="shared" si="10"/>
        <v>43.805322758643676</v>
      </c>
      <c r="AN26" s="658">
        <f t="shared" si="10"/>
        <v>54.722939604974087</v>
      </c>
      <c r="AO26" s="658">
        <f t="shared" si="10"/>
        <v>2361.2693974490917</v>
      </c>
      <c r="AP26" s="659">
        <f t="shared" si="10"/>
        <v>0</v>
      </c>
      <c r="AQ26" s="661">
        <f>C26+H26+L26+AA26+AB26+AN26+AO26+AP26</f>
        <v>12638.596955787891</v>
      </c>
      <c r="AR26" s="1"/>
      <c r="AS26" s="4"/>
    </row>
    <row r="27" spans="1:45" s="5" customFormat="1" ht="12.75" customHeight="1">
      <c r="A27" s="569" t="s">
        <v>142</v>
      </c>
      <c r="B27" s="570"/>
      <c r="C27" s="571">
        <f t="shared" ref="C27:V27" si="11">C28</f>
        <v>0</v>
      </c>
      <c r="D27" s="575">
        <f t="shared" si="11"/>
        <v>0</v>
      </c>
      <c r="E27" s="573">
        <f t="shared" si="11"/>
        <v>0</v>
      </c>
      <c r="F27" s="588">
        <f t="shared" si="11"/>
        <v>0</v>
      </c>
      <c r="G27" s="588">
        <f t="shared" si="11"/>
        <v>0</v>
      </c>
      <c r="H27" s="574">
        <f t="shared" si="11"/>
        <v>0</v>
      </c>
      <c r="I27" s="575">
        <f t="shared" si="11"/>
        <v>0</v>
      </c>
      <c r="J27" s="573">
        <f t="shared" si="11"/>
        <v>0</v>
      </c>
      <c r="K27" s="573">
        <f t="shared" si="11"/>
        <v>0</v>
      </c>
      <c r="L27" s="574">
        <f t="shared" si="11"/>
        <v>231.58328467708543</v>
      </c>
      <c r="M27" s="573">
        <f t="shared" si="11"/>
        <v>0</v>
      </c>
      <c r="N27" s="573">
        <f t="shared" si="11"/>
        <v>0</v>
      </c>
      <c r="O27" s="573">
        <f t="shared" si="11"/>
        <v>0</v>
      </c>
      <c r="P27" s="573">
        <f t="shared" si="11"/>
        <v>0</v>
      </c>
      <c r="Q27" s="573">
        <f t="shared" si="11"/>
        <v>0</v>
      </c>
      <c r="R27" s="573">
        <f t="shared" si="11"/>
        <v>0</v>
      </c>
      <c r="S27" s="573">
        <f t="shared" si="11"/>
        <v>0</v>
      </c>
      <c r="T27" s="573">
        <f t="shared" si="11"/>
        <v>0</v>
      </c>
      <c r="U27" s="573">
        <f t="shared" si="11"/>
        <v>0</v>
      </c>
      <c r="V27" s="573">
        <f t="shared" si="11"/>
        <v>0</v>
      </c>
      <c r="W27" s="588"/>
      <c r="X27" s="588">
        <f t="shared" ref="X27:AQ27" si="12">X28</f>
        <v>195.36275312176252</v>
      </c>
      <c r="Y27" s="588">
        <f t="shared" si="12"/>
        <v>1.2096467108549098</v>
      </c>
      <c r="Z27" s="573">
        <f t="shared" si="12"/>
        <v>35.010884844467988</v>
      </c>
      <c r="AA27" s="574">
        <f t="shared" si="12"/>
        <v>0</v>
      </c>
      <c r="AB27" s="572">
        <f t="shared" si="12"/>
        <v>0</v>
      </c>
      <c r="AC27" s="589">
        <f t="shared" si="12"/>
        <v>0</v>
      </c>
      <c r="AD27" s="573">
        <f t="shared" si="12"/>
        <v>0</v>
      </c>
      <c r="AE27" s="573">
        <f t="shared" si="12"/>
        <v>0</v>
      </c>
      <c r="AF27" s="573">
        <f t="shared" si="12"/>
        <v>0</v>
      </c>
      <c r="AG27" s="573">
        <f t="shared" si="12"/>
        <v>0</v>
      </c>
      <c r="AH27" s="573">
        <f t="shared" si="12"/>
        <v>0</v>
      </c>
      <c r="AI27" s="573">
        <f t="shared" si="12"/>
        <v>0</v>
      </c>
      <c r="AJ27" s="573">
        <f t="shared" si="12"/>
        <v>0</v>
      </c>
      <c r="AK27" s="575">
        <f t="shared" si="12"/>
        <v>0</v>
      </c>
      <c r="AL27" s="575">
        <f t="shared" si="12"/>
        <v>0</v>
      </c>
      <c r="AM27" s="588">
        <f t="shared" si="12"/>
        <v>0</v>
      </c>
      <c r="AN27" s="574">
        <f t="shared" si="12"/>
        <v>0</v>
      </c>
      <c r="AO27" s="574">
        <f t="shared" si="12"/>
        <v>0</v>
      </c>
      <c r="AP27" s="572">
        <f t="shared" si="12"/>
        <v>0</v>
      </c>
      <c r="AQ27" s="577">
        <f t="shared" si="12"/>
        <v>231.58328467708543</v>
      </c>
      <c r="AR27" s="1"/>
      <c r="AS27" s="4"/>
    </row>
    <row r="28" spans="1:45" ht="12.75" customHeight="1" thickBot="1">
      <c r="A28" s="662" t="s">
        <v>143</v>
      </c>
      <c r="B28" s="663"/>
      <c r="C28" s="664">
        <f>SUM(D28:G28)</f>
        <v>0</v>
      </c>
      <c r="D28" s="629"/>
      <c r="E28" s="630"/>
      <c r="F28" s="631"/>
      <c r="G28" s="631"/>
      <c r="H28" s="636">
        <f>SUM(I28:K28)</f>
        <v>0</v>
      </c>
      <c r="I28" s="629"/>
      <c r="J28" s="630"/>
      <c r="K28" s="630"/>
      <c r="L28" s="636">
        <f>SUM(M28:Z28)</f>
        <v>231.58328467708543</v>
      </c>
      <c r="M28" s="630"/>
      <c r="N28" s="630"/>
      <c r="O28" s="630"/>
      <c r="P28" s="630"/>
      <c r="Q28" s="630"/>
      <c r="R28" s="630"/>
      <c r="S28" s="630"/>
      <c r="T28" s="630"/>
      <c r="U28" s="630"/>
      <c r="V28" s="630"/>
      <c r="W28" s="631"/>
      <c r="X28" s="631">
        <f>X26</f>
        <v>195.36275312176252</v>
      </c>
      <c r="Y28" s="631">
        <f>Y26</f>
        <v>1.2096467108549098</v>
      </c>
      <c r="Z28" s="630">
        <f>Z26</f>
        <v>35.010884844467988</v>
      </c>
      <c r="AA28" s="636">
        <v>0</v>
      </c>
      <c r="AB28" s="665">
        <f>SUM(AC28:AI28)</f>
        <v>0</v>
      </c>
      <c r="AC28" s="634"/>
      <c r="AD28" s="630"/>
      <c r="AE28" s="630"/>
      <c r="AF28" s="630"/>
      <c r="AG28" s="630"/>
      <c r="AH28" s="630"/>
      <c r="AI28" s="630"/>
      <c r="AJ28" s="630"/>
      <c r="AK28" s="629"/>
      <c r="AL28" s="629"/>
      <c r="AM28" s="631"/>
      <c r="AN28" s="636"/>
      <c r="AO28" s="636"/>
      <c r="AP28" s="665"/>
      <c r="AQ28" s="637">
        <f t="shared" ref="AQ28:AQ72" si="13">C28+H28+L28+AA28+AB28+AN28+AO28+AP28</f>
        <v>231.58328467708543</v>
      </c>
    </row>
    <row r="29" spans="1:45" s="5" customFormat="1" ht="12.75" customHeight="1" thickBot="1">
      <c r="A29" s="569" t="s">
        <v>144</v>
      </c>
      <c r="B29" s="570"/>
      <c r="C29" s="571">
        <f t="shared" ref="C29:AQ29" si="14">C30+C45+C56+C58+C65+C70+C71</f>
        <v>351.41289633822032</v>
      </c>
      <c r="D29" s="575">
        <f t="shared" si="14"/>
        <v>190.16205136582681</v>
      </c>
      <c r="E29" s="573">
        <f t="shared" si="14"/>
        <v>153.30941368399715</v>
      </c>
      <c r="F29" s="588">
        <f t="shared" si="14"/>
        <v>0</v>
      </c>
      <c r="G29" s="588">
        <f t="shared" si="14"/>
        <v>7.795884678396293</v>
      </c>
      <c r="H29" s="574">
        <f t="shared" si="14"/>
        <v>197.36847005356</v>
      </c>
      <c r="I29" s="575">
        <f t="shared" si="14"/>
        <v>0.82966372355999995</v>
      </c>
      <c r="J29" s="575">
        <f t="shared" si="14"/>
        <v>127.70399999999999</v>
      </c>
      <c r="K29" s="575">
        <f t="shared" si="14"/>
        <v>68.834806329999992</v>
      </c>
      <c r="L29" s="574">
        <f t="shared" si="14"/>
        <v>7065.3194555859664</v>
      </c>
      <c r="M29" s="573">
        <f t="shared" si="14"/>
        <v>0</v>
      </c>
      <c r="N29" s="573">
        <f t="shared" si="14"/>
        <v>0</v>
      </c>
      <c r="O29" s="573">
        <f t="shared" si="14"/>
        <v>0</v>
      </c>
      <c r="P29" s="573">
        <f t="shared" si="14"/>
        <v>821.48002832197096</v>
      </c>
      <c r="Q29" s="573">
        <f t="shared" si="14"/>
        <v>946.63395628255989</v>
      </c>
      <c r="R29" s="573">
        <f t="shared" si="14"/>
        <v>1102.0673096951998</v>
      </c>
      <c r="S29" s="573">
        <f t="shared" si="14"/>
        <v>31.039400915077643</v>
      </c>
      <c r="T29" s="573">
        <f t="shared" si="14"/>
        <v>181.32381570558749</v>
      </c>
      <c r="U29" s="573">
        <f t="shared" si="14"/>
        <v>3838.1558666328419</v>
      </c>
      <c r="V29" s="573">
        <f t="shared" si="14"/>
        <v>144.61907803272823</v>
      </c>
      <c r="W29" s="588">
        <f t="shared" si="14"/>
        <v>0</v>
      </c>
      <c r="X29" s="588">
        <f t="shared" si="14"/>
        <v>0</v>
      </c>
      <c r="Y29" s="588">
        <f t="shared" si="14"/>
        <v>0</v>
      </c>
      <c r="Z29" s="575">
        <f t="shared" si="14"/>
        <v>0</v>
      </c>
      <c r="AA29" s="658">
        <f t="shared" si="14"/>
        <v>1961.7039372255224</v>
      </c>
      <c r="AB29" s="572">
        <f t="shared" si="14"/>
        <v>464.57031831216926</v>
      </c>
      <c r="AC29" s="589">
        <f t="shared" si="14"/>
        <v>0</v>
      </c>
      <c r="AD29" s="573">
        <f t="shared" si="14"/>
        <v>0</v>
      </c>
      <c r="AE29" s="573">
        <f t="shared" si="14"/>
        <v>202.50934255862566</v>
      </c>
      <c r="AF29" s="573">
        <f t="shared" si="14"/>
        <v>40.692904224132199</v>
      </c>
      <c r="AG29" s="573">
        <f t="shared" si="14"/>
        <v>0</v>
      </c>
      <c r="AH29" s="573">
        <f t="shared" si="14"/>
        <v>9.7770611234061491</v>
      </c>
      <c r="AI29" s="573">
        <f t="shared" si="14"/>
        <v>126.968349188928</v>
      </c>
      <c r="AJ29" s="573">
        <f t="shared" si="14"/>
        <v>27.271252854767997</v>
      </c>
      <c r="AK29" s="572">
        <f t="shared" si="14"/>
        <v>0</v>
      </c>
      <c r="AL29" s="572">
        <f t="shared" si="14"/>
        <v>13.546085603665619</v>
      </c>
      <c r="AM29" s="572">
        <f t="shared" si="14"/>
        <v>43.805322758643683</v>
      </c>
      <c r="AN29" s="572">
        <f t="shared" si="14"/>
        <v>54.722939604974094</v>
      </c>
      <c r="AO29" s="574">
        <f t="shared" si="14"/>
        <v>2397.4208343089181</v>
      </c>
      <c r="AP29" s="572">
        <f t="shared" si="14"/>
        <v>0</v>
      </c>
      <c r="AQ29" s="661">
        <f t="shared" si="14"/>
        <v>12492.518851429331</v>
      </c>
      <c r="AR29" s="1"/>
      <c r="AS29" s="4"/>
    </row>
    <row r="30" spans="1:45" s="5" customFormat="1" ht="12.75" customHeight="1">
      <c r="A30" s="61" t="s">
        <v>145</v>
      </c>
      <c r="B30" s="666"/>
      <c r="C30" s="667">
        <f>SUM(C31:C44)</f>
        <v>105.57009591000003</v>
      </c>
      <c r="D30" s="668">
        <v>105.4245493</v>
      </c>
      <c r="E30" s="668">
        <v>0</v>
      </c>
      <c r="F30" s="669"/>
      <c r="G30" s="669"/>
      <c r="H30" s="670">
        <f>SUM(H31:H44)</f>
        <v>0.82966372355999995</v>
      </c>
      <c r="I30" s="671">
        <f t="shared" ref="I30:K30" si="15">SUM(I31:I44)</f>
        <v>0.82966372355999995</v>
      </c>
      <c r="J30" s="668">
        <f t="shared" si="15"/>
        <v>0</v>
      </c>
      <c r="K30" s="668">
        <f t="shared" si="15"/>
        <v>0</v>
      </c>
      <c r="L30" s="670">
        <f>SUM(L31:L44)</f>
        <v>374.2907898235643</v>
      </c>
      <c r="M30" s="668">
        <f>SUM(M31:M44)</f>
        <v>0</v>
      </c>
      <c r="N30" s="668">
        <f>SUM(N31:N44)</f>
        <v>0</v>
      </c>
      <c r="O30" s="668">
        <f>SUM(O31:O44)</f>
        <v>0</v>
      </c>
      <c r="P30" s="668">
        <f>SUM(P31:P44)</f>
        <v>0</v>
      </c>
      <c r="Q30" s="668">
        <v>9.5497368091127406</v>
      </c>
      <c r="R30" s="668">
        <f>SUM(R31:R44)</f>
        <v>0</v>
      </c>
      <c r="S30" s="668">
        <v>30.396553446461994</v>
      </c>
      <c r="T30" s="668">
        <v>55.909311724159259</v>
      </c>
      <c r="U30" s="668">
        <v>137.32678867057862</v>
      </c>
      <c r="V30" s="668">
        <v>141.10839917325163</v>
      </c>
      <c r="W30" s="668">
        <f>SUM(W31:W44)</f>
        <v>0</v>
      </c>
      <c r="X30" s="668">
        <f>SUM(X31:X44)</f>
        <v>0</v>
      </c>
      <c r="Y30" s="668">
        <f>SUM(Y31:Y44)</f>
        <v>0</v>
      </c>
      <c r="Z30" s="668">
        <f>SUM(Z31:Z44)</f>
        <v>0</v>
      </c>
      <c r="AA30" s="670">
        <v>937.35749564856553</v>
      </c>
      <c r="AB30" s="672">
        <f t="shared" ref="AB30:AN30" si="16">SUM(AB31:AB44)</f>
        <v>196.85576511692614</v>
      </c>
      <c r="AC30" s="673">
        <f t="shared" si="16"/>
        <v>0</v>
      </c>
      <c r="AD30" s="668">
        <f t="shared" si="16"/>
        <v>0</v>
      </c>
      <c r="AE30" s="668">
        <f t="shared" si="16"/>
        <v>153.9273551380638</v>
      </c>
      <c r="AF30" s="668">
        <f t="shared" si="16"/>
        <v>40.692904224132199</v>
      </c>
      <c r="AG30" s="668">
        <f t="shared" si="16"/>
        <v>0</v>
      </c>
      <c r="AH30" s="668">
        <f t="shared" si="16"/>
        <v>2.2355057547301662</v>
      </c>
      <c r="AI30" s="668">
        <f t="shared" si="16"/>
        <v>0</v>
      </c>
      <c r="AJ30" s="668">
        <f t="shared" si="16"/>
        <v>0</v>
      </c>
      <c r="AK30" s="668">
        <f t="shared" si="16"/>
        <v>0</v>
      </c>
      <c r="AL30" s="668">
        <f t="shared" si="16"/>
        <v>0</v>
      </c>
      <c r="AM30" s="674">
        <f t="shared" si="16"/>
        <v>0</v>
      </c>
      <c r="AN30" s="671">
        <f t="shared" si="16"/>
        <v>54.722939604974094</v>
      </c>
      <c r="AO30" s="670">
        <v>621.72214114590861</v>
      </c>
      <c r="AP30" s="672">
        <f>SUM(AP31:AP44)</f>
        <v>0</v>
      </c>
      <c r="AQ30" s="590">
        <f t="shared" ref="AQ30" si="17">C30+H30+L30+AA30+AB30+AN30+AO30+AP30</f>
        <v>2291.3488909734988</v>
      </c>
      <c r="AR30" s="1"/>
      <c r="AS30" s="4"/>
    </row>
    <row r="31" spans="1:45" ht="12.75" customHeight="1">
      <c r="A31" s="675" t="s">
        <v>146</v>
      </c>
      <c r="B31" s="676" t="s">
        <v>147</v>
      </c>
      <c r="C31" s="677">
        <f t="shared" ref="C31:C43" si="18">SUM(D31:G31)</f>
        <v>0</v>
      </c>
      <c r="D31" s="599">
        <v>0</v>
      </c>
      <c r="E31" s="678"/>
      <c r="F31" s="678"/>
      <c r="G31" s="679"/>
      <c r="H31" s="680">
        <f t="shared" ref="H31:H43" si="19">SUM(I31:K31)</f>
        <v>0</v>
      </c>
      <c r="I31" s="681"/>
      <c r="J31" s="602"/>
      <c r="K31" s="602"/>
      <c r="L31" s="680">
        <f t="shared" ref="L31:L43" si="20">SUM(M31:Z31)</f>
        <v>22.334930091304539</v>
      </c>
      <c r="M31" s="602"/>
      <c r="N31" s="602"/>
      <c r="O31" s="602"/>
      <c r="P31" s="682"/>
      <c r="Q31" s="641">
        <v>0.34591578903338577</v>
      </c>
      <c r="R31" s="678"/>
      <c r="S31" s="641">
        <v>0</v>
      </c>
      <c r="T31" s="641">
        <v>1.3603740574248424</v>
      </c>
      <c r="U31" s="641">
        <v>20.628640244846309</v>
      </c>
      <c r="V31" s="641">
        <v>0</v>
      </c>
      <c r="W31" s="678"/>
      <c r="X31" s="681"/>
      <c r="Y31" s="682"/>
      <c r="Z31" s="602"/>
      <c r="AA31" s="600">
        <v>8.7861347374034651</v>
      </c>
      <c r="AB31" s="683">
        <f t="shared" ref="AB31:AB43" si="21">SUM(AC31:AM31)</f>
        <v>0</v>
      </c>
      <c r="AC31" s="684"/>
      <c r="AD31" s="602"/>
      <c r="AE31" s="602"/>
      <c r="AF31" s="602"/>
      <c r="AG31" s="602"/>
      <c r="AH31" s="602"/>
      <c r="AI31" s="602"/>
      <c r="AJ31" s="602"/>
      <c r="AK31" s="594"/>
      <c r="AL31" s="596"/>
      <c r="AM31" s="602"/>
      <c r="AN31" s="600"/>
      <c r="AO31" s="600">
        <v>18.350912208427118</v>
      </c>
      <c r="AP31" s="683"/>
      <c r="AQ31" s="601">
        <f t="shared" si="13"/>
        <v>49.471977037135119</v>
      </c>
    </row>
    <row r="32" spans="1:45" ht="12.75" customHeight="1">
      <c r="A32" s="685" t="s">
        <v>148</v>
      </c>
      <c r="B32" s="686" t="s">
        <v>149</v>
      </c>
      <c r="C32" s="546">
        <f t="shared" si="18"/>
        <v>18.505815952000003</v>
      </c>
      <c r="D32" s="554">
        <v>18.505815952000003</v>
      </c>
      <c r="E32" s="687"/>
      <c r="F32" s="687"/>
      <c r="G32" s="688"/>
      <c r="H32" s="550">
        <f t="shared" si="19"/>
        <v>0.82966372355999995</v>
      </c>
      <c r="I32" s="551">
        <v>0.82966372355999995</v>
      </c>
      <c r="J32" s="552"/>
      <c r="K32" s="552"/>
      <c r="L32" s="550">
        <f t="shared" si="20"/>
        <v>71.784094369696632</v>
      </c>
      <c r="M32" s="552"/>
      <c r="N32" s="552"/>
      <c r="O32" s="552"/>
      <c r="P32" s="682"/>
      <c r="Q32" s="687">
        <v>2.0660606672266768</v>
      </c>
      <c r="R32" s="687"/>
      <c r="S32" s="687">
        <v>22.968462416696998</v>
      </c>
      <c r="T32" s="687">
        <v>30.662877604409012</v>
      </c>
      <c r="U32" s="687">
        <v>16.086693681363943</v>
      </c>
      <c r="V32" s="687">
        <v>0</v>
      </c>
      <c r="W32" s="687"/>
      <c r="X32" s="551"/>
      <c r="Y32" s="549"/>
      <c r="Z32" s="552"/>
      <c r="AA32" s="555">
        <v>265.46537885977392</v>
      </c>
      <c r="AB32" s="553">
        <f t="shared" si="21"/>
        <v>26.063524749810167</v>
      </c>
      <c r="AC32" s="554"/>
      <c r="AD32" s="552"/>
      <c r="AE32" s="552">
        <v>23.828018995080001</v>
      </c>
      <c r="AF32" s="552"/>
      <c r="AG32" s="602"/>
      <c r="AH32" s="602">
        <v>2.2355057547301662</v>
      </c>
      <c r="AI32" s="602"/>
      <c r="AJ32" s="602"/>
      <c r="AK32" s="551"/>
      <c r="AL32" s="549"/>
      <c r="AM32" s="552"/>
      <c r="AN32" s="555"/>
      <c r="AO32" s="555">
        <v>148.76072128018708</v>
      </c>
      <c r="AP32" s="553"/>
      <c r="AQ32" s="556">
        <f t="shared" si="13"/>
        <v>531.4091989350278</v>
      </c>
    </row>
    <row r="33" spans="1:45" ht="12.75" customHeight="1">
      <c r="A33" s="685" t="s">
        <v>150</v>
      </c>
      <c r="B33" s="689" t="s">
        <v>151</v>
      </c>
      <c r="C33" s="546">
        <f t="shared" si="18"/>
        <v>0</v>
      </c>
      <c r="D33" s="554">
        <v>0</v>
      </c>
      <c r="E33" s="687"/>
      <c r="F33" s="687"/>
      <c r="G33" s="688"/>
      <c r="H33" s="550">
        <f t="shared" si="19"/>
        <v>0</v>
      </c>
      <c r="I33" s="551"/>
      <c r="J33" s="552"/>
      <c r="K33" s="552"/>
      <c r="L33" s="550">
        <f t="shared" si="20"/>
        <v>3.9848369673637745</v>
      </c>
      <c r="M33" s="552"/>
      <c r="N33" s="552"/>
      <c r="O33" s="552"/>
      <c r="P33" s="682"/>
      <c r="Q33" s="687">
        <v>6.1845550160514413E-2</v>
      </c>
      <c r="R33" s="687"/>
      <c r="S33" s="687">
        <v>0</v>
      </c>
      <c r="T33" s="687">
        <v>3.2282811958991577</v>
      </c>
      <c r="U33" s="687">
        <v>0.69471022130410232</v>
      </c>
      <c r="V33" s="687">
        <v>0</v>
      </c>
      <c r="W33" s="687"/>
      <c r="X33" s="551"/>
      <c r="Y33" s="549"/>
      <c r="Z33" s="552"/>
      <c r="AA33" s="555">
        <v>19.827078866680154</v>
      </c>
      <c r="AB33" s="553">
        <f t="shared" si="21"/>
        <v>0</v>
      </c>
      <c r="AC33" s="554"/>
      <c r="AD33" s="552"/>
      <c r="AE33" s="552"/>
      <c r="AF33" s="552"/>
      <c r="AG33" s="602"/>
      <c r="AH33" s="602"/>
      <c r="AI33" s="602"/>
      <c r="AJ33" s="602"/>
      <c r="AK33" s="551"/>
      <c r="AL33" s="549"/>
      <c r="AM33" s="552"/>
      <c r="AN33" s="555"/>
      <c r="AO33" s="555">
        <v>4.8844128009868593</v>
      </c>
      <c r="AP33" s="553"/>
      <c r="AQ33" s="556">
        <f t="shared" si="13"/>
        <v>28.696328635030788</v>
      </c>
    </row>
    <row r="34" spans="1:45" ht="12.75" customHeight="1">
      <c r="A34" s="685" t="s">
        <v>152</v>
      </c>
      <c r="B34" s="689" t="s">
        <v>153</v>
      </c>
      <c r="C34" s="546">
        <f t="shared" si="18"/>
        <v>0</v>
      </c>
      <c r="D34" s="554">
        <v>0</v>
      </c>
      <c r="E34" s="687"/>
      <c r="F34" s="687"/>
      <c r="G34" s="688"/>
      <c r="H34" s="550">
        <f t="shared" si="19"/>
        <v>0</v>
      </c>
      <c r="I34" s="551"/>
      <c r="J34" s="552"/>
      <c r="K34" s="552"/>
      <c r="L34" s="550">
        <f t="shared" si="20"/>
        <v>2.6182891559382289</v>
      </c>
      <c r="M34" s="552"/>
      <c r="N34" s="552"/>
      <c r="O34" s="552"/>
      <c r="P34" s="682"/>
      <c r="Q34" s="687">
        <v>8.9099521417690272E-2</v>
      </c>
      <c r="R34" s="687"/>
      <c r="S34" s="687">
        <v>0</v>
      </c>
      <c r="T34" s="687">
        <v>0.28505282634285456</v>
      </c>
      <c r="U34" s="687">
        <v>2.244136808177684</v>
      </c>
      <c r="V34" s="687">
        <v>0</v>
      </c>
      <c r="W34" s="687"/>
      <c r="X34" s="551"/>
      <c r="Y34" s="549"/>
      <c r="Z34" s="552"/>
      <c r="AA34" s="555">
        <v>3.0214445851101197</v>
      </c>
      <c r="AB34" s="553">
        <f t="shared" si="21"/>
        <v>127.87356205415999</v>
      </c>
      <c r="AC34" s="554"/>
      <c r="AD34" s="552"/>
      <c r="AE34" s="552">
        <v>127.87356205415999</v>
      </c>
      <c r="AF34" s="552"/>
      <c r="AG34" s="602"/>
      <c r="AH34" s="602"/>
      <c r="AI34" s="602"/>
      <c r="AJ34" s="602"/>
      <c r="AK34" s="551"/>
      <c r="AL34" s="549"/>
      <c r="AM34" s="552"/>
      <c r="AN34" s="555"/>
      <c r="AO34" s="555">
        <v>26.251691103783244</v>
      </c>
      <c r="AP34" s="553"/>
      <c r="AQ34" s="556">
        <f t="shared" si="13"/>
        <v>159.76498689899159</v>
      </c>
    </row>
    <row r="35" spans="1:45" ht="12.75" customHeight="1">
      <c r="A35" s="685" t="s">
        <v>154</v>
      </c>
      <c r="B35" s="689" t="s">
        <v>155</v>
      </c>
      <c r="C35" s="546">
        <f t="shared" si="18"/>
        <v>0</v>
      </c>
      <c r="D35" s="554">
        <v>0</v>
      </c>
      <c r="E35" s="687"/>
      <c r="F35" s="687"/>
      <c r="G35" s="688"/>
      <c r="H35" s="550">
        <f t="shared" si="19"/>
        <v>0</v>
      </c>
      <c r="I35" s="551"/>
      <c r="J35" s="552"/>
      <c r="K35" s="552"/>
      <c r="L35" s="550">
        <f t="shared" si="20"/>
        <v>0.83838358845358163</v>
      </c>
      <c r="M35" s="552"/>
      <c r="N35" s="552"/>
      <c r="O35" s="552"/>
      <c r="P35" s="682"/>
      <c r="Q35" s="687">
        <v>0.19497071745518102</v>
      </c>
      <c r="R35" s="687"/>
      <c r="S35" s="687">
        <v>0</v>
      </c>
      <c r="T35" s="687">
        <v>5.0985058370266664E-2</v>
      </c>
      <c r="U35" s="687">
        <v>0.59242781262813393</v>
      </c>
      <c r="V35" s="687">
        <v>0</v>
      </c>
      <c r="W35" s="687"/>
      <c r="X35" s="551"/>
      <c r="Y35" s="549"/>
      <c r="Z35" s="552"/>
      <c r="AA35" s="555">
        <v>4.5940947412447954</v>
      </c>
      <c r="AB35" s="553">
        <f t="shared" si="21"/>
        <v>0</v>
      </c>
      <c r="AC35" s="554"/>
      <c r="AD35" s="552"/>
      <c r="AE35" s="552"/>
      <c r="AF35" s="552"/>
      <c r="AG35" s="602"/>
      <c r="AH35" s="602"/>
      <c r="AI35" s="602"/>
      <c r="AJ35" s="602"/>
      <c r="AK35" s="551"/>
      <c r="AL35" s="549"/>
      <c r="AM35" s="552"/>
      <c r="AN35" s="555"/>
      <c r="AO35" s="555">
        <v>10.638816275668107</v>
      </c>
      <c r="AP35" s="553"/>
      <c r="AQ35" s="556">
        <f t="shared" si="13"/>
        <v>16.071294605366482</v>
      </c>
    </row>
    <row r="36" spans="1:45" ht="12.75" customHeight="1">
      <c r="A36" s="685" t="s">
        <v>156</v>
      </c>
      <c r="B36" s="689" t="s">
        <v>157</v>
      </c>
      <c r="C36" s="546">
        <f t="shared" si="18"/>
        <v>0</v>
      </c>
      <c r="D36" s="684">
        <v>0</v>
      </c>
      <c r="E36" s="687"/>
      <c r="F36" s="687"/>
      <c r="G36" s="688"/>
      <c r="H36" s="550">
        <f t="shared" si="19"/>
        <v>0</v>
      </c>
      <c r="I36" s="551"/>
      <c r="J36" s="552"/>
      <c r="K36" s="552"/>
      <c r="L36" s="550">
        <f t="shared" si="20"/>
        <v>20.491702651385793</v>
      </c>
      <c r="M36" s="552"/>
      <c r="N36" s="552"/>
      <c r="O36" s="552"/>
      <c r="P36" s="682"/>
      <c r="Q36" s="678">
        <v>0.29140784651903406</v>
      </c>
      <c r="R36" s="687"/>
      <c r="S36" s="678">
        <v>2.7458233928999998</v>
      </c>
      <c r="T36" s="678">
        <v>2.7311768767890574</v>
      </c>
      <c r="U36" s="678">
        <v>4.9055048279840703</v>
      </c>
      <c r="V36" s="678">
        <v>9.8177897071936346</v>
      </c>
      <c r="W36" s="687"/>
      <c r="X36" s="551"/>
      <c r="Y36" s="549"/>
      <c r="Z36" s="552"/>
      <c r="AA36" s="690">
        <v>128.0014006524043</v>
      </c>
      <c r="AB36" s="553">
        <f t="shared" si="21"/>
        <v>0</v>
      </c>
      <c r="AC36" s="554"/>
      <c r="AD36" s="552"/>
      <c r="AE36" s="552">
        <v>0</v>
      </c>
      <c r="AF36" s="552"/>
      <c r="AG36" s="602"/>
      <c r="AH36" s="602"/>
      <c r="AI36" s="602"/>
      <c r="AJ36" s="602"/>
      <c r="AK36" s="681"/>
      <c r="AL36" s="682"/>
      <c r="AM36" s="552"/>
      <c r="AN36" s="690"/>
      <c r="AO36" s="690">
        <v>104.62854472087723</v>
      </c>
      <c r="AP36" s="553"/>
      <c r="AQ36" s="556">
        <f t="shared" si="13"/>
        <v>253.12164802466731</v>
      </c>
    </row>
    <row r="37" spans="1:45" ht="12.75" customHeight="1">
      <c r="A37" s="685" t="s">
        <v>158</v>
      </c>
      <c r="B37" s="689" t="s">
        <v>159</v>
      </c>
      <c r="C37" s="546">
        <f t="shared" si="18"/>
        <v>0</v>
      </c>
      <c r="D37" s="554">
        <v>0</v>
      </c>
      <c r="E37" s="687"/>
      <c r="F37" s="687"/>
      <c r="G37" s="688"/>
      <c r="H37" s="550">
        <f t="shared" si="19"/>
        <v>0</v>
      </c>
      <c r="I37" s="551"/>
      <c r="J37" s="552"/>
      <c r="K37" s="552"/>
      <c r="L37" s="550">
        <f t="shared" si="20"/>
        <v>4.5221622064203446</v>
      </c>
      <c r="M37" s="552"/>
      <c r="N37" s="552"/>
      <c r="O37" s="552"/>
      <c r="P37" s="682"/>
      <c r="Q37" s="687">
        <v>1.8396430598593692</v>
      </c>
      <c r="R37" s="687"/>
      <c r="S37" s="687">
        <v>0</v>
      </c>
      <c r="T37" s="687">
        <v>1.2363876654789667</v>
      </c>
      <c r="U37" s="687">
        <v>1.446131481082009</v>
      </c>
      <c r="V37" s="687">
        <v>0</v>
      </c>
      <c r="W37" s="687"/>
      <c r="X37" s="551"/>
      <c r="Y37" s="549"/>
      <c r="Z37" s="552"/>
      <c r="AA37" s="555">
        <v>2.284026640331299</v>
      </c>
      <c r="AB37" s="553">
        <f t="shared" si="21"/>
        <v>0</v>
      </c>
      <c r="AC37" s="554"/>
      <c r="AD37" s="552"/>
      <c r="AE37" s="552"/>
      <c r="AF37" s="552"/>
      <c r="AG37" s="602"/>
      <c r="AH37" s="602"/>
      <c r="AI37" s="602"/>
      <c r="AJ37" s="602"/>
      <c r="AK37" s="551"/>
      <c r="AL37" s="549"/>
      <c r="AM37" s="552"/>
      <c r="AN37" s="555"/>
      <c r="AO37" s="555">
        <v>20.435816256672165</v>
      </c>
      <c r="AP37" s="553"/>
      <c r="AQ37" s="556">
        <f t="shared" si="13"/>
        <v>27.242005103423807</v>
      </c>
    </row>
    <row r="38" spans="1:45" ht="12.75" customHeight="1">
      <c r="A38" s="685" t="s">
        <v>160</v>
      </c>
      <c r="B38" s="689" t="s">
        <v>161</v>
      </c>
      <c r="C38" s="546">
        <f t="shared" si="18"/>
        <v>86.919212076000022</v>
      </c>
      <c r="D38" s="554">
        <v>86.919212076000022</v>
      </c>
      <c r="E38" s="687"/>
      <c r="F38" s="687"/>
      <c r="G38" s="688"/>
      <c r="H38" s="550">
        <f t="shared" si="19"/>
        <v>0</v>
      </c>
      <c r="I38" s="551"/>
      <c r="J38" s="552"/>
      <c r="K38" s="552"/>
      <c r="L38" s="550">
        <f t="shared" si="20"/>
        <v>165.25524621751634</v>
      </c>
      <c r="M38" s="552"/>
      <c r="N38" s="552"/>
      <c r="O38" s="552"/>
      <c r="P38" s="682"/>
      <c r="Q38" s="687">
        <v>1.7086143518921777</v>
      </c>
      <c r="R38" s="687"/>
      <c r="S38" s="687">
        <v>0</v>
      </c>
      <c r="T38" s="687">
        <v>2.4472828017727997</v>
      </c>
      <c r="U38" s="687">
        <v>29.80873959779337</v>
      </c>
      <c r="V38" s="687">
        <v>131.29060946605799</v>
      </c>
      <c r="W38" s="687"/>
      <c r="X38" s="551"/>
      <c r="Y38" s="549"/>
      <c r="Z38" s="552"/>
      <c r="AA38" s="555">
        <v>20.60514689627021</v>
      </c>
      <c r="AB38" s="553">
        <f t="shared" si="21"/>
        <v>42.918678312955997</v>
      </c>
      <c r="AC38" s="554"/>
      <c r="AD38" s="552"/>
      <c r="AE38" s="552">
        <v>2.2257740888237998</v>
      </c>
      <c r="AF38" s="552">
        <v>40.692904224132199</v>
      </c>
      <c r="AG38" s="602"/>
      <c r="AH38" s="602"/>
      <c r="AI38" s="602"/>
      <c r="AJ38" s="602"/>
      <c r="AK38" s="551"/>
      <c r="AL38" s="549"/>
      <c r="AM38" s="552"/>
      <c r="AN38" s="555">
        <v>54.722939604974094</v>
      </c>
      <c r="AO38" s="555">
        <v>54.010284601158837</v>
      </c>
      <c r="AP38" s="553"/>
      <c r="AQ38" s="556">
        <f t="shared" si="13"/>
        <v>424.43150770887547</v>
      </c>
    </row>
    <row r="39" spans="1:45" ht="12.75" customHeight="1">
      <c r="A39" s="685" t="s">
        <v>162</v>
      </c>
      <c r="B39" s="689" t="s">
        <v>163</v>
      </c>
      <c r="C39" s="546">
        <f t="shared" si="18"/>
        <v>0.14506788200000253</v>
      </c>
      <c r="D39" s="554">
        <v>0.14506788200000253</v>
      </c>
      <c r="E39" s="687"/>
      <c r="F39" s="687"/>
      <c r="G39" s="688"/>
      <c r="H39" s="550">
        <f t="shared" si="19"/>
        <v>0</v>
      </c>
      <c r="I39" s="551"/>
      <c r="J39" s="552"/>
      <c r="K39" s="552"/>
      <c r="L39" s="550">
        <f t="shared" si="20"/>
        <v>8.534515108025424</v>
      </c>
      <c r="M39" s="552"/>
      <c r="N39" s="552"/>
      <c r="O39" s="552"/>
      <c r="P39" s="682"/>
      <c r="Q39" s="687">
        <v>0.75262889856354831</v>
      </c>
      <c r="R39" s="687"/>
      <c r="S39" s="687">
        <v>1.0397614907400001</v>
      </c>
      <c r="T39" s="687">
        <v>3.4113639055014784</v>
      </c>
      <c r="U39" s="687">
        <v>3.3307608132203974</v>
      </c>
      <c r="V39" s="687">
        <v>0</v>
      </c>
      <c r="W39" s="687"/>
      <c r="X39" s="551"/>
      <c r="Y39" s="549"/>
      <c r="Z39" s="552"/>
      <c r="AA39" s="555">
        <v>408.68833080126041</v>
      </c>
      <c r="AB39" s="553">
        <f t="shared" si="21"/>
        <v>0</v>
      </c>
      <c r="AC39" s="554"/>
      <c r="AD39" s="552"/>
      <c r="AE39" s="552"/>
      <c r="AF39" s="552"/>
      <c r="AG39" s="602"/>
      <c r="AH39" s="602"/>
      <c r="AI39" s="602"/>
      <c r="AJ39" s="602"/>
      <c r="AK39" s="551"/>
      <c r="AL39" s="549"/>
      <c r="AM39" s="552"/>
      <c r="AN39" s="555"/>
      <c r="AO39" s="555">
        <v>49.329922605876547</v>
      </c>
      <c r="AP39" s="553"/>
      <c r="AQ39" s="556">
        <f t="shared" si="13"/>
        <v>466.6978363971624</v>
      </c>
    </row>
    <row r="40" spans="1:45" ht="12.75" customHeight="1">
      <c r="A40" s="685" t="s">
        <v>164</v>
      </c>
      <c r="B40" s="689" t="s">
        <v>165</v>
      </c>
      <c r="C40" s="546">
        <f t="shared" si="18"/>
        <v>0</v>
      </c>
      <c r="D40" s="554">
        <v>0</v>
      </c>
      <c r="E40" s="687"/>
      <c r="F40" s="687"/>
      <c r="G40" s="688"/>
      <c r="H40" s="550">
        <f t="shared" si="19"/>
        <v>0</v>
      </c>
      <c r="I40" s="551"/>
      <c r="J40" s="552"/>
      <c r="K40" s="552"/>
      <c r="L40" s="550">
        <f t="shared" si="20"/>
        <v>4.4175991624811015</v>
      </c>
      <c r="M40" s="552"/>
      <c r="N40" s="552"/>
      <c r="O40" s="552"/>
      <c r="P40" s="682"/>
      <c r="Q40" s="687">
        <v>0.21069416241124406</v>
      </c>
      <c r="R40" s="687"/>
      <c r="S40" s="687">
        <v>0</v>
      </c>
      <c r="T40" s="687">
        <v>2.0741648746085759</v>
      </c>
      <c r="U40" s="687">
        <v>2.1327401254612819</v>
      </c>
      <c r="V40" s="687">
        <v>0</v>
      </c>
      <c r="W40" s="687"/>
      <c r="X40" s="551"/>
      <c r="Y40" s="549"/>
      <c r="Z40" s="552"/>
      <c r="AA40" s="555">
        <v>7.9737681987539286</v>
      </c>
      <c r="AB40" s="553">
        <f t="shared" si="21"/>
        <v>0</v>
      </c>
      <c r="AC40" s="554"/>
      <c r="AD40" s="552"/>
      <c r="AE40" s="552"/>
      <c r="AF40" s="552"/>
      <c r="AG40" s="602"/>
      <c r="AH40" s="602"/>
      <c r="AI40" s="602"/>
      <c r="AJ40" s="602"/>
      <c r="AK40" s="551"/>
      <c r="AL40" s="549"/>
      <c r="AM40" s="552"/>
      <c r="AN40" s="555"/>
      <c r="AO40" s="555">
        <v>18.411529811795422</v>
      </c>
      <c r="AP40" s="553"/>
      <c r="AQ40" s="556">
        <f t="shared" si="13"/>
        <v>30.802897173030452</v>
      </c>
    </row>
    <row r="41" spans="1:45" ht="12.75" customHeight="1">
      <c r="A41" s="685" t="s">
        <v>166</v>
      </c>
      <c r="B41" s="689" t="s">
        <v>167</v>
      </c>
      <c r="C41" s="546">
        <f t="shared" si="18"/>
        <v>0</v>
      </c>
      <c r="D41" s="684">
        <v>0</v>
      </c>
      <c r="E41" s="687"/>
      <c r="F41" s="687"/>
      <c r="G41" s="688"/>
      <c r="H41" s="550">
        <f t="shared" si="19"/>
        <v>0</v>
      </c>
      <c r="I41" s="551"/>
      <c r="J41" s="552"/>
      <c r="K41" s="552"/>
      <c r="L41" s="550">
        <f t="shared" si="20"/>
        <v>3.5291908924471116</v>
      </c>
      <c r="M41" s="552"/>
      <c r="N41" s="552"/>
      <c r="O41" s="552"/>
      <c r="P41" s="682"/>
      <c r="Q41" s="678">
        <v>0.4496905257434014</v>
      </c>
      <c r="R41" s="687"/>
      <c r="S41" s="678">
        <v>0</v>
      </c>
      <c r="T41" s="678">
        <v>2.0880698905277391</v>
      </c>
      <c r="U41" s="678">
        <v>0.99143047617597102</v>
      </c>
      <c r="V41" s="678">
        <v>0</v>
      </c>
      <c r="W41" s="687"/>
      <c r="X41" s="551"/>
      <c r="Y41" s="549"/>
      <c r="Z41" s="552"/>
      <c r="AA41" s="690">
        <v>18.389717274057872</v>
      </c>
      <c r="AB41" s="553">
        <f t="shared" si="21"/>
        <v>0</v>
      </c>
      <c r="AC41" s="554"/>
      <c r="AD41" s="552"/>
      <c r="AE41" s="552"/>
      <c r="AF41" s="552"/>
      <c r="AG41" s="602"/>
      <c r="AH41" s="602"/>
      <c r="AI41" s="602"/>
      <c r="AJ41" s="602"/>
      <c r="AK41" s="681"/>
      <c r="AL41" s="682"/>
      <c r="AM41" s="552"/>
      <c r="AN41" s="690"/>
      <c r="AO41" s="690">
        <v>80.043410825191572</v>
      </c>
      <c r="AP41" s="553"/>
      <c r="AQ41" s="556">
        <f t="shared" si="13"/>
        <v>101.96231899169655</v>
      </c>
    </row>
    <row r="42" spans="1:45" ht="12.75" customHeight="1">
      <c r="A42" s="685" t="s">
        <v>168</v>
      </c>
      <c r="B42" s="689" t="s">
        <v>169</v>
      </c>
      <c r="C42" s="546">
        <f t="shared" si="18"/>
        <v>0</v>
      </c>
      <c r="D42" s="554">
        <v>0</v>
      </c>
      <c r="E42" s="687"/>
      <c r="F42" s="687"/>
      <c r="G42" s="688"/>
      <c r="H42" s="550">
        <f t="shared" si="19"/>
        <v>0</v>
      </c>
      <c r="I42" s="551"/>
      <c r="J42" s="552"/>
      <c r="K42" s="552"/>
      <c r="L42" s="550">
        <f t="shared" si="20"/>
        <v>1.41139605019423</v>
      </c>
      <c r="M42" s="552"/>
      <c r="N42" s="552"/>
      <c r="O42" s="552"/>
      <c r="P42" s="682"/>
      <c r="Q42" s="687">
        <v>5.2411483186876627E-2</v>
      </c>
      <c r="R42" s="687"/>
      <c r="S42" s="687">
        <v>0</v>
      </c>
      <c r="T42" s="687">
        <v>0.92352480729778486</v>
      </c>
      <c r="U42" s="687">
        <v>0.43545975970956852</v>
      </c>
      <c r="V42" s="687">
        <v>0</v>
      </c>
      <c r="W42" s="687"/>
      <c r="X42" s="551"/>
      <c r="Y42" s="549"/>
      <c r="Z42" s="552"/>
      <c r="AA42" s="555">
        <v>0.27057712702478681</v>
      </c>
      <c r="AB42" s="553">
        <f t="shared" si="21"/>
        <v>0</v>
      </c>
      <c r="AC42" s="554"/>
      <c r="AD42" s="552"/>
      <c r="AE42" s="552"/>
      <c r="AF42" s="552"/>
      <c r="AG42" s="602"/>
      <c r="AH42" s="602"/>
      <c r="AI42" s="602"/>
      <c r="AJ42" s="602"/>
      <c r="AK42" s="647"/>
      <c r="AL42" s="644"/>
      <c r="AM42" s="552"/>
      <c r="AN42" s="648"/>
      <c r="AO42" s="555">
        <v>2.2633417821038564</v>
      </c>
      <c r="AP42" s="553"/>
      <c r="AQ42" s="556">
        <f t="shared" si="13"/>
        <v>3.9453149593228733</v>
      </c>
    </row>
    <row r="43" spans="1:45" ht="12.75" customHeight="1">
      <c r="A43" s="685" t="s">
        <v>170</v>
      </c>
      <c r="B43" s="689" t="s">
        <v>171</v>
      </c>
      <c r="C43" s="546">
        <f t="shared" si="18"/>
        <v>0</v>
      </c>
      <c r="D43" s="554">
        <v>0</v>
      </c>
      <c r="E43" s="687"/>
      <c r="F43" s="687"/>
      <c r="G43" s="688"/>
      <c r="H43" s="550">
        <f t="shared" si="19"/>
        <v>0</v>
      </c>
      <c r="I43" s="551"/>
      <c r="J43" s="552"/>
      <c r="K43" s="552">
        <v>0</v>
      </c>
      <c r="L43" s="550">
        <f t="shared" si="20"/>
        <v>12.511675497016565</v>
      </c>
      <c r="M43" s="552"/>
      <c r="N43" s="552"/>
      <c r="O43" s="552"/>
      <c r="P43" s="549"/>
      <c r="Q43" s="687">
        <v>0.76415942486466115</v>
      </c>
      <c r="R43" s="687"/>
      <c r="S43" s="687">
        <v>3.6425061461249997</v>
      </c>
      <c r="T43" s="687">
        <v>4.9362806513030915</v>
      </c>
      <c r="U43" s="687">
        <v>3.1687292747238134</v>
      </c>
      <c r="V43" s="687">
        <v>0</v>
      </c>
      <c r="W43" s="687"/>
      <c r="X43" s="551"/>
      <c r="Y43" s="549"/>
      <c r="Z43" s="552"/>
      <c r="AA43" s="555">
        <v>30.013736057345717</v>
      </c>
      <c r="AB43" s="553">
        <f t="shared" si="21"/>
        <v>0</v>
      </c>
      <c r="AC43" s="554"/>
      <c r="AD43" s="552"/>
      <c r="AE43" s="552"/>
      <c r="AF43" s="552"/>
      <c r="AG43" s="552"/>
      <c r="AH43" s="552"/>
      <c r="AI43" s="552"/>
      <c r="AJ43" s="552"/>
      <c r="AK43" s="551"/>
      <c r="AL43" s="549"/>
      <c r="AM43" s="552"/>
      <c r="AN43" s="555"/>
      <c r="AO43" s="555">
        <v>59.095333131604164</v>
      </c>
      <c r="AP43" s="553"/>
      <c r="AQ43" s="556">
        <f t="shared" si="13"/>
        <v>101.62074468596644</v>
      </c>
    </row>
    <row r="44" spans="1:45" ht="12.75" customHeight="1">
      <c r="A44" s="691" t="s">
        <v>798</v>
      </c>
      <c r="B44" s="692" t="s">
        <v>799</v>
      </c>
      <c r="C44" s="605">
        <f>SUM(D44:G44)</f>
        <v>0</v>
      </c>
      <c r="D44" s="611">
        <v>0</v>
      </c>
      <c r="E44" s="693"/>
      <c r="F44" s="693"/>
      <c r="G44" s="694"/>
      <c r="H44" s="609">
        <f>SUM(I44:K44)</f>
        <v>0</v>
      </c>
      <c r="I44" s="606"/>
      <c r="J44" s="607"/>
      <c r="K44" s="607"/>
      <c r="L44" s="609">
        <f>SUM(M44:Z44)</f>
        <v>52.05676786532063</v>
      </c>
      <c r="M44" s="607"/>
      <c r="N44" s="607"/>
      <c r="O44" s="607"/>
      <c r="P44" s="608"/>
      <c r="Q44" s="693">
        <v>0.72259481077897947</v>
      </c>
      <c r="R44" s="693"/>
      <c r="S44" s="693">
        <v>0</v>
      </c>
      <c r="T44" s="693">
        <v>0.47348950843364052</v>
      </c>
      <c r="U44" s="693">
        <v>50.860683546108007</v>
      </c>
      <c r="V44" s="693">
        <v>0</v>
      </c>
      <c r="W44" s="693"/>
      <c r="X44" s="606"/>
      <c r="Y44" s="608"/>
      <c r="Z44" s="607"/>
      <c r="AA44" s="612">
        <v>19.436660210904712</v>
      </c>
      <c r="AB44" s="610">
        <f>SUM(AC44:AM44)</f>
        <v>0</v>
      </c>
      <c r="AC44" s="611"/>
      <c r="AD44" s="607"/>
      <c r="AE44" s="607"/>
      <c r="AF44" s="607"/>
      <c r="AG44" s="607"/>
      <c r="AH44" s="607"/>
      <c r="AI44" s="607"/>
      <c r="AJ44" s="607"/>
      <c r="AK44" s="606"/>
      <c r="AL44" s="608"/>
      <c r="AM44" s="607"/>
      <c r="AN44" s="612"/>
      <c r="AO44" s="612">
        <v>24.617403741576357</v>
      </c>
      <c r="AP44" s="610"/>
      <c r="AQ44" s="613">
        <f>C44+H44+L44+AA44+AB44+AN44+AO44+AP44</f>
        <v>96.110831817801696</v>
      </c>
    </row>
    <row r="45" spans="1:45" s="5" customFormat="1" ht="12.75" customHeight="1">
      <c r="A45" s="61" t="s">
        <v>172</v>
      </c>
      <c r="B45" s="615"/>
      <c r="C45" s="695">
        <f t="shared" ref="C45:AP45" si="22">SUM(C46:C55)</f>
        <v>0</v>
      </c>
      <c r="D45" s="696">
        <f t="shared" si="22"/>
        <v>0</v>
      </c>
      <c r="E45" s="696">
        <f t="shared" si="22"/>
        <v>0</v>
      </c>
      <c r="F45" s="697">
        <f t="shared" si="22"/>
        <v>0</v>
      </c>
      <c r="G45" s="697">
        <f t="shared" si="22"/>
        <v>0</v>
      </c>
      <c r="H45" s="698">
        <f t="shared" si="22"/>
        <v>0</v>
      </c>
      <c r="I45" s="699">
        <f t="shared" si="22"/>
        <v>0</v>
      </c>
      <c r="J45" s="696">
        <f t="shared" si="22"/>
        <v>0</v>
      </c>
      <c r="K45" s="696">
        <f t="shared" si="22"/>
        <v>0</v>
      </c>
      <c r="L45" s="698">
        <f t="shared" si="22"/>
        <v>5019.9247759387081</v>
      </c>
      <c r="M45" s="696">
        <f t="shared" si="22"/>
        <v>0</v>
      </c>
      <c r="N45" s="696">
        <f t="shared" ref="N45" si="23">SUM(N46:N55)</f>
        <v>0</v>
      </c>
      <c r="O45" s="696">
        <f t="shared" si="22"/>
        <v>0</v>
      </c>
      <c r="P45" s="696">
        <f t="shared" si="22"/>
        <v>821.48002832197096</v>
      </c>
      <c r="Q45" s="696">
        <f t="shared" si="22"/>
        <v>0</v>
      </c>
      <c r="R45" s="696">
        <f t="shared" si="22"/>
        <v>1102.0673096951998</v>
      </c>
      <c r="S45" s="696">
        <f t="shared" si="22"/>
        <v>0</v>
      </c>
      <c r="T45" s="696">
        <f t="shared" si="22"/>
        <v>1.8520724281984335</v>
      </c>
      <c r="U45" s="696">
        <f>SUM(U46:U55)</f>
        <v>3094.5253654933395</v>
      </c>
      <c r="V45" s="696">
        <f t="shared" si="22"/>
        <v>0</v>
      </c>
      <c r="W45" s="697">
        <f t="shared" si="22"/>
        <v>0</v>
      </c>
      <c r="X45" s="697">
        <f t="shared" si="22"/>
        <v>0</v>
      </c>
      <c r="Y45" s="697">
        <f t="shared" si="22"/>
        <v>0</v>
      </c>
      <c r="Z45" s="696">
        <f t="shared" si="22"/>
        <v>0</v>
      </c>
      <c r="AA45" s="698">
        <f t="shared" si="22"/>
        <v>22.560835415583806</v>
      </c>
      <c r="AB45" s="700">
        <f t="shared" si="22"/>
        <v>154.23960204369601</v>
      </c>
      <c r="AC45" s="701">
        <f t="shared" si="22"/>
        <v>0</v>
      </c>
      <c r="AD45" s="696">
        <f t="shared" si="22"/>
        <v>0</v>
      </c>
      <c r="AE45" s="696">
        <f t="shared" si="22"/>
        <v>0</v>
      </c>
      <c r="AF45" s="696">
        <f t="shared" ref="AF45" si="24">SUM(AF46:AF55)</f>
        <v>0</v>
      </c>
      <c r="AG45" s="696">
        <f t="shared" si="22"/>
        <v>0</v>
      </c>
      <c r="AH45" s="696">
        <f t="shared" si="22"/>
        <v>0</v>
      </c>
      <c r="AI45" s="696">
        <f t="shared" si="22"/>
        <v>126.968349188928</v>
      </c>
      <c r="AJ45" s="696">
        <f t="shared" ref="AJ45" si="25">SUM(AJ46:AJ55)</f>
        <v>27.271252854767997</v>
      </c>
      <c r="AK45" s="699">
        <f t="shared" si="22"/>
        <v>0</v>
      </c>
      <c r="AL45" s="697">
        <f t="shared" ref="AL45" si="26">SUM(AL46:AL55)</f>
        <v>0</v>
      </c>
      <c r="AM45" s="696">
        <f t="shared" si="22"/>
        <v>0</v>
      </c>
      <c r="AN45" s="698">
        <f t="shared" si="22"/>
        <v>0</v>
      </c>
      <c r="AO45" s="698">
        <f t="shared" si="22"/>
        <v>5.3733816232262495</v>
      </c>
      <c r="AP45" s="700">
        <f t="shared" si="22"/>
        <v>0</v>
      </c>
      <c r="AQ45" s="702">
        <f t="shared" si="13"/>
        <v>5202.0985950212144</v>
      </c>
      <c r="AR45" s="1"/>
      <c r="AS45" s="4"/>
    </row>
    <row r="46" spans="1:45" ht="12.75" customHeight="1">
      <c r="A46" s="703" t="s">
        <v>173</v>
      </c>
      <c r="B46" s="592"/>
      <c r="C46" s="593">
        <f t="shared" ref="C46:C64" si="27">SUM(D46:G46)</f>
        <v>0</v>
      </c>
      <c r="D46" s="704"/>
      <c r="E46" s="640"/>
      <c r="F46" s="596"/>
      <c r="G46" s="596"/>
      <c r="H46" s="597">
        <f t="shared" ref="H46:H64" si="28">SUM(I46:K46)</f>
        <v>0</v>
      </c>
      <c r="I46" s="594"/>
      <c r="J46" s="595"/>
      <c r="K46" s="595"/>
      <c r="L46" s="597">
        <f t="shared" ref="L46:L64" si="29">SUM(M46:Z46)</f>
        <v>702.41214426261672</v>
      </c>
      <c r="M46" s="595"/>
      <c r="N46" s="595"/>
      <c r="O46" s="595"/>
      <c r="P46" s="595"/>
      <c r="Q46" s="595"/>
      <c r="R46" s="595"/>
      <c r="S46" s="595"/>
      <c r="T46" s="595"/>
      <c r="U46" s="595">
        <v>702.41214426261672</v>
      </c>
      <c r="V46" s="595"/>
      <c r="W46" s="596"/>
      <c r="X46" s="596"/>
      <c r="Y46" s="596"/>
      <c r="Z46" s="595"/>
      <c r="AA46" s="600">
        <v>2.9723185667999998E-2</v>
      </c>
      <c r="AB46" s="598">
        <f t="shared" ref="AB46:AB64" si="30">SUM(AC46:AM46)</f>
        <v>30.002374318707627</v>
      </c>
      <c r="AC46" s="599"/>
      <c r="AD46" s="595"/>
      <c r="AE46" s="595"/>
      <c r="AF46" s="595"/>
      <c r="AG46" s="595"/>
      <c r="AH46" s="595"/>
      <c r="AI46" s="595">
        <v>30.002374318707627</v>
      </c>
      <c r="AJ46" s="595">
        <v>0</v>
      </c>
      <c r="AK46" s="594"/>
      <c r="AL46" s="596"/>
      <c r="AM46" s="595"/>
      <c r="AN46" s="597"/>
      <c r="AO46" s="600"/>
      <c r="AP46" s="598"/>
      <c r="AQ46" s="624">
        <f t="shared" si="13"/>
        <v>732.44424176699238</v>
      </c>
    </row>
    <row r="47" spans="1:45" ht="12.75" customHeight="1">
      <c r="A47" s="675" t="s">
        <v>174</v>
      </c>
      <c r="B47" s="705"/>
      <c r="C47" s="546">
        <f t="shared" si="27"/>
        <v>0</v>
      </c>
      <c r="D47" s="706"/>
      <c r="E47" s="707"/>
      <c r="F47" s="682"/>
      <c r="G47" s="682"/>
      <c r="H47" s="550">
        <f t="shared" si="28"/>
        <v>0</v>
      </c>
      <c r="I47" s="681"/>
      <c r="J47" s="602"/>
      <c r="K47" s="602"/>
      <c r="L47" s="680">
        <f t="shared" si="29"/>
        <v>319.57486919365164</v>
      </c>
      <c r="M47" s="602"/>
      <c r="N47" s="602"/>
      <c r="O47" s="602"/>
      <c r="P47" s="602"/>
      <c r="Q47" s="602"/>
      <c r="R47" s="602"/>
      <c r="S47" s="602"/>
      <c r="T47" s="602"/>
      <c r="U47" s="602">
        <v>319.57486919365164</v>
      </c>
      <c r="V47" s="602"/>
      <c r="W47" s="682"/>
      <c r="X47" s="682"/>
      <c r="Y47" s="682"/>
      <c r="Z47" s="602"/>
      <c r="AA47" s="690"/>
      <c r="AB47" s="683">
        <f t="shared" si="30"/>
        <v>13.65011258235765</v>
      </c>
      <c r="AC47" s="684"/>
      <c r="AD47" s="602"/>
      <c r="AE47" s="602"/>
      <c r="AF47" s="602"/>
      <c r="AG47" s="602"/>
      <c r="AH47" s="602"/>
      <c r="AI47" s="602">
        <v>13.65011258235765</v>
      </c>
      <c r="AJ47" s="602">
        <v>0</v>
      </c>
      <c r="AK47" s="681"/>
      <c r="AL47" s="682"/>
      <c r="AM47" s="602"/>
      <c r="AN47" s="680"/>
      <c r="AO47" s="690"/>
      <c r="AP47" s="683"/>
      <c r="AQ47" s="601">
        <f t="shared" si="13"/>
        <v>333.22498177600926</v>
      </c>
    </row>
    <row r="48" spans="1:45" ht="12.75" customHeight="1">
      <c r="A48" s="685" t="s">
        <v>175</v>
      </c>
      <c r="B48" s="545"/>
      <c r="C48" s="546">
        <f t="shared" si="27"/>
        <v>0</v>
      </c>
      <c r="D48" s="547"/>
      <c r="E48" s="557"/>
      <c r="F48" s="549"/>
      <c r="G48" s="549"/>
      <c r="H48" s="550">
        <f t="shared" si="28"/>
        <v>0</v>
      </c>
      <c r="I48" s="551"/>
      <c r="J48" s="552"/>
      <c r="K48" s="552"/>
      <c r="L48" s="550">
        <f t="shared" si="29"/>
        <v>1985.7767970742025</v>
      </c>
      <c r="M48" s="552"/>
      <c r="N48" s="552"/>
      <c r="O48" s="552"/>
      <c r="P48" s="552">
        <v>673.74419325959013</v>
      </c>
      <c r="Q48" s="552"/>
      <c r="R48" s="552"/>
      <c r="S48" s="552"/>
      <c r="T48" s="552">
        <v>1.8520724281984335</v>
      </c>
      <c r="U48" s="552">
        <v>1310.180531386414</v>
      </c>
      <c r="V48" s="552"/>
      <c r="W48" s="549"/>
      <c r="X48" s="549"/>
      <c r="Y48" s="549"/>
      <c r="Z48" s="552"/>
      <c r="AA48" s="555"/>
      <c r="AB48" s="553">
        <f t="shared" si="30"/>
        <v>78.347166728170066</v>
      </c>
      <c r="AC48" s="554"/>
      <c r="AD48" s="552"/>
      <c r="AE48" s="552"/>
      <c r="AF48" s="552"/>
      <c r="AG48" s="552"/>
      <c r="AH48" s="552"/>
      <c r="AI48" s="552">
        <v>55.96219690791942</v>
      </c>
      <c r="AJ48" s="552">
        <v>22.384969820250642</v>
      </c>
      <c r="AK48" s="551"/>
      <c r="AL48" s="549"/>
      <c r="AM48" s="552"/>
      <c r="AN48" s="550"/>
      <c r="AO48" s="555">
        <v>1.0652907432262495</v>
      </c>
      <c r="AP48" s="553"/>
      <c r="AQ48" s="556">
        <f t="shared" si="13"/>
        <v>2065.1892545455989</v>
      </c>
    </row>
    <row r="49" spans="1:45" ht="12.75" customHeight="1">
      <c r="A49" s="685" t="s">
        <v>176</v>
      </c>
      <c r="B49" s="545"/>
      <c r="C49" s="546">
        <f t="shared" si="27"/>
        <v>0</v>
      </c>
      <c r="D49" s="547"/>
      <c r="E49" s="557"/>
      <c r="F49" s="549"/>
      <c r="G49" s="549"/>
      <c r="H49" s="550">
        <f t="shared" si="28"/>
        <v>0</v>
      </c>
      <c r="I49" s="551"/>
      <c r="J49" s="552"/>
      <c r="K49" s="552"/>
      <c r="L49" s="550">
        <f t="shared" si="29"/>
        <v>131.85233821544426</v>
      </c>
      <c r="M49" s="552"/>
      <c r="N49" s="552"/>
      <c r="O49" s="552"/>
      <c r="P49" s="552">
        <v>6.3769522656162847</v>
      </c>
      <c r="Q49" s="552"/>
      <c r="R49" s="552"/>
      <c r="S49" s="552"/>
      <c r="T49" s="552"/>
      <c r="U49" s="552">
        <v>125.47538594982798</v>
      </c>
      <c r="V49" s="552"/>
      <c r="W49" s="549"/>
      <c r="X49" s="549"/>
      <c r="Y49" s="549"/>
      <c r="Z49" s="552"/>
      <c r="AA49" s="555"/>
      <c r="AB49" s="553">
        <f t="shared" si="30"/>
        <v>5.5713463444749705</v>
      </c>
      <c r="AC49" s="554"/>
      <c r="AD49" s="552"/>
      <c r="AE49" s="552"/>
      <c r="AF49" s="552"/>
      <c r="AG49" s="552"/>
      <c r="AH49" s="552"/>
      <c r="AI49" s="552">
        <v>5.3594738186126225</v>
      </c>
      <c r="AJ49" s="552">
        <v>0.21187252586234828</v>
      </c>
      <c r="AK49" s="551"/>
      <c r="AL49" s="549"/>
      <c r="AM49" s="552"/>
      <c r="AN49" s="550"/>
      <c r="AO49" s="555"/>
      <c r="AP49" s="553"/>
      <c r="AQ49" s="556">
        <f t="shared" si="13"/>
        <v>137.42368455991922</v>
      </c>
    </row>
    <row r="50" spans="1:45" ht="12.75" customHeight="1">
      <c r="A50" s="685" t="s">
        <v>177</v>
      </c>
      <c r="B50" s="545"/>
      <c r="C50" s="546">
        <f t="shared" si="27"/>
        <v>0</v>
      </c>
      <c r="D50" s="547"/>
      <c r="E50" s="557"/>
      <c r="F50" s="549"/>
      <c r="G50" s="549"/>
      <c r="H50" s="550">
        <f t="shared" si="28"/>
        <v>0</v>
      </c>
      <c r="I50" s="551"/>
      <c r="J50" s="552"/>
      <c r="K50" s="552"/>
      <c r="L50" s="550">
        <f t="shared" si="29"/>
        <v>38.043221783939138</v>
      </c>
      <c r="M50" s="552"/>
      <c r="N50" s="552"/>
      <c r="O50" s="552"/>
      <c r="P50" s="552"/>
      <c r="Q50" s="552"/>
      <c r="R50" s="708"/>
      <c r="S50" s="552"/>
      <c r="T50" s="552"/>
      <c r="U50" s="552">
        <v>38.043221783939138</v>
      </c>
      <c r="V50" s="552"/>
      <c r="W50" s="549"/>
      <c r="X50" s="549"/>
      <c r="Y50" s="549"/>
      <c r="Z50" s="552"/>
      <c r="AA50" s="555"/>
      <c r="AB50" s="553">
        <f t="shared" si="30"/>
        <v>0</v>
      </c>
      <c r="AC50" s="554"/>
      <c r="AD50" s="552"/>
      <c r="AE50" s="552"/>
      <c r="AF50" s="552"/>
      <c r="AG50" s="552"/>
      <c r="AH50" s="552"/>
      <c r="AI50" s="552">
        <v>0</v>
      </c>
      <c r="AJ50" s="552"/>
      <c r="AK50" s="551"/>
      <c r="AL50" s="549"/>
      <c r="AM50" s="552"/>
      <c r="AN50" s="550"/>
      <c r="AO50" s="555">
        <v>4.30809088</v>
      </c>
      <c r="AP50" s="553"/>
      <c r="AQ50" s="556">
        <f t="shared" si="13"/>
        <v>42.35131266393914</v>
      </c>
    </row>
    <row r="51" spans="1:45" ht="12.75" customHeight="1">
      <c r="A51" s="685" t="s">
        <v>178</v>
      </c>
      <c r="B51" s="545"/>
      <c r="C51" s="546">
        <f t="shared" si="27"/>
        <v>0</v>
      </c>
      <c r="D51" s="547"/>
      <c r="E51" s="557"/>
      <c r="F51" s="549"/>
      <c r="G51" s="549"/>
      <c r="H51" s="550">
        <f t="shared" si="28"/>
        <v>0</v>
      </c>
      <c r="I51" s="551"/>
      <c r="J51" s="552"/>
      <c r="K51" s="552"/>
      <c r="L51" s="550">
        <f t="shared" si="29"/>
        <v>5.5768892778871404</v>
      </c>
      <c r="M51" s="552"/>
      <c r="N51" s="552"/>
      <c r="O51" s="552"/>
      <c r="P51" s="552">
        <v>0.66818888888888883</v>
      </c>
      <c r="Q51" s="552"/>
      <c r="R51" s="552">
        <v>4.9087003889982519</v>
      </c>
      <c r="S51" s="552"/>
      <c r="T51" s="552"/>
      <c r="U51" s="552"/>
      <c r="V51" s="552"/>
      <c r="W51" s="549"/>
      <c r="X51" s="549"/>
      <c r="Y51" s="549"/>
      <c r="Z51" s="552"/>
      <c r="AA51" s="555"/>
      <c r="AB51" s="553">
        <f t="shared" si="30"/>
        <v>0</v>
      </c>
      <c r="AC51" s="554"/>
      <c r="AD51" s="552"/>
      <c r="AE51" s="552"/>
      <c r="AF51" s="552"/>
      <c r="AG51" s="552"/>
      <c r="AH51" s="552"/>
      <c r="AI51" s="552"/>
      <c r="AJ51" s="552"/>
      <c r="AK51" s="551"/>
      <c r="AL51" s="549"/>
      <c r="AM51" s="552"/>
      <c r="AN51" s="550"/>
      <c r="AO51" s="555"/>
      <c r="AP51" s="553"/>
      <c r="AQ51" s="556">
        <f t="shared" si="13"/>
        <v>5.5768892778871404</v>
      </c>
    </row>
    <row r="52" spans="1:45" ht="12.75" customHeight="1">
      <c r="A52" s="685" t="s">
        <v>179</v>
      </c>
      <c r="B52" s="689"/>
      <c r="C52" s="709">
        <f t="shared" si="27"/>
        <v>0</v>
      </c>
      <c r="D52" s="708"/>
      <c r="E52" s="708"/>
      <c r="F52" s="710"/>
      <c r="G52" s="710"/>
      <c r="H52" s="711">
        <f t="shared" si="28"/>
        <v>0</v>
      </c>
      <c r="I52" s="712"/>
      <c r="J52" s="708"/>
      <c r="K52" s="708"/>
      <c r="L52" s="711">
        <f t="shared" si="29"/>
        <v>1097.1586093062015</v>
      </c>
      <c r="M52" s="708"/>
      <c r="N52" s="708"/>
      <c r="O52" s="708"/>
      <c r="P52" s="602"/>
      <c r="Q52" s="708"/>
      <c r="R52" s="708">
        <v>1097.1586093062015</v>
      </c>
      <c r="S52" s="708"/>
      <c r="T52" s="708"/>
      <c r="U52" s="708"/>
      <c r="V52" s="708"/>
      <c r="W52" s="710"/>
      <c r="X52" s="710"/>
      <c r="Y52" s="710"/>
      <c r="Z52" s="708"/>
      <c r="AA52" s="690"/>
      <c r="AB52" s="713">
        <f t="shared" si="30"/>
        <v>0</v>
      </c>
      <c r="AC52" s="714"/>
      <c r="AD52" s="708"/>
      <c r="AE52" s="708"/>
      <c r="AF52" s="708"/>
      <c r="AG52" s="708"/>
      <c r="AH52" s="708"/>
      <c r="AI52" s="708"/>
      <c r="AJ52" s="708"/>
      <c r="AK52" s="681"/>
      <c r="AL52" s="682"/>
      <c r="AM52" s="708"/>
      <c r="AN52" s="690"/>
      <c r="AO52" s="690"/>
      <c r="AP52" s="713"/>
      <c r="AQ52" s="715">
        <f t="shared" si="13"/>
        <v>1097.1586093062015</v>
      </c>
    </row>
    <row r="53" spans="1:45" ht="12.75" customHeight="1">
      <c r="A53" s="685" t="s">
        <v>180</v>
      </c>
      <c r="B53" s="689"/>
      <c r="C53" s="709">
        <f t="shared" si="27"/>
        <v>0</v>
      </c>
      <c r="D53" s="712"/>
      <c r="E53" s="708"/>
      <c r="F53" s="710"/>
      <c r="G53" s="710"/>
      <c r="H53" s="711">
        <f t="shared" si="28"/>
        <v>0</v>
      </c>
      <c r="I53" s="712"/>
      <c r="J53" s="708"/>
      <c r="K53" s="708"/>
      <c r="L53" s="711">
        <f t="shared" si="29"/>
        <v>176.94052908505745</v>
      </c>
      <c r="M53" s="708"/>
      <c r="N53" s="708"/>
      <c r="O53" s="708"/>
      <c r="P53" s="708">
        <v>0</v>
      </c>
      <c r="Q53" s="708"/>
      <c r="R53" s="708"/>
      <c r="S53" s="708"/>
      <c r="T53" s="708"/>
      <c r="U53" s="708">
        <v>176.94052908505745</v>
      </c>
      <c r="V53" s="708"/>
      <c r="W53" s="710"/>
      <c r="X53" s="710"/>
      <c r="Y53" s="710"/>
      <c r="Z53" s="708"/>
      <c r="AA53" s="690"/>
      <c r="AB53" s="713">
        <f t="shared" si="30"/>
        <v>7.5577223843887342</v>
      </c>
      <c r="AC53" s="714"/>
      <c r="AD53" s="708"/>
      <c r="AE53" s="708"/>
      <c r="AF53" s="708"/>
      <c r="AG53" s="708"/>
      <c r="AH53" s="708"/>
      <c r="AI53" s="552">
        <v>7.5577223843887342</v>
      </c>
      <c r="AJ53" s="552">
        <v>0</v>
      </c>
      <c r="AK53" s="708"/>
      <c r="AL53" s="708"/>
      <c r="AM53" s="708"/>
      <c r="AN53" s="690"/>
      <c r="AO53" s="555"/>
      <c r="AP53" s="713"/>
      <c r="AQ53" s="715">
        <f t="shared" si="13"/>
        <v>184.49825146944619</v>
      </c>
    </row>
    <row r="54" spans="1:45" ht="12.75" customHeight="1">
      <c r="A54" s="544" t="s">
        <v>181</v>
      </c>
      <c r="B54" s="545"/>
      <c r="C54" s="709">
        <f t="shared" si="27"/>
        <v>0</v>
      </c>
      <c r="D54" s="712"/>
      <c r="E54" s="708"/>
      <c r="F54" s="710"/>
      <c r="G54" s="710"/>
      <c r="H54" s="711">
        <f t="shared" si="28"/>
        <v>0</v>
      </c>
      <c r="I54" s="712"/>
      <c r="J54" s="708"/>
      <c r="K54" s="708"/>
      <c r="L54" s="711">
        <f t="shared" si="29"/>
        <v>83.913724293678101</v>
      </c>
      <c r="M54" s="708"/>
      <c r="N54" s="708"/>
      <c r="O54" s="708"/>
      <c r="P54" s="708"/>
      <c r="Q54" s="708"/>
      <c r="R54" s="708"/>
      <c r="S54" s="708"/>
      <c r="T54" s="708"/>
      <c r="U54" s="708">
        <v>83.913724293678101</v>
      </c>
      <c r="V54" s="708"/>
      <c r="W54" s="710"/>
      <c r="X54" s="710"/>
      <c r="Y54" s="710"/>
      <c r="Z54" s="708"/>
      <c r="AA54" s="648"/>
      <c r="AB54" s="713">
        <f t="shared" si="30"/>
        <v>0</v>
      </c>
      <c r="AC54" s="714"/>
      <c r="AD54" s="708"/>
      <c r="AE54" s="708"/>
      <c r="AF54" s="708"/>
      <c r="AG54" s="708"/>
      <c r="AH54" s="708"/>
      <c r="AI54" s="708"/>
      <c r="AJ54" s="708"/>
      <c r="AK54" s="708"/>
      <c r="AL54" s="708"/>
      <c r="AM54" s="708"/>
      <c r="AN54" s="648"/>
      <c r="AO54" s="690"/>
      <c r="AP54" s="713"/>
      <c r="AQ54" s="715">
        <f t="shared" si="13"/>
        <v>83.913724293678101</v>
      </c>
    </row>
    <row r="55" spans="1:45" ht="12.75" customHeight="1">
      <c r="A55" s="603" t="s">
        <v>182</v>
      </c>
      <c r="B55" s="604"/>
      <c r="C55" s="605">
        <f t="shared" si="27"/>
        <v>0</v>
      </c>
      <c r="D55" s="716"/>
      <c r="E55" s="717"/>
      <c r="F55" s="608"/>
      <c r="G55" s="608"/>
      <c r="H55" s="609">
        <f t="shared" si="28"/>
        <v>0</v>
      </c>
      <c r="I55" s="606"/>
      <c r="J55" s="607"/>
      <c r="K55" s="607"/>
      <c r="L55" s="609">
        <f t="shared" si="29"/>
        <v>478.67565344603031</v>
      </c>
      <c r="M55" s="607"/>
      <c r="N55" s="607"/>
      <c r="O55" s="607"/>
      <c r="P55" s="607">
        <v>140.69069390787573</v>
      </c>
      <c r="Q55" s="607"/>
      <c r="R55" s="607"/>
      <c r="S55" s="607">
        <v>0</v>
      </c>
      <c r="T55" s="607"/>
      <c r="U55" s="607">
        <v>337.98495953815461</v>
      </c>
      <c r="V55" s="607"/>
      <c r="W55" s="608"/>
      <c r="X55" s="608"/>
      <c r="Y55" s="608"/>
      <c r="Z55" s="607"/>
      <c r="AA55" s="612">
        <v>22.531112229915806</v>
      </c>
      <c r="AB55" s="610">
        <f t="shared" si="30"/>
        <v>19.110879685596952</v>
      </c>
      <c r="AC55" s="611"/>
      <c r="AD55" s="607"/>
      <c r="AE55" s="607"/>
      <c r="AF55" s="607"/>
      <c r="AG55" s="607"/>
      <c r="AH55" s="607"/>
      <c r="AI55" s="607">
        <v>14.436469176941943</v>
      </c>
      <c r="AJ55" s="607">
        <v>4.6744105086550087</v>
      </c>
      <c r="AK55" s="606"/>
      <c r="AL55" s="608"/>
      <c r="AM55" s="607"/>
      <c r="AN55" s="609"/>
      <c r="AO55" s="612"/>
      <c r="AP55" s="610"/>
      <c r="AQ55" s="613">
        <f t="shared" si="13"/>
        <v>520.3176453615431</v>
      </c>
    </row>
    <row r="56" spans="1:45" s="18" customFormat="1" ht="12.75" customHeight="1">
      <c r="A56" s="61" t="s">
        <v>1</v>
      </c>
      <c r="B56" s="719"/>
      <c r="C56" s="720">
        <f t="shared" si="27"/>
        <v>245.30288163122782</v>
      </c>
      <c r="D56" s="721">
        <v>84.19758326883435</v>
      </c>
      <c r="E56" s="548">
        <v>153.30941368399715</v>
      </c>
      <c r="F56" s="722"/>
      <c r="G56" s="722">
        <v>7.795884678396293</v>
      </c>
      <c r="H56" s="723">
        <f t="shared" si="28"/>
        <v>196.53880633</v>
      </c>
      <c r="I56" s="721"/>
      <c r="J56" s="622">
        <v>127.70399999999999</v>
      </c>
      <c r="K56" s="622">
        <v>68.834806329999992</v>
      </c>
      <c r="L56" s="723">
        <f t="shared" si="29"/>
        <v>1204.833103126648</v>
      </c>
      <c r="M56" s="622"/>
      <c r="N56" s="622"/>
      <c r="O56" s="622"/>
      <c r="P56" s="622">
        <v>0</v>
      </c>
      <c r="Q56" s="622">
        <v>863.40024232349867</v>
      </c>
      <c r="R56" s="622"/>
      <c r="S56" s="622">
        <v>0</v>
      </c>
      <c r="T56" s="622">
        <v>53.841522983216713</v>
      </c>
      <c r="U56" s="622">
        <v>284.08105108362315</v>
      </c>
      <c r="V56" s="622">
        <v>3.5102867363093639</v>
      </c>
      <c r="W56" s="722"/>
      <c r="X56" s="722"/>
      <c r="Y56" s="722"/>
      <c r="Z56" s="622"/>
      <c r="AA56" s="723">
        <v>604.09375845912712</v>
      </c>
      <c r="AB56" s="724">
        <f t="shared" si="30"/>
        <v>72.095627568998594</v>
      </c>
      <c r="AC56" s="725"/>
      <c r="AD56" s="622"/>
      <c r="AE56" s="622">
        <v>30.588864173321877</v>
      </c>
      <c r="AF56" s="622"/>
      <c r="AG56" s="622"/>
      <c r="AH56" s="622"/>
      <c r="AI56" s="622"/>
      <c r="AJ56" s="622"/>
      <c r="AK56" s="721"/>
      <c r="AL56" s="722">
        <v>13.379590942008413</v>
      </c>
      <c r="AM56" s="622">
        <v>28.127172453668308</v>
      </c>
      <c r="AN56" s="723"/>
      <c r="AO56" s="723">
        <v>702.94473599999992</v>
      </c>
      <c r="AP56" s="724"/>
      <c r="AQ56" s="623">
        <f t="shared" si="13"/>
        <v>3025.8089131160013</v>
      </c>
      <c r="AR56" s="16"/>
      <c r="AS56" s="17"/>
    </row>
    <row r="57" spans="1:45" s="5" customFormat="1" ht="12.75" customHeight="1">
      <c r="A57" s="718" t="s">
        <v>800</v>
      </c>
      <c r="B57" s="719"/>
      <c r="C57" s="720">
        <f>C58+C65</f>
        <v>0.53991879699248124</v>
      </c>
      <c r="D57" s="622">
        <f t="shared" ref="D57:AP57" si="31">D58+D65</f>
        <v>0.53991879699248124</v>
      </c>
      <c r="E57" s="622">
        <f t="shared" si="31"/>
        <v>0</v>
      </c>
      <c r="F57" s="722">
        <f t="shared" si="31"/>
        <v>0</v>
      </c>
      <c r="G57" s="722">
        <f t="shared" si="31"/>
        <v>0</v>
      </c>
      <c r="H57" s="723">
        <f t="shared" si="31"/>
        <v>0</v>
      </c>
      <c r="I57" s="721">
        <f t="shared" si="31"/>
        <v>0</v>
      </c>
      <c r="J57" s="721">
        <f t="shared" si="31"/>
        <v>0</v>
      </c>
      <c r="K57" s="721">
        <f t="shared" si="31"/>
        <v>0</v>
      </c>
      <c r="L57" s="723">
        <f t="shared" si="31"/>
        <v>263.55542937744985</v>
      </c>
      <c r="M57" s="622">
        <f t="shared" si="31"/>
        <v>0</v>
      </c>
      <c r="N57" s="622">
        <f t="shared" si="31"/>
        <v>0</v>
      </c>
      <c r="O57" s="622">
        <f t="shared" si="31"/>
        <v>0</v>
      </c>
      <c r="P57" s="622">
        <f t="shared" si="31"/>
        <v>0</v>
      </c>
      <c r="Q57" s="622">
        <f t="shared" si="31"/>
        <v>73.683977149948603</v>
      </c>
      <c r="R57" s="622">
        <f t="shared" si="31"/>
        <v>0</v>
      </c>
      <c r="S57" s="622">
        <f t="shared" si="31"/>
        <v>0.64284746861564912</v>
      </c>
      <c r="T57" s="622">
        <f t="shared" si="31"/>
        <v>69.72090857001308</v>
      </c>
      <c r="U57" s="622">
        <f t="shared" si="31"/>
        <v>119.50730406570531</v>
      </c>
      <c r="V57" s="622">
        <f t="shared" si="31"/>
        <v>3.9212316723240829E-4</v>
      </c>
      <c r="W57" s="722">
        <f t="shared" si="31"/>
        <v>0</v>
      </c>
      <c r="X57" s="722">
        <f t="shared" si="31"/>
        <v>0</v>
      </c>
      <c r="Y57" s="722">
        <f t="shared" si="31"/>
        <v>0</v>
      </c>
      <c r="Z57" s="721">
        <f t="shared" si="31"/>
        <v>0</v>
      </c>
      <c r="AA57" s="723">
        <f t="shared" si="31"/>
        <v>397.69184770224592</v>
      </c>
      <c r="AB57" s="724">
        <f t="shared" si="31"/>
        <v>41.379323582548558</v>
      </c>
      <c r="AC57" s="725">
        <f t="shared" si="31"/>
        <v>0</v>
      </c>
      <c r="AD57" s="622">
        <f t="shared" si="31"/>
        <v>0</v>
      </c>
      <c r="AE57" s="622">
        <f t="shared" si="31"/>
        <v>17.99312324724</v>
      </c>
      <c r="AF57" s="622">
        <f t="shared" si="31"/>
        <v>0</v>
      </c>
      <c r="AG57" s="622">
        <f t="shared" si="31"/>
        <v>0</v>
      </c>
      <c r="AH57" s="622">
        <f t="shared" si="31"/>
        <v>7.541555368675982</v>
      </c>
      <c r="AI57" s="622">
        <f t="shared" si="31"/>
        <v>0</v>
      </c>
      <c r="AJ57" s="622">
        <f t="shared" si="31"/>
        <v>0</v>
      </c>
      <c r="AK57" s="622">
        <f t="shared" si="31"/>
        <v>0</v>
      </c>
      <c r="AL57" s="622">
        <f t="shared" si="31"/>
        <v>0.16649466165720572</v>
      </c>
      <c r="AM57" s="721">
        <f t="shared" si="31"/>
        <v>15.678150304975372</v>
      </c>
      <c r="AN57" s="723">
        <f t="shared" si="31"/>
        <v>0</v>
      </c>
      <c r="AO57" s="723">
        <f t="shared" si="31"/>
        <v>1019.3925755397834</v>
      </c>
      <c r="AP57" s="724">
        <f t="shared" si="31"/>
        <v>0</v>
      </c>
      <c r="AQ57" s="726">
        <f t="shared" si="13"/>
        <v>1722.5590949990201</v>
      </c>
      <c r="AR57" s="1"/>
      <c r="AS57" s="14"/>
    </row>
    <row r="58" spans="1:45" ht="12.75" customHeight="1">
      <c r="A58" s="61" t="s">
        <v>801</v>
      </c>
      <c r="B58" s="719"/>
      <c r="C58" s="720">
        <f t="shared" si="27"/>
        <v>0.53991879699248124</v>
      </c>
      <c r="D58" s="725">
        <v>0.53991879699248124</v>
      </c>
      <c r="E58" s="724">
        <v>0</v>
      </c>
      <c r="F58" s="724">
        <f>SUM(F59:F64)</f>
        <v>0</v>
      </c>
      <c r="G58" s="727">
        <v>0</v>
      </c>
      <c r="H58" s="723">
        <f t="shared" si="28"/>
        <v>0</v>
      </c>
      <c r="I58" s="721">
        <f>SUM(I59:I64)</f>
        <v>0</v>
      </c>
      <c r="J58" s="721">
        <f>SUM(J59:J64)</f>
        <v>0</v>
      </c>
      <c r="K58" s="721">
        <f>SUM(K59:K64)</f>
        <v>0</v>
      </c>
      <c r="L58" s="723">
        <f t="shared" si="29"/>
        <v>123.39297948584372</v>
      </c>
      <c r="M58" s="622">
        <f t="shared" ref="M58:AN58" si="32">SUM(M59:M64)</f>
        <v>0</v>
      </c>
      <c r="N58" s="722">
        <f t="shared" si="32"/>
        <v>0</v>
      </c>
      <c r="O58" s="722">
        <f t="shared" si="32"/>
        <v>0</v>
      </c>
      <c r="P58" s="724">
        <f t="shared" si="32"/>
        <v>0</v>
      </c>
      <c r="Q58" s="724">
        <v>25.817592108194308</v>
      </c>
      <c r="R58" s="724">
        <f t="shared" si="32"/>
        <v>0</v>
      </c>
      <c r="S58" s="724">
        <v>0</v>
      </c>
      <c r="T58" s="724">
        <v>53.639757659500326</v>
      </c>
      <c r="U58" s="724">
        <v>43.935237594981864</v>
      </c>
      <c r="V58" s="724">
        <f t="shared" si="32"/>
        <v>3.9212316723240829E-4</v>
      </c>
      <c r="W58" s="724">
        <f t="shared" si="32"/>
        <v>0</v>
      </c>
      <c r="X58" s="724">
        <f t="shared" si="32"/>
        <v>0</v>
      </c>
      <c r="Y58" s="722">
        <f t="shared" si="32"/>
        <v>0</v>
      </c>
      <c r="Z58" s="721">
        <f t="shared" si="32"/>
        <v>0</v>
      </c>
      <c r="AA58" s="723">
        <v>205.61511570855646</v>
      </c>
      <c r="AB58" s="724">
        <f t="shared" si="30"/>
        <v>23.586836774290585</v>
      </c>
      <c r="AC58" s="725">
        <f t="shared" si="32"/>
        <v>0</v>
      </c>
      <c r="AD58" s="622">
        <f t="shared" si="32"/>
        <v>0</v>
      </c>
      <c r="AE58" s="622">
        <f t="shared" si="32"/>
        <v>5.0179504193776099</v>
      </c>
      <c r="AF58" s="622"/>
      <c r="AG58" s="622">
        <f t="shared" si="32"/>
        <v>0</v>
      </c>
      <c r="AH58" s="622">
        <f t="shared" si="32"/>
        <v>2.7242413882803982</v>
      </c>
      <c r="AI58" s="622">
        <f t="shared" si="32"/>
        <v>0</v>
      </c>
      <c r="AJ58" s="622">
        <f t="shared" si="32"/>
        <v>0</v>
      </c>
      <c r="AK58" s="622"/>
      <c r="AL58" s="622">
        <v>0.16649466165720572</v>
      </c>
      <c r="AM58" s="722">
        <v>15.678150304975372</v>
      </c>
      <c r="AN58" s="723">
        <f t="shared" si="32"/>
        <v>0</v>
      </c>
      <c r="AO58" s="723">
        <v>684.51532146142654</v>
      </c>
      <c r="AP58" s="724">
        <f t="shared" ref="AP58" si="33">SUM(AP59:AP64)</f>
        <v>0</v>
      </c>
      <c r="AQ58" s="726">
        <f t="shared" si="13"/>
        <v>1037.6501722271098</v>
      </c>
      <c r="AS58" s="15"/>
    </row>
    <row r="59" spans="1:45" ht="12.75" customHeight="1">
      <c r="A59" s="728" t="s">
        <v>802</v>
      </c>
      <c r="B59" s="729" t="s">
        <v>803</v>
      </c>
      <c r="C59" s="593">
        <f t="shared" si="27"/>
        <v>9.9984962406015031E-3</v>
      </c>
      <c r="D59" s="730">
        <v>9.9984962406015031E-3</v>
      </c>
      <c r="E59" s="598"/>
      <c r="F59" s="598"/>
      <c r="G59" s="638"/>
      <c r="H59" s="597">
        <f t="shared" si="28"/>
        <v>0</v>
      </c>
      <c r="I59" s="704"/>
      <c r="J59" s="704"/>
      <c r="K59" s="704"/>
      <c r="L59" s="597">
        <f t="shared" si="29"/>
        <v>32.327049654868127</v>
      </c>
      <c r="M59" s="640"/>
      <c r="N59" s="731"/>
      <c r="O59" s="731"/>
      <c r="P59" s="598"/>
      <c r="Q59" s="732">
        <v>8.0278057943609493</v>
      </c>
      <c r="R59" s="598"/>
      <c r="S59" s="732">
        <v>0</v>
      </c>
      <c r="T59" s="732">
        <v>15.105482293518097</v>
      </c>
      <c r="U59" s="732">
        <v>9.19376156698908</v>
      </c>
      <c r="V59" s="732">
        <v>0</v>
      </c>
      <c r="W59" s="598"/>
      <c r="X59" s="598"/>
      <c r="Y59" s="731"/>
      <c r="Z59" s="704"/>
      <c r="AA59" s="733">
        <v>57.532573159401849</v>
      </c>
      <c r="AB59" s="598">
        <f t="shared" si="30"/>
        <v>1.2773333532141125</v>
      </c>
      <c r="AC59" s="734"/>
      <c r="AD59" s="640"/>
      <c r="AE59" s="735">
        <v>1.2773333532141125</v>
      </c>
      <c r="AF59" s="735"/>
      <c r="AG59" s="735"/>
      <c r="AH59" s="735">
        <v>0</v>
      </c>
      <c r="AI59" s="735"/>
      <c r="AJ59" s="735"/>
      <c r="AK59" s="735"/>
      <c r="AL59" s="735">
        <v>0</v>
      </c>
      <c r="AM59" s="736">
        <v>0</v>
      </c>
      <c r="AN59" s="597"/>
      <c r="AO59" s="733">
        <v>227.43297899256885</v>
      </c>
      <c r="AP59" s="598"/>
      <c r="AQ59" s="737">
        <f t="shared" si="13"/>
        <v>318.57993365629352</v>
      </c>
      <c r="AS59" s="15"/>
    </row>
    <row r="60" spans="1:45" ht="12.75" customHeight="1">
      <c r="A60" s="728" t="s">
        <v>804</v>
      </c>
      <c r="B60" s="729" t="s">
        <v>805</v>
      </c>
      <c r="C60" s="546">
        <f t="shared" si="27"/>
        <v>1.0998345864661654E-2</v>
      </c>
      <c r="D60" s="730">
        <v>1.0998345864661654E-2</v>
      </c>
      <c r="E60" s="553"/>
      <c r="F60" s="553"/>
      <c r="G60" s="738"/>
      <c r="H60" s="550">
        <f t="shared" si="28"/>
        <v>0</v>
      </c>
      <c r="I60" s="547"/>
      <c r="J60" s="547"/>
      <c r="K60" s="547"/>
      <c r="L60" s="550">
        <f t="shared" si="29"/>
        <v>24.137833390343388</v>
      </c>
      <c r="M60" s="557"/>
      <c r="N60" s="548"/>
      <c r="O60" s="548"/>
      <c r="P60" s="553"/>
      <c r="Q60" s="732">
        <v>5.3543303518790886</v>
      </c>
      <c r="R60" s="553"/>
      <c r="S60" s="732">
        <v>0</v>
      </c>
      <c r="T60" s="732">
        <v>5.393987425308894</v>
      </c>
      <c r="U60" s="732">
        <v>13.389515613155407</v>
      </c>
      <c r="V60" s="732">
        <v>0</v>
      </c>
      <c r="W60" s="553"/>
      <c r="X60" s="553"/>
      <c r="Y60" s="548"/>
      <c r="Z60" s="547"/>
      <c r="AA60" s="733">
        <v>17.076846566169994</v>
      </c>
      <c r="AB60" s="553">
        <f t="shared" si="30"/>
        <v>6.7770858417357749E-2</v>
      </c>
      <c r="AC60" s="739"/>
      <c r="AD60" s="557"/>
      <c r="AE60" s="740">
        <v>6.7770858417357749E-2</v>
      </c>
      <c r="AF60" s="740"/>
      <c r="AG60" s="740"/>
      <c r="AH60" s="740">
        <v>0</v>
      </c>
      <c r="AI60" s="740"/>
      <c r="AJ60" s="740"/>
      <c r="AK60" s="740"/>
      <c r="AL60" s="740">
        <v>0</v>
      </c>
      <c r="AM60" s="741">
        <v>0</v>
      </c>
      <c r="AN60" s="550"/>
      <c r="AO60" s="733">
        <v>69.841724309024471</v>
      </c>
      <c r="AP60" s="553"/>
      <c r="AQ60" s="742">
        <f t="shared" si="13"/>
        <v>111.13517346981988</v>
      </c>
      <c r="AS60" s="15"/>
    </row>
    <row r="61" spans="1:45" ht="12.75" customHeight="1">
      <c r="A61" s="728" t="s">
        <v>806</v>
      </c>
      <c r="B61" s="729" t="s">
        <v>807</v>
      </c>
      <c r="C61" s="546">
        <f t="shared" si="27"/>
        <v>0.48392721804511274</v>
      </c>
      <c r="D61" s="730">
        <v>0.48392721804511274</v>
      </c>
      <c r="E61" s="553"/>
      <c r="F61" s="553"/>
      <c r="G61" s="738"/>
      <c r="H61" s="550">
        <f t="shared" si="28"/>
        <v>0</v>
      </c>
      <c r="I61" s="547"/>
      <c r="J61" s="547"/>
      <c r="K61" s="547"/>
      <c r="L61" s="550">
        <f t="shared" si="29"/>
        <v>31.333616383670492</v>
      </c>
      <c r="M61" s="557"/>
      <c r="N61" s="548"/>
      <c r="O61" s="548"/>
      <c r="P61" s="553"/>
      <c r="Q61" s="732">
        <v>4.9790317487546645</v>
      </c>
      <c r="R61" s="553"/>
      <c r="S61" s="732">
        <v>0</v>
      </c>
      <c r="T61" s="732">
        <v>19.202826984364982</v>
      </c>
      <c r="U61" s="732">
        <v>7.1517576505508451</v>
      </c>
      <c r="V61" s="732">
        <v>0</v>
      </c>
      <c r="W61" s="553"/>
      <c r="X61" s="553"/>
      <c r="Y61" s="548"/>
      <c r="Z61" s="547"/>
      <c r="AA61" s="733">
        <v>37.147190784142389</v>
      </c>
      <c r="AB61" s="553">
        <f t="shared" si="30"/>
        <v>2.1318354810851448</v>
      </c>
      <c r="AC61" s="739"/>
      <c r="AD61" s="557"/>
      <c r="AE61" s="740">
        <v>2.1318354810851448</v>
      </c>
      <c r="AF61" s="740"/>
      <c r="AG61" s="740"/>
      <c r="AH61" s="740">
        <v>0</v>
      </c>
      <c r="AI61" s="740"/>
      <c r="AJ61" s="740"/>
      <c r="AK61" s="740"/>
      <c r="AL61" s="740">
        <v>0</v>
      </c>
      <c r="AM61" s="741">
        <v>0</v>
      </c>
      <c r="AN61" s="550"/>
      <c r="AO61" s="733">
        <v>87.896378653102275</v>
      </c>
      <c r="AP61" s="553"/>
      <c r="AQ61" s="742">
        <f t="shared" si="13"/>
        <v>158.99294852004542</v>
      </c>
      <c r="AS61" s="15"/>
    </row>
    <row r="62" spans="1:45" ht="12.75" customHeight="1">
      <c r="A62" s="728" t="s">
        <v>808</v>
      </c>
      <c r="B62" s="729" t="s">
        <v>809</v>
      </c>
      <c r="C62" s="546">
        <f t="shared" si="27"/>
        <v>0</v>
      </c>
      <c r="D62" s="730">
        <v>0</v>
      </c>
      <c r="E62" s="553"/>
      <c r="F62" s="553"/>
      <c r="G62" s="738"/>
      <c r="H62" s="550">
        <f t="shared" si="28"/>
        <v>0</v>
      </c>
      <c r="I62" s="547"/>
      <c r="J62" s="547"/>
      <c r="K62" s="547"/>
      <c r="L62" s="550">
        <f t="shared" si="29"/>
        <v>5.4379501694305112</v>
      </c>
      <c r="M62" s="557"/>
      <c r="N62" s="548"/>
      <c r="O62" s="548"/>
      <c r="P62" s="553"/>
      <c r="Q62" s="732">
        <v>1.5602301478206442</v>
      </c>
      <c r="R62" s="553"/>
      <c r="S62" s="732">
        <v>0</v>
      </c>
      <c r="T62" s="732">
        <v>1.6396331271347122</v>
      </c>
      <c r="U62" s="732">
        <v>2.2380868944751544</v>
      </c>
      <c r="V62" s="732">
        <v>0</v>
      </c>
      <c r="W62" s="553"/>
      <c r="X62" s="553"/>
      <c r="Y62" s="548"/>
      <c r="Z62" s="547"/>
      <c r="AA62" s="733">
        <v>9.7954001243574229</v>
      </c>
      <c r="AB62" s="553">
        <f t="shared" si="30"/>
        <v>3.8305267801115254E-2</v>
      </c>
      <c r="AC62" s="739"/>
      <c r="AD62" s="557"/>
      <c r="AE62" s="740">
        <v>3.8305267801115254E-2</v>
      </c>
      <c r="AF62" s="740"/>
      <c r="AG62" s="740"/>
      <c r="AH62" s="740">
        <v>0</v>
      </c>
      <c r="AI62" s="740"/>
      <c r="AJ62" s="740"/>
      <c r="AK62" s="740"/>
      <c r="AL62" s="740">
        <v>0</v>
      </c>
      <c r="AM62" s="741">
        <v>0</v>
      </c>
      <c r="AN62" s="550"/>
      <c r="AO62" s="733">
        <v>168.21982573047418</v>
      </c>
      <c r="AP62" s="553"/>
      <c r="AQ62" s="742">
        <f t="shared" si="13"/>
        <v>183.49148129206324</v>
      </c>
      <c r="AS62" s="15"/>
    </row>
    <row r="63" spans="1:45" ht="12.75" customHeight="1">
      <c r="A63" s="728" t="s">
        <v>810</v>
      </c>
      <c r="B63" s="729" t="s">
        <v>811</v>
      </c>
      <c r="C63" s="546">
        <f t="shared" si="27"/>
        <v>3.4994736842105266E-2</v>
      </c>
      <c r="D63" s="743">
        <v>3.4994736842105266E-2</v>
      </c>
      <c r="E63" s="553"/>
      <c r="F63" s="553"/>
      <c r="G63" s="738"/>
      <c r="H63" s="550">
        <f t="shared" si="28"/>
        <v>0</v>
      </c>
      <c r="I63" s="547"/>
      <c r="J63" s="547"/>
      <c r="K63" s="547"/>
      <c r="L63" s="550">
        <f t="shared" si="29"/>
        <v>2.5994355613729017</v>
      </c>
      <c r="M63" s="557"/>
      <c r="N63" s="548"/>
      <c r="O63" s="548"/>
      <c r="P63" s="553"/>
      <c r="Q63" s="744">
        <v>0.92243336442098911</v>
      </c>
      <c r="R63" s="553"/>
      <c r="S63" s="744">
        <v>0</v>
      </c>
      <c r="T63" s="744">
        <v>0.18424146092891816</v>
      </c>
      <c r="U63" s="744">
        <v>1.4927607360229946</v>
      </c>
      <c r="V63" s="744">
        <v>0</v>
      </c>
      <c r="W63" s="553"/>
      <c r="X63" s="553"/>
      <c r="Y63" s="548"/>
      <c r="Z63" s="547"/>
      <c r="AA63" s="745">
        <v>15.333339022313094</v>
      </c>
      <c r="AB63" s="553">
        <f t="shared" si="30"/>
        <v>0</v>
      </c>
      <c r="AC63" s="739"/>
      <c r="AD63" s="557"/>
      <c r="AE63" s="740">
        <v>0</v>
      </c>
      <c r="AF63" s="740"/>
      <c r="AG63" s="740"/>
      <c r="AH63" s="740">
        <v>0</v>
      </c>
      <c r="AI63" s="740"/>
      <c r="AJ63" s="740"/>
      <c r="AK63" s="740"/>
      <c r="AL63" s="740">
        <v>0</v>
      </c>
      <c r="AM63" s="741">
        <v>0</v>
      </c>
      <c r="AN63" s="550"/>
      <c r="AO63" s="745">
        <v>37.594013086148287</v>
      </c>
      <c r="AP63" s="553"/>
      <c r="AQ63" s="742">
        <f t="shared" si="13"/>
        <v>55.561782406676386</v>
      </c>
      <c r="AS63" s="15"/>
    </row>
    <row r="64" spans="1:45" ht="12.75" customHeight="1">
      <c r="A64" s="746" t="s">
        <v>812</v>
      </c>
      <c r="B64" s="747"/>
      <c r="C64" s="605">
        <f t="shared" si="27"/>
        <v>0</v>
      </c>
      <c r="D64" s="743">
        <v>0</v>
      </c>
      <c r="E64" s="610"/>
      <c r="F64" s="610"/>
      <c r="G64" s="748"/>
      <c r="H64" s="609">
        <f t="shared" si="28"/>
        <v>0</v>
      </c>
      <c r="I64" s="716"/>
      <c r="J64" s="716"/>
      <c r="K64" s="716"/>
      <c r="L64" s="609">
        <f t="shared" si="29"/>
        <v>27.557094326158314</v>
      </c>
      <c r="M64" s="717"/>
      <c r="N64" s="749"/>
      <c r="O64" s="749"/>
      <c r="P64" s="610"/>
      <c r="Q64" s="744">
        <v>4.9737607009579721</v>
      </c>
      <c r="R64" s="610"/>
      <c r="S64" s="744">
        <v>0</v>
      </c>
      <c r="T64" s="744">
        <v>12.11358636824472</v>
      </c>
      <c r="U64" s="744">
        <v>10.469355133788389</v>
      </c>
      <c r="V64" s="744">
        <v>3.9212316723240829E-4</v>
      </c>
      <c r="W64" s="610"/>
      <c r="X64" s="610"/>
      <c r="Y64" s="749"/>
      <c r="Z64" s="716"/>
      <c r="AA64" s="745">
        <v>68.729766052171726</v>
      </c>
      <c r="AB64" s="610">
        <f t="shared" si="30"/>
        <v>20.071591813772855</v>
      </c>
      <c r="AC64" s="750"/>
      <c r="AD64" s="717"/>
      <c r="AE64" s="751">
        <v>1.5027054588598796</v>
      </c>
      <c r="AF64" s="751"/>
      <c r="AG64" s="751"/>
      <c r="AH64" s="751">
        <v>2.7242413882803982</v>
      </c>
      <c r="AI64" s="751"/>
      <c r="AJ64" s="751"/>
      <c r="AK64" s="751"/>
      <c r="AL64" s="751">
        <v>0.16649466165720572</v>
      </c>
      <c r="AM64" s="752">
        <v>15.678150304975372</v>
      </c>
      <c r="AN64" s="609"/>
      <c r="AO64" s="745">
        <v>93.530400690108436</v>
      </c>
      <c r="AP64" s="610"/>
      <c r="AQ64" s="753">
        <f t="shared" si="13"/>
        <v>209.88885288221132</v>
      </c>
      <c r="AS64" s="15"/>
    </row>
    <row r="65" spans="1:45" ht="12.75" customHeight="1">
      <c r="A65" s="61" t="s">
        <v>813</v>
      </c>
      <c r="B65" s="719"/>
      <c r="C65" s="605">
        <f>SUM(D65:G65)</f>
        <v>0</v>
      </c>
      <c r="D65" s="725">
        <f>SUM(D66:D69)</f>
        <v>0</v>
      </c>
      <c r="E65" s="693"/>
      <c r="F65" s="693"/>
      <c r="G65" s="694"/>
      <c r="H65" s="609">
        <f>SUM(I65:K65)</f>
        <v>0</v>
      </c>
      <c r="I65" s="606"/>
      <c r="J65" s="607">
        <v>0</v>
      </c>
      <c r="K65" s="607">
        <v>0</v>
      </c>
      <c r="L65" s="609">
        <f>SUM(M65:Z65)</f>
        <v>140.16244989160612</v>
      </c>
      <c r="M65" s="607"/>
      <c r="N65" s="608"/>
      <c r="O65" s="608"/>
      <c r="P65" s="693"/>
      <c r="Q65" s="724">
        <v>47.866385041754299</v>
      </c>
      <c r="R65" s="693"/>
      <c r="S65" s="724">
        <v>0.64284746861564912</v>
      </c>
      <c r="T65" s="724">
        <v>16.081150910512747</v>
      </c>
      <c r="U65" s="724">
        <v>75.572066470723442</v>
      </c>
      <c r="V65" s="724">
        <f>SUM(V66:V69)</f>
        <v>0</v>
      </c>
      <c r="W65" s="693"/>
      <c r="X65" s="693"/>
      <c r="Y65" s="608"/>
      <c r="Z65" s="607"/>
      <c r="AA65" s="723">
        <v>192.07673199368949</v>
      </c>
      <c r="AB65" s="610">
        <f>SUM(AC65:AM65)</f>
        <v>17.792486808257973</v>
      </c>
      <c r="AC65" s="611"/>
      <c r="AD65" s="607"/>
      <c r="AE65" s="607">
        <f>SUM(AE66:AE69)</f>
        <v>12.975172827862389</v>
      </c>
      <c r="AF65" s="607"/>
      <c r="AG65" s="607"/>
      <c r="AH65" s="607">
        <v>4.8173139803955838</v>
      </c>
      <c r="AI65" s="607"/>
      <c r="AJ65" s="607"/>
      <c r="AK65" s="607"/>
      <c r="AL65" s="607"/>
      <c r="AM65" s="608"/>
      <c r="AN65" s="609"/>
      <c r="AO65" s="723">
        <v>334.87725407835688</v>
      </c>
      <c r="AP65" s="610"/>
      <c r="AQ65" s="754">
        <f t="shared" si="13"/>
        <v>684.90892277191051</v>
      </c>
      <c r="AS65" s="15"/>
    </row>
    <row r="66" spans="1:45" ht="12.75" customHeight="1">
      <c r="A66" s="755" t="s">
        <v>814</v>
      </c>
      <c r="B66" s="756" t="s">
        <v>815</v>
      </c>
      <c r="C66" s="593">
        <f t="shared" ref="C66:C69" si="34">SUM(D66:G66)</f>
        <v>0</v>
      </c>
      <c r="D66" s="757">
        <v>0</v>
      </c>
      <c r="E66" s="641"/>
      <c r="F66" s="641"/>
      <c r="G66" s="758"/>
      <c r="H66" s="597">
        <f t="shared" ref="H66:H69" si="35">SUM(I66:K66)</f>
        <v>0</v>
      </c>
      <c r="I66" s="759"/>
      <c r="J66" s="595"/>
      <c r="K66" s="760"/>
      <c r="L66" s="597">
        <f t="shared" ref="L66:L69" si="36">SUM(M66:Z66)</f>
        <v>11.083842216367572</v>
      </c>
      <c r="M66" s="759"/>
      <c r="N66" s="641"/>
      <c r="O66" s="596"/>
      <c r="P66" s="641"/>
      <c r="Q66" s="761">
        <v>0.2530102942411856</v>
      </c>
      <c r="R66" s="641"/>
      <c r="S66" s="761">
        <v>0.3129380842779857</v>
      </c>
      <c r="T66" s="761">
        <v>1.0521462045500485</v>
      </c>
      <c r="U66" s="761">
        <v>9.4657476332983528</v>
      </c>
      <c r="V66" s="761">
        <v>0</v>
      </c>
      <c r="W66" s="641"/>
      <c r="X66" s="641"/>
      <c r="Y66" s="596"/>
      <c r="Z66" s="595"/>
      <c r="AA66" s="762">
        <v>8.4437848043838404</v>
      </c>
      <c r="AB66" s="598">
        <f t="shared" ref="AB66:AB69" si="37">SUM(AC66:AM66)</f>
        <v>5.4773432101994155</v>
      </c>
      <c r="AC66" s="599"/>
      <c r="AD66" s="595"/>
      <c r="AE66" s="595">
        <v>0.66002922980383205</v>
      </c>
      <c r="AF66" s="595"/>
      <c r="AG66" s="595"/>
      <c r="AH66" s="595">
        <v>4.8173139803955838</v>
      </c>
      <c r="AI66" s="595"/>
      <c r="AJ66" s="595"/>
      <c r="AK66" s="595"/>
      <c r="AL66" s="595"/>
      <c r="AM66" s="596"/>
      <c r="AN66" s="597"/>
      <c r="AO66" s="762">
        <v>55.850156928746095</v>
      </c>
      <c r="AP66" s="598"/>
      <c r="AQ66" s="624">
        <f t="shared" si="13"/>
        <v>80.85512715969692</v>
      </c>
      <c r="AS66" s="15"/>
    </row>
    <row r="67" spans="1:45" ht="12.75" customHeight="1">
      <c r="A67" s="763" t="s">
        <v>816</v>
      </c>
      <c r="B67" s="764">
        <v>84</v>
      </c>
      <c r="C67" s="546">
        <f t="shared" si="34"/>
        <v>0</v>
      </c>
      <c r="D67" s="765">
        <v>0</v>
      </c>
      <c r="E67" s="687"/>
      <c r="F67" s="687"/>
      <c r="G67" s="688"/>
      <c r="H67" s="550">
        <f t="shared" si="35"/>
        <v>0</v>
      </c>
      <c r="I67" s="766"/>
      <c r="J67" s="552"/>
      <c r="K67" s="767"/>
      <c r="L67" s="550">
        <f t="shared" si="36"/>
        <v>59.95397707725251</v>
      </c>
      <c r="M67" s="766"/>
      <c r="N67" s="687"/>
      <c r="O67" s="549"/>
      <c r="P67" s="687"/>
      <c r="Q67" s="768">
        <v>11.981091641879475</v>
      </c>
      <c r="R67" s="687"/>
      <c r="S67" s="768">
        <v>0.20048339509750321</v>
      </c>
      <c r="T67" s="768">
        <v>7.85054023769447</v>
      </c>
      <c r="U67" s="768">
        <v>39.921861802581063</v>
      </c>
      <c r="V67" s="768">
        <v>0</v>
      </c>
      <c r="W67" s="687"/>
      <c r="X67" s="687"/>
      <c r="Y67" s="549"/>
      <c r="Z67" s="552"/>
      <c r="AA67" s="769">
        <v>66.187230278743982</v>
      </c>
      <c r="AB67" s="553">
        <f t="shared" si="37"/>
        <v>9.4672942649987188</v>
      </c>
      <c r="AC67" s="554"/>
      <c r="AD67" s="552"/>
      <c r="AE67" s="552">
        <v>9.4672942649987188</v>
      </c>
      <c r="AF67" s="552"/>
      <c r="AG67" s="552"/>
      <c r="AH67" s="552">
        <v>0</v>
      </c>
      <c r="AI67" s="552"/>
      <c r="AJ67" s="552"/>
      <c r="AK67" s="552"/>
      <c r="AL67" s="552"/>
      <c r="AM67" s="549"/>
      <c r="AN67" s="550"/>
      <c r="AO67" s="769">
        <v>154.30936641104071</v>
      </c>
      <c r="AP67" s="553"/>
      <c r="AQ67" s="556">
        <f t="shared" si="13"/>
        <v>289.91786803203593</v>
      </c>
      <c r="AS67" s="15"/>
    </row>
    <row r="68" spans="1:45" ht="12.75" customHeight="1">
      <c r="A68" s="728" t="s">
        <v>817</v>
      </c>
      <c r="B68" s="729">
        <v>85</v>
      </c>
      <c r="C68" s="546">
        <f t="shared" si="34"/>
        <v>0</v>
      </c>
      <c r="D68" s="765">
        <v>0</v>
      </c>
      <c r="E68" s="687"/>
      <c r="F68" s="687"/>
      <c r="G68" s="688"/>
      <c r="H68" s="550">
        <f t="shared" si="35"/>
        <v>0</v>
      </c>
      <c r="I68" s="766"/>
      <c r="J68" s="552"/>
      <c r="K68" s="767"/>
      <c r="L68" s="550">
        <f t="shared" si="36"/>
        <v>42.831123161298109</v>
      </c>
      <c r="M68" s="766"/>
      <c r="N68" s="687"/>
      <c r="O68" s="549"/>
      <c r="P68" s="687"/>
      <c r="Q68" s="768">
        <v>21.281328374361724</v>
      </c>
      <c r="R68" s="687"/>
      <c r="S68" s="768">
        <v>3.2197887029108509E-2</v>
      </c>
      <c r="T68" s="768">
        <v>4.5585277188324795</v>
      </c>
      <c r="U68" s="768">
        <v>16.959069181074796</v>
      </c>
      <c r="V68" s="768">
        <v>0</v>
      </c>
      <c r="W68" s="687"/>
      <c r="X68" s="687"/>
      <c r="Y68" s="549"/>
      <c r="Z68" s="552"/>
      <c r="AA68" s="769">
        <v>53.929324235430926</v>
      </c>
      <c r="AB68" s="553">
        <f t="shared" si="37"/>
        <v>1.3804629203709615</v>
      </c>
      <c r="AC68" s="554"/>
      <c r="AD68" s="552"/>
      <c r="AE68" s="552">
        <v>1.3804629203709615</v>
      </c>
      <c r="AF68" s="552"/>
      <c r="AG68" s="552"/>
      <c r="AH68" s="552">
        <v>0</v>
      </c>
      <c r="AI68" s="552"/>
      <c r="AJ68" s="552"/>
      <c r="AK68" s="552"/>
      <c r="AL68" s="552"/>
      <c r="AM68" s="549"/>
      <c r="AN68" s="550"/>
      <c r="AO68" s="769">
        <v>74.178871141573552</v>
      </c>
      <c r="AP68" s="553"/>
      <c r="AQ68" s="556">
        <f t="shared" si="13"/>
        <v>172.31978145867356</v>
      </c>
      <c r="AS68" s="15"/>
    </row>
    <row r="69" spans="1:45" ht="12.75" customHeight="1">
      <c r="A69" s="746" t="s">
        <v>818</v>
      </c>
      <c r="B69" s="747" t="s">
        <v>819</v>
      </c>
      <c r="C69" s="709">
        <f t="shared" si="34"/>
        <v>0</v>
      </c>
      <c r="D69" s="770">
        <v>0</v>
      </c>
      <c r="E69" s="693"/>
      <c r="F69" s="693"/>
      <c r="G69" s="694"/>
      <c r="H69" s="711">
        <f t="shared" si="35"/>
        <v>0</v>
      </c>
      <c r="I69" s="771"/>
      <c r="J69" s="607"/>
      <c r="K69" s="772"/>
      <c r="L69" s="711">
        <f t="shared" si="36"/>
        <v>26.293507436687939</v>
      </c>
      <c r="M69" s="771"/>
      <c r="N69" s="693"/>
      <c r="O69" s="608"/>
      <c r="P69" s="693"/>
      <c r="Q69" s="773">
        <v>14.35095473127191</v>
      </c>
      <c r="R69" s="693"/>
      <c r="S69" s="773">
        <v>9.7228102211051784E-2</v>
      </c>
      <c r="T69" s="773">
        <v>2.6199367494357482</v>
      </c>
      <c r="U69" s="773">
        <v>9.2253878537692273</v>
      </c>
      <c r="V69" s="773">
        <v>0</v>
      </c>
      <c r="W69" s="693"/>
      <c r="X69" s="693"/>
      <c r="Y69" s="608"/>
      <c r="Z69" s="607"/>
      <c r="AA69" s="774">
        <v>63.51639267513076</v>
      </c>
      <c r="AB69" s="713">
        <f t="shared" si="37"/>
        <v>1.4673864126888767</v>
      </c>
      <c r="AC69" s="714"/>
      <c r="AD69" s="708"/>
      <c r="AE69" s="708">
        <v>1.4673864126888767</v>
      </c>
      <c r="AF69" s="708"/>
      <c r="AG69" s="708"/>
      <c r="AH69" s="708">
        <v>0</v>
      </c>
      <c r="AI69" s="708"/>
      <c r="AJ69" s="708"/>
      <c r="AK69" s="708"/>
      <c r="AL69" s="708"/>
      <c r="AM69" s="710"/>
      <c r="AN69" s="711"/>
      <c r="AO69" s="774">
        <v>50.538859596996531</v>
      </c>
      <c r="AP69" s="713"/>
      <c r="AQ69" s="715">
        <f t="shared" si="13"/>
        <v>141.81614612150412</v>
      </c>
      <c r="AS69" s="15"/>
    </row>
    <row r="70" spans="1:45" s="5" customFormat="1" ht="12.75" customHeight="1">
      <c r="A70" s="61" t="s">
        <v>183</v>
      </c>
      <c r="B70" s="627"/>
      <c r="C70" s="628">
        <f>SUM(D70:G70)</f>
        <v>0</v>
      </c>
      <c r="D70" s="775">
        <v>0</v>
      </c>
      <c r="E70" s="776"/>
      <c r="F70" s="777"/>
      <c r="G70" s="777"/>
      <c r="H70" s="632">
        <f>SUM(I70:K70)</f>
        <v>0</v>
      </c>
      <c r="I70" s="775"/>
      <c r="J70" s="776"/>
      <c r="K70" s="776"/>
      <c r="L70" s="632">
        <f>SUM(M70:Z70)</f>
        <v>175.46549158593075</v>
      </c>
      <c r="M70" s="776"/>
      <c r="N70" s="776"/>
      <c r="O70" s="776"/>
      <c r="P70" s="776">
        <v>0</v>
      </c>
      <c r="Q70" s="776">
        <v>0</v>
      </c>
      <c r="R70" s="776"/>
      <c r="S70" s="776"/>
      <c r="T70" s="778">
        <v>0</v>
      </c>
      <c r="U70" s="776">
        <v>175.46549158593075</v>
      </c>
      <c r="V70" s="595"/>
      <c r="W70" s="777"/>
      <c r="X70" s="777"/>
      <c r="Y70" s="777"/>
      <c r="Z70" s="776"/>
      <c r="AA70" s="632">
        <v>0</v>
      </c>
      <c r="AB70" s="633">
        <f>SUM(AC70:AM70)</f>
        <v>0</v>
      </c>
      <c r="AC70" s="779"/>
      <c r="AD70" s="776"/>
      <c r="AE70" s="776"/>
      <c r="AF70" s="776"/>
      <c r="AG70" s="776"/>
      <c r="AH70" s="776"/>
      <c r="AI70" s="776"/>
      <c r="AJ70" s="776"/>
      <c r="AK70" s="775"/>
      <c r="AL70" s="777"/>
      <c r="AM70" s="776"/>
      <c r="AN70" s="632"/>
      <c r="AO70" s="632">
        <v>47.988</v>
      </c>
      <c r="AP70" s="633"/>
      <c r="AQ70" s="623">
        <f t="shared" si="13"/>
        <v>223.45349158593075</v>
      </c>
      <c r="AR70" s="1"/>
      <c r="AS70" s="4"/>
    </row>
    <row r="71" spans="1:45" s="5" customFormat="1" ht="12.75" customHeight="1" thickBot="1">
      <c r="A71" s="61" t="s">
        <v>184</v>
      </c>
      <c r="B71" s="604"/>
      <c r="C71" s="605">
        <f>SUM(D71:G71)</f>
        <v>0</v>
      </c>
      <c r="D71" s="606"/>
      <c r="E71" s="607"/>
      <c r="F71" s="608"/>
      <c r="G71" s="608"/>
      <c r="H71" s="609">
        <f>SUM(I71:K71)</f>
        <v>0</v>
      </c>
      <c r="I71" s="606"/>
      <c r="J71" s="607"/>
      <c r="K71" s="607"/>
      <c r="L71" s="609">
        <f>SUM(M71:Z71)</f>
        <v>27.249865733664667</v>
      </c>
      <c r="M71" s="607"/>
      <c r="N71" s="607"/>
      <c r="O71" s="607"/>
      <c r="P71" s="607"/>
      <c r="Q71" s="607"/>
      <c r="R71" s="607"/>
      <c r="S71" s="607"/>
      <c r="T71" s="607"/>
      <c r="U71" s="717">
        <v>27.249865733664667</v>
      </c>
      <c r="V71" s="607"/>
      <c r="W71" s="608"/>
      <c r="X71" s="608"/>
      <c r="Y71" s="608"/>
      <c r="Z71" s="607"/>
      <c r="AA71" s="609"/>
      <c r="AB71" s="610">
        <f>SUM(AC71:AM71)</f>
        <v>0</v>
      </c>
      <c r="AC71" s="611"/>
      <c r="AD71" s="607"/>
      <c r="AE71" s="607"/>
      <c r="AF71" s="607"/>
      <c r="AG71" s="607"/>
      <c r="AH71" s="607"/>
      <c r="AI71" s="607"/>
      <c r="AJ71" s="607"/>
      <c r="AK71" s="606"/>
      <c r="AL71" s="608"/>
      <c r="AM71" s="607"/>
      <c r="AN71" s="609"/>
      <c r="AO71" s="612"/>
      <c r="AP71" s="610"/>
      <c r="AQ71" s="780">
        <f t="shared" si="13"/>
        <v>27.249865733664667</v>
      </c>
      <c r="AR71" s="1"/>
      <c r="AS71" s="4"/>
    </row>
    <row r="72" spans="1:45" s="5" customFormat="1" ht="12.75" customHeight="1" thickBot="1">
      <c r="A72" s="653" t="s">
        <v>185</v>
      </c>
      <c r="B72" s="654"/>
      <c r="C72" s="655">
        <f t="shared" ref="C72:AP72" si="38">C26-C27-C29</f>
        <v>-2.719924399165734</v>
      </c>
      <c r="D72" s="656">
        <f t="shared" si="38"/>
        <v>0.18184486786384468</v>
      </c>
      <c r="E72" s="657">
        <f t="shared" si="38"/>
        <v>-3.4486883993195647</v>
      </c>
      <c r="F72" s="660">
        <f t="shared" si="38"/>
        <v>0</v>
      </c>
      <c r="G72" s="660">
        <f t="shared" si="38"/>
        <v>0.6924657422902083</v>
      </c>
      <c r="H72" s="658">
        <f t="shared" si="38"/>
        <v>1.9457250152908045</v>
      </c>
      <c r="I72" s="656">
        <f t="shared" si="38"/>
        <v>-0.45741265470912973</v>
      </c>
      <c r="J72" s="657">
        <f t="shared" si="38"/>
        <v>0</v>
      </c>
      <c r="K72" s="657">
        <f t="shared" si="38"/>
        <v>2.4031376700000067</v>
      </c>
      <c r="L72" s="658">
        <f t="shared" si="38"/>
        <v>-0.17452026544560795</v>
      </c>
      <c r="M72" s="657">
        <f t="shared" si="38"/>
        <v>0</v>
      </c>
      <c r="N72" s="657">
        <f t="shared" si="38"/>
        <v>-0.14794174855289199</v>
      </c>
      <c r="O72" s="657">
        <f t="shared" si="38"/>
        <v>-5.2567080980734033</v>
      </c>
      <c r="P72" s="657">
        <f t="shared" si="38"/>
        <v>-22.015945821971172</v>
      </c>
      <c r="Q72" s="657">
        <f t="shared" si="38"/>
        <v>15.370413414720133</v>
      </c>
      <c r="R72" s="657">
        <f t="shared" si="38"/>
        <v>-6.7103906044801533</v>
      </c>
      <c r="S72" s="657">
        <f t="shared" si="38"/>
        <v>8.1718040718781069</v>
      </c>
      <c r="T72" s="657">
        <f t="shared" si="38"/>
        <v>6.5570336698137623</v>
      </c>
      <c r="U72" s="657">
        <f t="shared" si="38"/>
        <v>-4.4746269624060915</v>
      </c>
      <c r="V72" s="657">
        <f t="shared" si="38"/>
        <v>0.82532907951213019</v>
      </c>
      <c r="W72" s="660">
        <f t="shared" si="38"/>
        <v>7.506512734116022</v>
      </c>
      <c r="X72" s="660">
        <f t="shared" si="38"/>
        <v>0</v>
      </c>
      <c r="Y72" s="660">
        <f t="shared" si="38"/>
        <v>0</v>
      </c>
      <c r="Z72" s="657">
        <f t="shared" si="38"/>
        <v>0</v>
      </c>
      <c r="AA72" s="658">
        <f t="shared" si="38"/>
        <v>-40.274710307198575</v>
      </c>
      <c r="AB72" s="659">
        <f t="shared" si="38"/>
        <v>-8.1303135021793764</v>
      </c>
      <c r="AC72" s="781">
        <f t="shared" si="38"/>
        <v>0</v>
      </c>
      <c r="AD72" s="657">
        <f t="shared" si="38"/>
        <v>0</v>
      </c>
      <c r="AE72" s="657">
        <f t="shared" si="38"/>
        <v>-5.8327477785794315</v>
      </c>
      <c r="AF72" s="657">
        <f t="shared" si="38"/>
        <v>0</v>
      </c>
      <c r="AG72" s="657">
        <f t="shared" si="38"/>
        <v>0</v>
      </c>
      <c r="AH72" s="657">
        <f t="shared" si="38"/>
        <v>0</v>
      </c>
      <c r="AI72" s="657">
        <f t="shared" si="38"/>
        <v>-2.9556858672000175</v>
      </c>
      <c r="AJ72" s="657">
        <f t="shared" si="38"/>
        <v>0.65812014360000148</v>
      </c>
      <c r="AK72" s="656">
        <f t="shared" si="38"/>
        <v>0</v>
      </c>
      <c r="AL72" s="660">
        <f t="shared" si="38"/>
        <v>0</v>
      </c>
      <c r="AM72" s="657">
        <f t="shared" si="38"/>
        <v>0</v>
      </c>
      <c r="AN72" s="658">
        <f t="shared" si="38"/>
        <v>0</v>
      </c>
      <c r="AO72" s="658">
        <f t="shared" si="38"/>
        <v>-36.15143685982639</v>
      </c>
      <c r="AP72" s="659">
        <f t="shared" si="38"/>
        <v>0</v>
      </c>
      <c r="AQ72" s="661">
        <f t="shared" si="13"/>
        <v>-85.505180318524879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" t="s">
        <v>820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614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782" t="s">
        <v>821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783" t="s">
        <v>186</v>
      </c>
      <c r="B76" s="784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785" t="s">
        <v>187</v>
      </c>
      <c r="B77" s="782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188</v>
      </c>
      <c r="B78" s="782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786" t="s">
        <v>189</v>
      </c>
      <c r="B79" s="8"/>
      <c r="C79" s="8"/>
      <c r="D79" s="8"/>
      <c r="E79" s="787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786" t="s">
        <v>190</v>
      </c>
      <c r="B80" s="8"/>
      <c r="C80" s="8"/>
      <c r="D80" s="8"/>
      <c r="E80" s="787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191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zoomScale="70" zoomScaleNormal="70" workbookViewId="0">
      <selection activeCell="O51" sqref="O51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193</v>
      </c>
      <c r="B1" s="36" t="s">
        <v>194</v>
      </c>
      <c r="C1" s="37"/>
      <c r="D1" s="37"/>
      <c r="E1" s="37"/>
      <c r="F1" s="871" t="s">
        <v>651</v>
      </c>
      <c r="G1" s="871"/>
      <c r="H1" s="871" t="s">
        <v>660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195</v>
      </c>
      <c r="B2" s="36" t="s">
        <v>1</v>
      </c>
      <c r="C2" s="37"/>
      <c r="D2" s="37"/>
      <c r="E2" s="37"/>
      <c r="F2" s="1087" t="s">
        <v>635</v>
      </c>
      <c r="G2" s="1088"/>
      <c r="H2" s="446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196</v>
      </c>
      <c r="B3" s="36">
        <v>2018</v>
      </c>
      <c r="C3" s="37"/>
      <c r="D3" s="37"/>
      <c r="E3" s="37"/>
      <c r="F3" s="1089" t="s">
        <v>494</v>
      </c>
      <c r="G3" s="1090"/>
      <c r="H3" s="872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197</v>
      </c>
      <c r="B4" s="40">
        <v>4.1868000000000002E-2</v>
      </c>
      <c r="C4" s="41"/>
      <c r="D4" s="37"/>
      <c r="E4" s="42"/>
      <c r="F4" s="1091" t="s">
        <v>209</v>
      </c>
      <c r="G4" s="1092"/>
      <c r="H4" s="447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093" t="s">
        <v>502</v>
      </c>
      <c r="G5" s="1094"/>
      <c r="H5" s="445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847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848</v>
      </c>
      <c r="AO6" s="25">
        <v>0.33</v>
      </c>
      <c r="AQ6" s="25" t="s">
        <v>613</v>
      </c>
      <c r="AR6" s="25">
        <v>2.0499999999999998</v>
      </c>
    </row>
    <row r="7" spans="1:44" ht="13.5" customHeight="1" thickBot="1">
      <c r="A7" s="241" t="s">
        <v>198</v>
      </c>
      <c r="B7" s="242"/>
      <c r="C7" s="243"/>
      <c r="D7" s="44"/>
      <c r="E7" s="873"/>
      <c r="F7" s="874" t="s">
        <v>219</v>
      </c>
      <c r="G7" s="875"/>
      <c r="H7" s="876"/>
      <c r="I7" s="1084" t="s">
        <v>220</v>
      </c>
      <c r="J7" s="1085"/>
      <c r="K7" s="1086"/>
      <c r="L7" s="1084" t="s">
        <v>221</v>
      </c>
      <c r="M7" s="1085"/>
      <c r="N7" s="1086"/>
      <c r="O7" s="1084" t="s">
        <v>222</v>
      </c>
      <c r="P7" s="1085"/>
      <c r="Q7" s="1086"/>
      <c r="R7" s="1099" t="s">
        <v>223</v>
      </c>
      <c r="S7" s="1084" t="s">
        <v>650</v>
      </c>
      <c r="T7" s="1085"/>
      <c r="U7" s="1085"/>
      <c r="V7" s="1085"/>
      <c r="W7" s="1085"/>
      <c r="X7" s="1086"/>
      <c r="Y7" s="1097" t="s">
        <v>713</v>
      </c>
      <c r="Z7" s="1097" t="s">
        <v>503</v>
      </c>
      <c r="AA7" s="1095" t="s">
        <v>772</v>
      </c>
      <c r="AD7" s="1105" t="s">
        <v>844</v>
      </c>
      <c r="AE7" s="1095" t="s">
        <v>845</v>
      </c>
      <c r="AI7" s="25" t="s">
        <v>719</v>
      </c>
      <c r="AN7" s="25" t="s">
        <v>849</v>
      </c>
      <c r="AO7" s="25">
        <v>1.75</v>
      </c>
      <c r="AQ7" s="25" t="s">
        <v>852</v>
      </c>
      <c r="AR7" s="25">
        <v>0.67</v>
      </c>
    </row>
    <row r="8" spans="1:44" ht="13.5" thickBot="1">
      <c r="A8" s="244" t="s">
        <v>199</v>
      </c>
      <c r="B8" s="245" t="s">
        <v>4</v>
      </c>
      <c r="C8" s="246" t="s">
        <v>13</v>
      </c>
      <c r="D8" s="44"/>
      <c r="E8" s="889"/>
      <c r="F8" s="890" t="s">
        <v>42</v>
      </c>
      <c r="G8" s="891" t="s">
        <v>44</v>
      </c>
      <c r="H8" s="892" t="s">
        <v>46</v>
      </c>
      <c r="I8" s="893" t="s">
        <v>42</v>
      </c>
      <c r="J8" s="894" t="s">
        <v>44</v>
      </c>
      <c r="K8" s="895" t="s">
        <v>46</v>
      </c>
      <c r="L8" s="896" t="s">
        <v>42</v>
      </c>
      <c r="M8" s="894" t="s">
        <v>44</v>
      </c>
      <c r="N8" s="895" t="s">
        <v>46</v>
      </c>
      <c r="O8" s="893" t="s">
        <v>42</v>
      </c>
      <c r="P8" s="894" t="s">
        <v>44</v>
      </c>
      <c r="Q8" s="895" t="s">
        <v>46</v>
      </c>
      <c r="R8" s="1100"/>
      <c r="S8" s="897" t="s">
        <v>224</v>
      </c>
      <c r="T8" s="897" t="s">
        <v>225</v>
      </c>
      <c r="U8" s="897" t="s">
        <v>226</v>
      </c>
      <c r="V8" s="897" t="s">
        <v>227</v>
      </c>
      <c r="W8" s="897" t="s">
        <v>229</v>
      </c>
      <c r="X8" s="898" t="s">
        <v>228</v>
      </c>
      <c r="Y8" s="1098"/>
      <c r="Z8" s="1098"/>
      <c r="AA8" s="1096" t="s">
        <v>659</v>
      </c>
      <c r="AD8" s="1106"/>
      <c r="AE8" s="1096" t="s">
        <v>659</v>
      </c>
      <c r="AI8" s="869" t="s">
        <v>853</v>
      </c>
      <c r="AJ8" s="868">
        <v>1.1516522859674401</v>
      </c>
      <c r="AN8" s="25" t="s">
        <v>850</v>
      </c>
      <c r="AO8" s="25">
        <v>2.73</v>
      </c>
      <c r="AQ8" s="25" t="s">
        <v>776</v>
      </c>
      <c r="AR8" s="25">
        <v>0.04</v>
      </c>
    </row>
    <row r="9" spans="1:44" ht="12" customHeight="1">
      <c r="A9" s="385" t="s">
        <v>635</v>
      </c>
      <c r="B9" s="386" t="s">
        <v>581</v>
      </c>
      <c r="C9" s="386">
        <f>SUM('EB2018'!C56)*RSD_Balance!B4</f>
        <v>10.270341048136247</v>
      </c>
      <c r="D9" s="44"/>
      <c r="E9" s="877" t="s">
        <v>635</v>
      </c>
      <c r="F9" s="878">
        <f>'SHWLP-Apt'!$AC$7+'SHWLP-Apt'!AC20</f>
        <v>0.1645031613684676</v>
      </c>
      <c r="G9" s="879">
        <f>'SHWLP-Att'!$AC$7+'SHWLP-Att'!$AC$20</f>
        <v>5.0701051172741778</v>
      </c>
      <c r="H9" s="880">
        <f>'SHWLP-Det'!$AC$7+'SHWLP-Det'!$AC$20</f>
        <v>4.4286560276585281</v>
      </c>
      <c r="I9" s="878">
        <f>'SHWLP-Apt'!$AC$33+'SHWLP-Apt'!$AC$46</f>
        <v>6.7589691735509116E-3</v>
      </c>
      <c r="J9" s="879">
        <f>'SHWLP-Att'!$AC$33+'SHWLP-Att'!$AC$46</f>
        <v>0.4085621664140332</v>
      </c>
      <c r="K9" s="880">
        <f>'SHWLP-Det'!$AC$33+'SHWLP-Det'!$AC$46</f>
        <v>0.19099276636082196</v>
      </c>
      <c r="L9" s="881"/>
      <c r="M9" s="882"/>
      <c r="N9" s="883"/>
      <c r="O9" s="881"/>
      <c r="P9" s="882"/>
      <c r="Q9" s="883"/>
      <c r="R9" s="884"/>
      <c r="S9" s="881"/>
      <c r="T9" s="882"/>
      <c r="U9" s="882"/>
      <c r="V9" s="882"/>
      <c r="W9" s="882"/>
      <c r="X9" s="883"/>
      <c r="Y9" s="991">
        <f>SUM(F9:X9)</f>
        <v>10.269578208249579</v>
      </c>
      <c r="Z9" s="992">
        <f>C9</f>
        <v>10.270341048136247</v>
      </c>
      <c r="AA9" s="354">
        <f>ABS(Z9-Y9)/Z9</f>
        <v>7.4276003405653125E-5</v>
      </c>
      <c r="AD9" s="25">
        <f>AJ9+AJ20</f>
        <v>10.269075645345431</v>
      </c>
      <c r="AE9" s="354">
        <f>ABS(AD9-Y9)/AD9</f>
        <v>4.8939449031626213E-5</v>
      </c>
      <c r="AI9" s="869" t="s">
        <v>855</v>
      </c>
      <c r="AJ9" s="868">
        <v>9.6599740335233797</v>
      </c>
      <c r="AN9" s="25" t="s">
        <v>851</v>
      </c>
    </row>
    <row r="10" spans="1:44" ht="12" customHeight="1">
      <c r="A10" s="248" t="s">
        <v>494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8" t="s">
        <v>494</v>
      </c>
      <c r="F10" s="440">
        <f>'SHWLP-Apt'!$AC$18+'SHWLP-Apt'!$AC$21</f>
        <v>6.2641019370422851E-2</v>
      </c>
      <c r="G10" s="439">
        <f>'SHWLP-Att'!$AC$18+'SHWLP-Att'!$AC$21</f>
        <v>2.0071676224144213</v>
      </c>
      <c r="H10" s="441">
        <f>'SHWLP-Det'!$AC$18+'SHWLP-Det'!$AC$21</f>
        <v>5.3563325107675972</v>
      </c>
      <c r="I10" s="440">
        <f>'SHWLP-Apt'!$AC$44+'SHWLP-Apt'!$AC$47</f>
        <v>6.7972402766291592E-3</v>
      </c>
      <c r="J10" s="439">
        <f>'SHWLP-Att'!$AC$44+'SHWLP-Att'!$AC$47</f>
        <v>0.38501317210062763</v>
      </c>
      <c r="K10" s="441">
        <f>'SHWLP-Det'!$AC$44+'SHWLP-Det'!$AC$47</f>
        <v>0.40992419463569968</v>
      </c>
      <c r="L10" s="440"/>
      <c r="M10" s="439"/>
      <c r="N10" s="441"/>
      <c r="O10" s="440"/>
      <c r="P10" s="439"/>
      <c r="Q10" s="441"/>
      <c r="R10" s="436"/>
      <c r="S10" s="442"/>
      <c r="T10" s="439"/>
      <c r="U10" s="439"/>
      <c r="V10" s="439"/>
      <c r="W10" s="439"/>
      <c r="X10" s="441"/>
      <c r="Y10" s="993">
        <f>SUM(F10:X10)</f>
        <v>8.2278757595653982</v>
      </c>
      <c r="Z10" s="436">
        <f t="shared" ref="Z10:Z27" si="0">C10</f>
        <v>8.22868674342444</v>
      </c>
      <c r="AA10" s="354">
        <f>ABS(Z10-Y10)/Z10</f>
        <v>9.8555685047778535E-5</v>
      </c>
      <c r="AD10" s="25">
        <f>AJ14+AJ27</f>
        <v>8.1954076367650153</v>
      </c>
      <c r="AE10" s="354">
        <f t="shared" ref="AE10" si="1">ABS(AD10-Y10)/AD10</f>
        <v>3.9617459239890971E-3</v>
      </c>
      <c r="AI10" s="869" t="s">
        <v>411</v>
      </c>
      <c r="AJ10" s="868">
        <v>4.4337733997372402</v>
      </c>
      <c r="AN10" s="25" t="s">
        <v>848</v>
      </c>
      <c r="AO10" s="25">
        <v>7.0000000000000007E-2</v>
      </c>
    </row>
    <row r="11" spans="1:44" ht="12" customHeight="1">
      <c r="A11" s="247" t="s">
        <v>776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877" t="s">
        <v>201</v>
      </c>
      <c r="F11" s="878">
        <f>'SHWLP-Apt'!$AC$10</f>
        <v>8.3521157656363337E-2</v>
      </c>
      <c r="G11" s="879">
        <f>'SHWLP-Att'!$AC$10</f>
        <v>0.33080594499020705</v>
      </c>
      <c r="H11" s="880">
        <f>'SHWLP-Det'!$AC$10</f>
        <v>1.2958225591678023</v>
      </c>
      <c r="I11" s="878">
        <f>'SHWLP-Apt'!$AC$36</f>
        <v>4.1055339619265108E-2</v>
      </c>
      <c r="J11" s="879">
        <f>'SHWLP-Att'!$AC$36</f>
        <v>0.14904361895454823</v>
      </c>
      <c r="K11" s="880">
        <f>'SHWLP-Det'!$AC$36</f>
        <v>0.31426985618014286</v>
      </c>
      <c r="L11" s="878"/>
      <c r="M11" s="879"/>
      <c r="N11" s="880"/>
      <c r="O11" s="878"/>
      <c r="P11" s="879"/>
      <c r="Q11" s="880"/>
      <c r="R11" s="885">
        <v>3.9492406345735545E-2</v>
      </c>
      <c r="S11" s="878"/>
      <c r="T11" s="879"/>
      <c r="U11" s="879"/>
      <c r="V11" s="879"/>
      <c r="W11" s="879"/>
      <c r="X11" s="880"/>
      <c r="Y11" s="991">
        <f t="shared" ref="Y11:Y25" si="2">SUM(F11:X11)</f>
        <v>2.2540108829140642</v>
      </c>
      <c r="Z11" s="992">
        <f t="shared" si="0"/>
        <v>2.2542368842613176</v>
      </c>
      <c r="AA11" s="354">
        <f>ABS(Z11-Y11)/Z11</f>
        <v>1.0025625471368195E-4</v>
      </c>
      <c r="AD11" s="25">
        <f>AJ13+AJ26+AR8</f>
        <v>2.1294859113248128</v>
      </c>
      <c r="AE11" s="354">
        <f>ABS(AD11-Y11)/AD11</f>
        <v>5.8476541651210495E-2</v>
      </c>
      <c r="AI11" s="869" t="s">
        <v>857</v>
      </c>
      <c r="AJ11" s="868">
        <v>16.539193232500899</v>
      </c>
      <c r="AN11" s="25" t="s">
        <v>849</v>
      </c>
      <c r="AO11" s="25">
        <v>0.49</v>
      </c>
    </row>
    <row r="12" spans="1:44" ht="12" customHeight="1">
      <c r="A12" s="248" t="s">
        <v>775</v>
      </c>
      <c r="B12" s="254" t="str">
        <f>'EB2018'!P1</f>
        <v xml:space="preserve"> Gasoline</v>
      </c>
      <c r="C12" s="254">
        <f>'EB2018'!P56*B4</f>
        <v>0</v>
      </c>
      <c r="D12" s="44"/>
      <c r="E12" s="886" t="s">
        <v>202</v>
      </c>
      <c r="F12" s="440"/>
      <c r="G12" s="439"/>
      <c r="H12" s="441"/>
      <c r="I12" s="440"/>
      <c r="J12" s="439"/>
      <c r="K12" s="441"/>
      <c r="L12" s="440"/>
      <c r="M12" s="439"/>
      <c r="N12" s="441"/>
      <c r="O12" s="440"/>
      <c r="P12" s="439"/>
      <c r="Q12" s="441"/>
      <c r="R12" s="436"/>
      <c r="S12" s="442"/>
      <c r="T12" s="439"/>
      <c r="U12" s="439"/>
      <c r="V12" s="439"/>
      <c r="W12" s="439"/>
      <c r="X12" s="441"/>
      <c r="Y12" s="993">
        <f t="shared" si="2"/>
        <v>0</v>
      </c>
      <c r="Z12" s="436">
        <f t="shared" si="0"/>
        <v>0</v>
      </c>
      <c r="AA12" s="354"/>
      <c r="AD12" s="37"/>
      <c r="AE12" s="354"/>
      <c r="AI12" s="869" t="s">
        <v>858</v>
      </c>
      <c r="AJ12" s="868">
        <v>33.821000958649797</v>
      </c>
      <c r="AN12" s="25" t="s">
        <v>850</v>
      </c>
      <c r="AO12" s="25">
        <v>0.56999999999999995</v>
      </c>
    </row>
    <row r="13" spans="1:44" ht="12" customHeight="1">
      <c r="A13" s="247" t="s">
        <v>777</v>
      </c>
      <c r="B13" s="253" t="str">
        <f>'EB2018'!Q1</f>
        <v xml:space="preserve"> Kerosene</v>
      </c>
      <c r="C13" s="253">
        <f>'EB2018'!Q56*RSD_Balance!B4</f>
        <v>36.148841345600246</v>
      </c>
      <c r="D13" s="44"/>
      <c r="E13" s="877" t="s">
        <v>203</v>
      </c>
      <c r="F13" s="878">
        <f>'SHWLP-Apt'!$AC$14</f>
        <v>0.27353712269239377</v>
      </c>
      <c r="G13" s="879">
        <f>'SHWLP-Att'!$AC$14</f>
        <v>7.9425851662494829</v>
      </c>
      <c r="H13" s="880">
        <f>'SHWLP-Det'!$AC$14</f>
        <v>28.310640237098287</v>
      </c>
      <c r="I13" s="878">
        <f>'SHWLP-Apt'!$AC$40</f>
        <v>7.4987245601673969E-2</v>
      </c>
      <c r="J13" s="879">
        <f>'SHWLP-Att'!$AC$40</f>
        <v>3.1609218088799507</v>
      </c>
      <c r="K13" s="880">
        <f>'SHWLP-Det'!$AC$40</f>
        <v>8.4233864898363215</v>
      </c>
      <c r="L13" s="878"/>
      <c r="M13" s="879"/>
      <c r="N13" s="880"/>
      <c r="O13" s="878"/>
      <c r="P13" s="879"/>
      <c r="Q13" s="880"/>
      <c r="R13" s="885"/>
      <c r="S13" s="878"/>
      <c r="T13" s="879"/>
      <c r="U13" s="879"/>
      <c r="V13" s="879"/>
      <c r="W13" s="879"/>
      <c r="X13" s="880"/>
      <c r="Y13" s="994">
        <f t="shared" si="2"/>
        <v>48.186058070358115</v>
      </c>
      <c r="Z13" s="995">
        <f t="shared" si="0"/>
        <v>36.148841345600246</v>
      </c>
      <c r="AA13" s="354">
        <f>ABS(Z13+Z14+Z16-Y13)/(Z13+Z14+Z16)</f>
        <v>7.5896009155321554E-5</v>
      </c>
      <c r="AD13" s="25">
        <f>AJ12+AJ25</f>
        <v>43.727300517765926</v>
      </c>
      <c r="AE13" s="354">
        <f>ABS(AD13-Y13)/AD13</f>
        <v>0.10196736363317567</v>
      </c>
      <c r="AI13" s="869" t="s">
        <v>859</v>
      </c>
      <c r="AJ13" s="868">
        <v>1.6238402306206099</v>
      </c>
    </row>
    <row r="14" spans="1:44" ht="12" customHeight="1">
      <c r="A14" s="248" t="s">
        <v>778</v>
      </c>
      <c r="B14" s="254" t="str">
        <f>'EB2018'!U1</f>
        <v xml:space="preserve"> Gasoil / Diesel /DERV</v>
      </c>
      <c r="C14" s="254">
        <f>'EB2018'!U56*RSD_Balance!B4</f>
        <v>11.893905446769136</v>
      </c>
      <c r="D14" s="44"/>
      <c r="E14" s="886" t="s">
        <v>204</v>
      </c>
      <c r="F14" s="440"/>
      <c r="G14" s="439"/>
      <c r="H14" s="441"/>
      <c r="I14" s="440"/>
      <c r="J14" s="439"/>
      <c r="K14" s="441"/>
      <c r="L14" s="440"/>
      <c r="M14" s="439"/>
      <c r="N14" s="441"/>
      <c r="O14" s="440"/>
      <c r="P14" s="439"/>
      <c r="Q14" s="441"/>
      <c r="R14" s="436"/>
      <c r="S14" s="442"/>
      <c r="T14" s="439"/>
      <c r="U14" s="439"/>
      <c r="V14" s="439"/>
      <c r="W14" s="439"/>
      <c r="X14" s="441"/>
      <c r="Y14" s="996">
        <f t="shared" si="2"/>
        <v>0</v>
      </c>
      <c r="Z14" s="997">
        <f t="shared" si="0"/>
        <v>11.893905446769136</v>
      </c>
      <c r="AA14" s="354">
        <f>ABS(Z13+Z14+Z16-Y13)/(Z13+Z14+Z16)</f>
        <v>7.5896009155321554E-5</v>
      </c>
      <c r="AI14" s="869" t="s">
        <v>412</v>
      </c>
      <c r="AJ14" s="868">
        <v>7.3969700958689097</v>
      </c>
    </row>
    <row r="15" spans="1:44" ht="12" customHeight="1">
      <c r="A15" s="247" t="s">
        <v>779</v>
      </c>
      <c r="B15" s="253" t="str">
        <f>'EB2018'!S1</f>
        <v xml:space="preserve"> Fueloil</v>
      </c>
      <c r="C15" s="253">
        <f>'EB2018'!S56*RSD_Balance!B4</f>
        <v>0</v>
      </c>
      <c r="D15" s="44"/>
      <c r="E15" s="887" t="s">
        <v>205</v>
      </c>
      <c r="F15" s="878"/>
      <c r="G15" s="879"/>
      <c r="H15" s="880"/>
      <c r="I15" s="878"/>
      <c r="J15" s="879"/>
      <c r="K15" s="880"/>
      <c r="L15" s="878"/>
      <c r="M15" s="879"/>
      <c r="N15" s="880"/>
      <c r="O15" s="878"/>
      <c r="P15" s="879"/>
      <c r="Q15" s="880"/>
      <c r="R15" s="885"/>
      <c r="S15" s="878"/>
      <c r="T15" s="879"/>
      <c r="U15" s="879"/>
      <c r="V15" s="879"/>
      <c r="W15" s="879"/>
      <c r="X15" s="880"/>
      <c r="Y15" s="994">
        <f t="shared" si="2"/>
        <v>0</v>
      </c>
      <c r="Z15" s="997">
        <f t="shared" si="0"/>
        <v>0</v>
      </c>
      <c r="AA15" s="354">
        <f>ABS(Z13+Z14+Z16-Y13)/(Z13+Z14+Z16)</f>
        <v>7.5896009155321554E-5</v>
      </c>
      <c r="AI15" s="869" t="s">
        <v>861</v>
      </c>
      <c r="AJ15" s="868">
        <v>1.1222131821933099</v>
      </c>
      <c r="AQ15" s="25" t="s">
        <v>67</v>
      </c>
      <c r="AR15" s="25">
        <v>1.71</v>
      </c>
    </row>
    <row r="16" spans="1:44" ht="12" customHeight="1">
      <c r="A16" s="248" t="s">
        <v>780</v>
      </c>
      <c r="B16" s="254" t="str">
        <f>'EB2018'!V1</f>
        <v xml:space="preserve"> Petroleum Coke</v>
      </c>
      <c r="C16" s="254">
        <f>'EB2018'!V56*RSD_Balance!B4</f>
        <v>0.14696868507580046</v>
      </c>
      <c r="D16" s="44"/>
      <c r="E16" s="886" t="s">
        <v>206</v>
      </c>
      <c r="F16" s="440"/>
      <c r="G16" s="439"/>
      <c r="H16" s="441"/>
      <c r="I16" s="440"/>
      <c r="J16" s="439"/>
      <c r="K16" s="441"/>
      <c r="L16" s="440"/>
      <c r="M16" s="439"/>
      <c r="N16" s="441"/>
      <c r="O16" s="440"/>
      <c r="P16" s="439"/>
      <c r="Q16" s="441"/>
      <c r="R16" s="436"/>
      <c r="S16" s="442"/>
      <c r="T16" s="439"/>
      <c r="U16" s="439"/>
      <c r="V16" s="439"/>
      <c r="W16" s="439"/>
      <c r="X16" s="441"/>
      <c r="Y16" s="996">
        <f t="shared" si="2"/>
        <v>0</v>
      </c>
      <c r="Z16" s="997">
        <f t="shared" si="0"/>
        <v>0.14696868507580046</v>
      </c>
      <c r="AA16" s="354">
        <f>ABS(Z13+Z14+Z16-Y13)/(Z13+Z14+Z16)</f>
        <v>7.5896009155321554E-5</v>
      </c>
      <c r="AQ16" s="25" t="s">
        <v>726</v>
      </c>
      <c r="AR16" s="25">
        <v>1.1000000000000001</v>
      </c>
    </row>
    <row r="17" spans="1:44" ht="12" customHeight="1">
      <c r="A17" s="247" t="s">
        <v>781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877" t="s">
        <v>207</v>
      </c>
      <c r="F17" s="878">
        <f>'SHWLP-Apt'!$AC$16</f>
        <v>1.290633418103742</v>
      </c>
      <c r="G17" s="879">
        <f>'SHWLP-Att'!$AC$16</f>
        <v>11.879485989406717</v>
      </c>
      <c r="H17" s="880">
        <f>'SHWLP-Det'!$AC$16</f>
        <v>5.2345577020498419</v>
      </c>
      <c r="I17" s="878">
        <f>'SHWLP-Apt'!$AC$42</f>
        <v>0.60716401702944534</v>
      </c>
      <c r="J17" s="879">
        <f>'SHWLP-Att'!$AC$42</f>
        <v>4.1120335446691945</v>
      </c>
      <c r="K17" s="880">
        <f>'SHWLP-Det'!$AC$42</f>
        <v>1.4948266478005934</v>
      </c>
      <c r="L17" s="878"/>
      <c r="M17" s="879"/>
      <c r="N17" s="880"/>
      <c r="O17" s="878"/>
      <c r="P17" s="879"/>
      <c r="Q17" s="880"/>
      <c r="R17" s="885">
        <v>0.66992893469234771</v>
      </c>
      <c r="S17" s="878"/>
      <c r="T17" s="879"/>
      <c r="U17" s="879"/>
      <c r="V17" s="879"/>
      <c r="W17" s="879"/>
      <c r="X17" s="880"/>
      <c r="Y17" s="991">
        <f t="shared" si="2"/>
        <v>25.288630253751879</v>
      </c>
      <c r="Z17" s="992">
        <f t="shared" si="0"/>
        <v>25.292197479166735</v>
      </c>
      <c r="AA17" s="354">
        <f>ABS(Z17-Y17)/Z17</f>
        <v>1.4104054888047736E-4</v>
      </c>
      <c r="AD17" s="25">
        <f>AJ11+AJ23+AR7</f>
        <v>23.52273418334358</v>
      </c>
      <c r="AE17" s="354">
        <f t="shared" ref="AE17:AE26" si="3">ABS(AD17-Y17)/AD17</f>
        <v>7.5071888184611135E-2</v>
      </c>
      <c r="AI17" s="25" t="s">
        <v>721</v>
      </c>
      <c r="AQ17" s="25" t="s">
        <v>727</v>
      </c>
      <c r="AR17" s="25">
        <v>1.19</v>
      </c>
    </row>
    <row r="18" spans="1:44" ht="12" customHeight="1">
      <c r="A18" s="248" t="s">
        <v>782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888" t="s">
        <v>208</v>
      </c>
      <c r="F18" s="440"/>
      <c r="G18" s="439"/>
      <c r="H18" s="441"/>
      <c r="I18" s="440">
        <f>($C$18*0.05)</f>
        <v>2.8008835678000416E-2</v>
      </c>
      <c r="J18" s="439">
        <f>($C$18*0.475)</f>
        <v>0.26608393894100396</v>
      </c>
      <c r="K18" s="441">
        <f>($C$18*0.475)</f>
        <v>0.26608393894100396</v>
      </c>
      <c r="L18" s="440"/>
      <c r="M18" s="439"/>
      <c r="N18" s="441"/>
      <c r="O18" s="440"/>
      <c r="P18" s="439"/>
      <c r="Q18" s="441"/>
      <c r="R18" s="436"/>
      <c r="S18" s="442"/>
      <c r="T18" s="439"/>
      <c r="U18" s="439"/>
      <c r="V18" s="439"/>
      <c r="W18" s="439"/>
      <c r="X18" s="441"/>
      <c r="Y18" s="993">
        <f t="shared" si="2"/>
        <v>0.56017671356000842</v>
      </c>
      <c r="Z18" s="436">
        <f t="shared" si="0"/>
        <v>0.56017671356000831</v>
      </c>
      <c r="AA18" s="354">
        <f>ABS(Z18-Y18)/Z18</f>
        <v>1.9819157022246073E-16</v>
      </c>
      <c r="AD18" s="25">
        <f>AJ28</f>
        <v>0.56017671356000898</v>
      </c>
      <c r="AE18" s="354">
        <f t="shared" si="3"/>
        <v>9.9095785111230238E-16</v>
      </c>
      <c r="AI18" s="869" t="s">
        <v>846</v>
      </c>
      <c r="AJ18" s="868">
        <v>1.0513799860672901</v>
      </c>
      <c r="AQ18" s="25" t="s">
        <v>728</v>
      </c>
      <c r="AR18" s="25">
        <v>10.84</v>
      </c>
    </row>
    <row r="19" spans="1:44" ht="12" customHeight="1">
      <c r="A19" s="247" t="s">
        <v>783</v>
      </c>
      <c r="B19" s="253" t="str">
        <f>'EB2018'!AE1</f>
        <v xml:space="preserve"> Biomass</v>
      </c>
      <c r="C19" s="253">
        <f>'EB2018'!AE56*RSD_Balance!B4</f>
        <v>1.2806945652086403</v>
      </c>
      <c r="D19" s="44"/>
      <c r="E19" s="877" t="s">
        <v>209</v>
      </c>
      <c r="F19" s="878">
        <f>'SHWLP-Apt'!$AC$22+'SHWLP-Apt'!$AC$23</f>
        <v>1.2270622618055806E-2</v>
      </c>
      <c r="G19" s="879">
        <f>'SHWLP-Att'!$AC$22+'SHWLP-Att'!$AC$23</f>
        <v>0.25489843797396139</v>
      </c>
      <c r="H19" s="880">
        <f>'SHWLP-Det'!$AC$22+'SHWLP-Det'!$AC$23</f>
        <v>0.86316679487914505</v>
      </c>
      <c r="I19" s="878">
        <f>'SHWLP-Apt'!$AC$49+'SHWLP-Apt'!$AC$48</f>
        <v>4.3579088563863435E-3</v>
      </c>
      <c r="J19" s="879">
        <f>'SHWLP-Att'!$AC$49+'SHWLP-Att'!$AC$48</f>
        <v>4.3900982344044298E-2</v>
      </c>
      <c r="K19" s="880">
        <f>'SHWLP-Det'!$AC$49+'SHWLP-Det'!$AC$48</f>
        <v>0.10196968907218658</v>
      </c>
      <c r="L19" s="878"/>
      <c r="M19" s="879"/>
      <c r="N19" s="880"/>
      <c r="O19" s="878"/>
      <c r="P19" s="879"/>
      <c r="Q19" s="880"/>
      <c r="R19" s="885"/>
      <c r="S19" s="878"/>
      <c r="T19" s="879"/>
      <c r="U19" s="879"/>
      <c r="V19" s="879"/>
      <c r="W19" s="879"/>
      <c r="X19" s="880"/>
      <c r="Y19" s="991">
        <f>SUM(F19:X19)</f>
        <v>1.2805644357437795</v>
      </c>
      <c r="Z19" s="992">
        <f t="shared" si="0"/>
        <v>1.2806945652086403</v>
      </c>
      <c r="AA19" s="354">
        <f>ABS(Z19-Y19)/Z19</f>
        <v>1.0160850869199693E-4</v>
      </c>
      <c r="AD19" s="25">
        <f>AJ29+AJ15</f>
        <v>1.2689594898892349</v>
      </c>
      <c r="AE19" s="354">
        <f t="shared" si="3"/>
        <v>9.1452453344728988E-3</v>
      </c>
      <c r="AI19" s="869" t="s">
        <v>854</v>
      </c>
      <c r="AJ19" s="868">
        <v>7.8153182244299698E-5</v>
      </c>
      <c r="AQ19" s="25" t="s">
        <v>724</v>
      </c>
      <c r="AR19" s="25">
        <v>1.41</v>
      </c>
    </row>
    <row r="20" spans="1:44" ht="12" customHeight="1">
      <c r="A20" s="248" t="s">
        <v>784</v>
      </c>
      <c r="B20" s="254" t="str">
        <f>'EB2018'!AH1</f>
        <v xml:space="preserve"> Biogas</v>
      </c>
      <c r="C20" s="254">
        <f>'EB2018'!AH56*RSD_Balance!B4</f>
        <v>0</v>
      </c>
      <c r="D20" s="44"/>
      <c r="E20" s="886" t="s">
        <v>210</v>
      </c>
      <c r="F20" s="440"/>
      <c r="G20" s="439"/>
      <c r="H20" s="441"/>
      <c r="I20" s="440"/>
      <c r="J20" s="439"/>
      <c r="K20" s="441"/>
      <c r="L20" s="440"/>
      <c r="M20" s="439"/>
      <c r="N20" s="441"/>
      <c r="O20" s="440"/>
      <c r="P20" s="439"/>
      <c r="Q20" s="441"/>
      <c r="R20" s="436"/>
      <c r="S20" s="442"/>
      <c r="T20" s="439"/>
      <c r="U20" s="439"/>
      <c r="V20" s="439"/>
      <c r="W20" s="439"/>
      <c r="X20" s="441"/>
      <c r="Y20" s="993">
        <f t="shared" si="2"/>
        <v>0</v>
      </c>
      <c r="Z20" s="436">
        <f t="shared" si="0"/>
        <v>0</v>
      </c>
      <c r="AI20" s="869" t="s">
        <v>855</v>
      </c>
      <c r="AJ20" s="868">
        <v>0.60910161182205103</v>
      </c>
    </row>
    <row r="21" spans="1:44" ht="12" customHeight="1">
      <c r="A21" s="247" t="s">
        <v>211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877" t="s">
        <v>211</v>
      </c>
      <c r="F21" s="878"/>
      <c r="G21" s="879"/>
      <c r="H21" s="880"/>
      <c r="I21" s="878"/>
      <c r="J21" s="879"/>
      <c r="K21" s="880"/>
      <c r="L21" s="878"/>
      <c r="M21" s="879"/>
      <c r="N21" s="880"/>
      <c r="O21" s="878"/>
      <c r="P21" s="879"/>
      <c r="Q21" s="880"/>
      <c r="R21" s="885"/>
      <c r="S21" s="878"/>
      <c r="T21" s="879"/>
      <c r="U21" s="879"/>
      <c r="V21" s="879"/>
      <c r="W21" s="879"/>
      <c r="X21" s="880"/>
      <c r="Y21" s="991">
        <f t="shared" si="2"/>
        <v>0</v>
      </c>
      <c r="Z21" s="992">
        <f t="shared" si="0"/>
        <v>0</v>
      </c>
      <c r="AI21" s="869" t="s">
        <v>411</v>
      </c>
      <c r="AJ21" s="868">
        <v>2.3626993757787398</v>
      </c>
    </row>
    <row r="22" spans="1:44" ht="12" customHeight="1">
      <c r="A22" s="248" t="s">
        <v>829</v>
      </c>
      <c r="B22" s="254" t="str">
        <f>'EB2018'!AM1</f>
        <v xml:space="preserve"> Ambient Heat</v>
      </c>
      <c r="C22" s="254">
        <f>'EB2018'!AM56*RSD_Balance!B4</f>
        <v>1.1776284562901849</v>
      </c>
      <c r="D22" s="44"/>
      <c r="E22" s="888" t="s">
        <v>836</v>
      </c>
      <c r="F22" s="440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39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41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40">
        <f>('SHWLP-Apt'!$AC$38/('SHWLP-Apt'!$AC$12+'SHWLP-Att'!$AC$12+'SHWLP-Det'!$AC$12+'SHWLP-Apt'!$AC$38+'SHWLP-Att'!$AC$38+'SHWLP-Det'!$AC$38+'SHWLP-Apt'!AC50))</f>
        <v>0.31494966010108993</v>
      </c>
      <c r="J22" s="439">
        <f>('SHWLP-Att'!$AC$38/('SHWLP-Apt'!$AC$12+'SHWLP-Att'!$AC$12+'SHWLP-Det'!$AC$12+'SHWLP-Apt'!$AC$38+'SHWLP-Att'!$AC$38+'SHWLP-Det'!$AC$38+'SHWLP-Att'!AC50))</f>
        <v>0.14338952017256595</v>
      </c>
      <c r="K22" s="441">
        <f>('SHWLP-Det'!$AC$38/('SHWLP-Apt'!$AC$12+'SHWLP-Att'!$AC$12+'SHWLP-Det'!$AC$12+'SHWLP-Apt'!$AC$38+'SHWLP-Att'!$AC$38+'SHWLP-Det'!$AC$38+'SHWLP-Det'!AC50))</f>
        <v>8.4684807903376222E-2</v>
      </c>
      <c r="L22" s="440"/>
      <c r="M22" s="439"/>
      <c r="N22" s="441"/>
      <c r="O22" s="440"/>
      <c r="P22" s="439"/>
      <c r="Q22" s="441"/>
      <c r="R22" s="436"/>
      <c r="S22" s="442"/>
      <c r="T22" s="439"/>
      <c r="U22" s="439"/>
      <c r="V22" s="439"/>
      <c r="W22" s="439"/>
      <c r="X22" s="441"/>
      <c r="Y22" s="998">
        <f>SUM(F22:X22)</f>
        <v>0.93306479597185543</v>
      </c>
      <c r="Z22" s="999">
        <f t="shared" si="0"/>
        <v>1.1776284562901849</v>
      </c>
      <c r="AA22" s="851">
        <f>ABS(Z22+Z27-Y22-Y27)/(Z22+Z27)</f>
        <v>7.9607688426569477E-3</v>
      </c>
      <c r="AD22" s="25">
        <f>AJ8+AJ18+AJ24</f>
        <v>2.2054176010201956</v>
      </c>
      <c r="AE22" s="354">
        <f>ABS(AD22-Y22)/SUM(AD22+AD27)</f>
        <v>0.57692148845632107</v>
      </c>
      <c r="AI22" s="869" t="s">
        <v>856</v>
      </c>
      <c r="AJ22" s="868">
        <v>2.1879412797081899E-5</v>
      </c>
    </row>
    <row r="23" spans="1:44" ht="12" customHeight="1">
      <c r="A23" s="247" t="s">
        <v>785</v>
      </c>
      <c r="B23" s="253" t="s">
        <v>213</v>
      </c>
      <c r="C23" s="253">
        <f>'EB2018'!AI56*RSD_Balance!B4*0.5</f>
        <v>0</v>
      </c>
      <c r="D23" s="44"/>
      <c r="E23" s="877" t="s">
        <v>212</v>
      </c>
      <c r="F23" s="878">
        <f>'SHWLP-Apt'!$AC$9</f>
        <v>1.717752076955832E-8</v>
      </c>
      <c r="G23" s="879">
        <f>'SHWLP-Att'!$AC$9</f>
        <v>0</v>
      </c>
      <c r="H23" s="880">
        <f>'SHWLP-Det'!$AC$9</f>
        <v>0</v>
      </c>
      <c r="I23" s="878">
        <f>'SHWLP-Apt'!$AC$35</f>
        <v>4.5022817220784442E-5</v>
      </c>
      <c r="J23" s="879">
        <f>'SHWLP-Att'!$AC$35</f>
        <v>2.2499320963325842E-5</v>
      </c>
      <c r="K23" s="880">
        <f>'SHWLP-Det'!$AC$35</f>
        <v>7.5218748410839565E-5</v>
      </c>
      <c r="L23" s="878"/>
      <c r="M23" s="879"/>
      <c r="N23" s="880"/>
      <c r="O23" s="878"/>
      <c r="P23" s="879"/>
      <c r="Q23" s="880"/>
      <c r="R23" s="885"/>
      <c r="S23" s="878"/>
      <c r="T23" s="879"/>
      <c r="U23" s="879"/>
      <c r="V23" s="879"/>
      <c r="W23" s="879"/>
      <c r="X23" s="880"/>
      <c r="Y23" s="991">
        <f t="shared" si="2"/>
        <v>1.427580641157194E-4</v>
      </c>
      <c r="Z23" s="992">
        <f t="shared" si="0"/>
        <v>0</v>
      </c>
      <c r="AA23" s="37"/>
      <c r="AI23" s="869" t="s">
        <v>857</v>
      </c>
      <c r="AJ23" s="868">
        <v>6.3135409508426799</v>
      </c>
    </row>
    <row r="24" spans="1:44" ht="12" customHeight="1">
      <c r="A24" s="248" t="s">
        <v>786</v>
      </c>
      <c r="B24" s="254" t="s">
        <v>215</v>
      </c>
      <c r="C24" s="254">
        <f>'EB2018'!AI56*RSD_Balance!B4*0.5</f>
        <v>0</v>
      </c>
      <c r="D24" s="44"/>
      <c r="E24" s="886" t="s">
        <v>214</v>
      </c>
      <c r="F24" s="440">
        <f>'SHWLP-Apt'!$AC$8</f>
        <v>2.3945463952764301E-5</v>
      </c>
      <c r="G24" s="439">
        <f>'SHWLP-Att'!$AC$8</f>
        <v>3.0322953671439083E-5</v>
      </c>
      <c r="H24" s="441">
        <f>'SHWLP-Det'!$AC$8</f>
        <v>0</v>
      </c>
      <c r="I24" s="440">
        <f>'SHWLP-Apt'!$AC$34</f>
        <v>4.9825781562605275E-5</v>
      </c>
      <c r="J24" s="439">
        <f>'SHWLP-Att'!$AC$34</f>
        <v>8.0367491939926361E-5</v>
      </c>
      <c r="K24" s="441">
        <f>'SHWLP-Det'!$AC$34</f>
        <v>6.6404444827140003E-5</v>
      </c>
      <c r="L24" s="440"/>
      <c r="M24" s="439"/>
      <c r="N24" s="441"/>
      <c r="O24" s="440"/>
      <c r="P24" s="439"/>
      <c r="Q24" s="441"/>
      <c r="R24" s="436"/>
      <c r="S24" s="442"/>
      <c r="T24" s="439"/>
      <c r="U24" s="439"/>
      <c r="V24" s="439"/>
      <c r="W24" s="439"/>
      <c r="X24" s="441"/>
      <c r="Y24" s="993">
        <f t="shared" si="2"/>
        <v>2.5086613595387504E-4</v>
      </c>
      <c r="Z24" s="436">
        <f t="shared" si="0"/>
        <v>0</v>
      </c>
      <c r="AA24" s="37"/>
      <c r="AI24" s="869" t="s">
        <v>409</v>
      </c>
      <c r="AJ24" s="868">
        <v>2.3853289854654501E-3</v>
      </c>
    </row>
    <row r="25" spans="1:44" ht="12" customHeight="1">
      <c r="A25" s="247" t="s">
        <v>216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887" t="s">
        <v>216</v>
      </c>
      <c r="F25" s="878"/>
      <c r="G25" s="879"/>
      <c r="H25" s="880"/>
      <c r="I25" s="878"/>
      <c r="J25" s="879"/>
      <c r="K25" s="880"/>
      <c r="L25" s="878"/>
      <c r="M25" s="879"/>
      <c r="N25" s="880"/>
      <c r="O25" s="878"/>
      <c r="P25" s="879"/>
      <c r="Q25" s="880"/>
      <c r="R25" s="885"/>
      <c r="S25" s="878"/>
      <c r="T25" s="879"/>
      <c r="U25" s="879"/>
      <c r="V25" s="879"/>
      <c r="W25" s="879"/>
      <c r="X25" s="880"/>
      <c r="Y25" s="991">
        <f t="shared" si="2"/>
        <v>0</v>
      </c>
      <c r="Z25" s="992">
        <f t="shared" si="0"/>
        <v>0</v>
      </c>
      <c r="AA25" s="37"/>
      <c r="AI25" s="869" t="s">
        <v>858</v>
      </c>
      <c r="AJ25" s="868">
        <v>9.90629955911613</v>
      </c>
    </row>
    <row r="26" spans="1:44" ht="12" customHeight="1">
      <c r="A26" s="248" t="s">
        <v>613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8" t="s">
        <v>613</v>
      </c>
      <c r="F26" s="440">
        <f>'SHWLP-Apt'!$AC$11+'SHWLP-Apt'!$AC$13</f>
        <v>0.62154708028854366</v>
      </c>
      <c r="G26" s="439">
        <f>'SHWLP-Att'!$AC$11+'SHWLP-Att'!$AC$13</f>
        <v>1.055385029940197</v>
      </c>
      <c r="H26" s="441">
        <f>'SHWLP-Det'!$AC$11+'SHWLP-Det'!$AC$13</f>
        <v>1.5573562329801345</v>
      </c>
      <c r="I26" s="440">
        <f>'SHWLP-Apt'!$AC$37+'SHWLP-Apt'!$AC$39</f>
        <v>0.66223410396507831</v>
      </c>
      <c r="J26" s="439">
        <f>'SHWLP-Att'!$AC$37+'SHWLP-Att'!$AC$39</f>
        <v>0.55104434771721889</v>
      </c>
      <c r="K26" s="441">
        <f>'SHWLP-Det'!$AC$37+'SHWLP-Det'!$AC$39</f>
        <v>0.46704088696682822</v>
      </c>
      <c r="L26" s="440">
        <f>'SHWLP-Apt'!$AC$59</f>
        <v>0.34353539472387451</v>
      </c>
      <c r="M26" s="439">
        <f>'SHWLP-Att'!$AC$59</f>
        <v>1.8080718525599928</v>
      </c>
      <c r="N26" s="441">
        <f>'SHWLP-Det'!$AC$59</f>
        <v>2.7736752304587728</v>
      </c>
      <c r="O26" s="440">
        <f>'SHWLP-Apt'!$AC$60</f>
        <v>7.078848738741389E-2</v>
      </c>
      <c r="P26" s="439">
        <f>'SHWLP-Att'!$AC$60</f>
        <v>0.50068510037742064</v>
      </c>
      <c r="Q26" s="441">
        <f>'SHWLP-Det'!$AC$60</f>
        <v>0.57732324799614743</v>
      </c>
      <c r="R26" s="436">
        <v>2.051734110329881</v>
      </c>
      <c r="S26" s="442">
        <f>(T38*0.0000000036)*(DwellingStocks!L28*RSD_Balance!U38)</f>
        <v>1.4430682741859997</v>
      </c>
      <c r="T26" s="439">
        <f>(T36*0.0000000036)*(DwellingStocks!L28*RSD_Balance!U36)</f>
        <v>1.1268114283822497</v>
      </c>
      <c r="U26" s="439">
        <f>(T37*0.0000000036)*(DwellingStocks!L28*RSD_Balance!U37)</f>
        <v>1.7528219421827038</v>
      </c>
      <c r="V26" s="439">
        <f>(T39*0.0000000036)*(DwellingStocks!L28*RSD_Balance!U39)</f>
        <v>1.2125521732445999</v>
      </c>
      <c r="W26" s="439">
        <v>10.843443600154002</v>
      </c>
      <c r="X26" s="441">
        <v>0</v>
      </c>
      <c r="Y26" s="993">
        <f>SUM(F26:X26)</f>
        <v>29.419118523841057</v>
      </c>
      <c r="Z26" s="436">
        <f t="shared" si="0"/>
        <v>29.430890206847998</v>
      </c>
      <c r="AA26" s="354">
        <f>ABS(Z26-Y26)/Z26</f>
        <v>3.9997713029428381E-4</v>
      </c>
      <c r="AD26" s="37">
        <f>AJ10+AJ21+AO6+AO7+AO8+AO10+AO11+AO12+AR6+AR15+AR16+AR17+AR18+AR19</f>
        <v>31.036472775515985</v>
      </c>
      <c r="AE26" s="354">
        <f t="shared" si="3"/>
        <v>5.2111406581962658E-2</v>
      </c>
      <c r="AI26" s="869" t="s">
        <v>859</v>
      </c>
      <c r="AJ26" s="868">
        <v>0.46564568070420298</v>
      </c>
    </row>
    <row r="27" spans="1:44">
      <c r="A27" s="247" t="s">
        <v>217</v>
      </c>
      <c r="B27" s="253" t="str">
        <f>'EB2018'!AP1</f>
        <v xml:space="preserve"> Heat</v>
      </c>
      <c r="C27" s="253">
        <f>'EB2018'!AP56*RSD_Balance!B4</f>
        <v>0</v>
      </c>
      <c r="D27" s="44"/>
      <c r="E27" s="877" t="s">
        <v>217</v>
      </c>
      <c r="F27" s="878">
        <f>'SHWLP-Apt'!$AC$24</f>
        <v>3.9264417733931474E-2</v>
      </c>
      <c r="G27" s="879">
        <f>'SHWLP-Att'!$AC$24</f>
        <v>4.6931650161764517E-2</v>
      </c>
      <c r="H27" s="880">
        <f>'SHWLP-Det'!$AC$24</f>
        <v>0.15384118082811329</v>
      </c>
      <c r="I27" s="878">
        <f>'SHWLP-Apt'!$AC$50</f>
        <v>1.0409092726077061E-2</v>
      </c>
      <c r="J27" s="879">
        <f>'SHWLP-Att'!$AC$50</f>
        <v>2.4529123767550393E-3</v>
      </c>
      <c r="K27" s="880">
        <f>'SHWLP-Det'!$AC$50</f>
        <v>1.039234414749181E-3</v>
      </c>
      <c r="L27" s="878"/>
      <c r="M27" s="879"/>
      <c r="N27" s="880"/>
      <c r="O27" s="878"/>
      <c r="P27" s="879"/>
      <c r="Q27" s="880"/>
      <c r="R27" s="885"/>
      <c r="S27" s="878"/>
      <c r="T27" s="879"/>
      <c r="U27" s="879"/>
      <c r="V27" s="879"/>
      <c r="W27" s="879"/>
      <c r="X27" s="880"/>
      <c r="Y27" s="1000">
        <f>SUM(F27:X27)</f>
        <v>0.25393848824139054</v>
      </c>
      <c r="Z27" s="1001">
        <f t="shared" si="0"/>
        <v>0</v>
      </c>
      <c r="AA27" s="851">
        <f>ABS(Z22+Z27-Y22-Y27)/(Z22+Z27)</f>
        <v>7.9607688426569477E-3</v>
      </c>
      <c r="AI27" s="869" t="s">
        <v>412</v>
      </c>
      <c r="AJ27" s="868">
        <v>0.79843754089610497</v>
      </c>
    </row>
    <row r="28" spans="1:44" ht="12.75" customHeight="1" thickBot="1">
      <c r="A28" s="249"/>
      <c r="B28" s="250" t="s">
        <v>218</v>
      </c>
      <c r="C28" s="251">
        <f>SUM(C9:C27)</f>
        <v>126.68456757434075</v>
      </c>
      <c r="D28" s="44"/>
      <c r="E28" s="518" t="s">
        <v>502</v>
      </c>
      <c r="F28" s="518">
        <f>SUM('SHWLP-Apt'!AC20:AC22)</f>
        <v>7.9885577249766582E-2</v>
      </c>
      <c r="G28" s="518">
        <f>SUM('SHWLP-Att'!AC20:AC22)</f>
        <v>2.5661544667428986</v>
      </c>
      <c r="H28" s="518">
        <f>SUM('SHWLP-Det'!AC20:AC22)</f>
        <v>6.6941079630758544</v>
      </c>
      <c r="I28" s="518">
        <f>SUM('SHWLP-Apt'!AC46:AC48)</f>
        <v>8.6855207922834441E-3</v>
      </c>
      <c r="J28" s="518">
        <f>SUM('SHWLP-Att'!AC46:AC48)</f>
        <v>0.48505892055832367</v>
      </c>
      <c r="K28" s="518">
        <f>SUM('SHWLP-Det'!AC46:AC48)</f>
        <v>0.51849275452322741</v>
      </c>
      <c r="L28" s="518"/>
      <c r="M28" s="518"/>
      <c r="N28" s="518"/>
      <c r="O28" s="518"/>
      <c r="P28" s="518"/>
      <c r="Q28" s="518"/>
      <c r="R28" s="518"/>
      <c r="S28" s="518"/>
      <c r="T28" s="518"/>
      <c r="U28" s="518"/>
      <c r="V28" s="518"/>
      <c r="W28" s="518"/>
      <c r="X28" s="518"/>
      <c r="Y28" s="518">
        <f>SUM(F28:K28)</f>
        <v>10.352385202942354</v>
      </c>
      <c r="Z28" s="519"/>
      <c r="AA28" s="354"/>
      <c r="AD28" s="37"/>
      <c r="AI28" s="869" t="s">
        <v>860</v>
      </c>
      <c r="AJ28" s="868">
        <v>0.56017671356000898</v>
      </c>
    </row>
    <row r="29" spans="1:44" ht="13.5" thickBot="1">
      <c r="A29" s="37"/>
      <c r="B29" s="37"/>
      <c r="C29" s="37"/>
      <c r="D29" s="37"/>
      <c r="E29" s="37"/>
      <c r="F29" s="411">
        <f>SUM(F9:F27)</f>
        <v>2.716343403455594</v>
      </c>
      <c r="G29" s="411">
        <f t="shared" ref="G29:K29" si="4">SUM(G9:G27)</f>
        <v>28.691693962403516</v>
      </c>
      <c r="H29" s="411">
        <f t="shared" si="4"/>
        <v>47.317713931203151</v>
      </c>
      <c r="I29" s="411">
        <f t="shared" si="4"/>
        <v>1.7568172616259801</v>
      </c>
      <c r="J29" s="411">
        <f t="shared" si="4"/>
        <v>9.2225488793828454</v>
      </c>
      <c r="K29" s="411">
        <f t="shared" si="4"/>
        <v>11.754360135304958</v>
      </c>
      <c r="L29" s="413">
        <f t="shared" ref="L29:X29" si="5">SUM(L9:L27)</f>
        <v>0.34353539472387451</v>
      </c>
      <c r="M29" s="413">
        <f t="shared" si="5"/>
        <v>1.8080718525599928</v>
      </c>
      <c r="N29" s="413">
        <f t="shared" si="5"/>
        <v>2.7736752304587728</v>
      </c>
      <c r="O29" s="413">
        <f t="shared" si="5"/>
        <v>7.078848738741389E-2</v>
      </c>
      <c r="P29" s="413">
        <f t="shared" si="5"/>
        <v>0.50068510037742064</v>
      </c>
      <c r="Q29" s="413">
        <f t="shared" si="5"/>
        <v>0.57732324799614743</v>
      </c>
      <c r="R29" s="521">
        <f t="shared" si="5"/>
        <v>2.7611554513679644</v>
      </c>
      <c r="S29" s="413">
        <f t="shared" si="5"/>
        <v>1.4430682741859997</v>
      </c>
      <c r="T29" s="413">
        <f t="shared" si="5"/>
        <v>1.1268114283822497</v>
      </c>
      <c r="U29" s="413">
        <f t="shared" si="5"/>
        <v>1.7528219421827038</v>
      </c>
      <c r="V29" s="413">
        <f t="shared" si="5"/>
        <v>1.2125521732445999</v>
      </c>
      <c r="W29" s="520">
        <f t="shared" si="5"/>
        <v>10.843443600154002</v>
      </c>
      <c r="X29" s="413">
        <f t="shared" si="5"/>
        <v>0</v>
      </c>
      <c r="Y29" s="832">
        <f>SUM(Y9:Y27)</f>
        <v>126.67340975639719</v>
      </c>
      <c r="Z29" s="831">
        <f>SUM(Z9:Z27)</f>
        <v>126.68456757434075</v>
      </c>
      <c r="AA29" s="354">
        <f>ABS(Z29-Y29)/Z29</f>
        <v>8.8075589293919407E-5</v>
      </c>
      <c r="AD29" s="831">
        <f>SUM(AD9:AD27)</f>
        <v>122.9150304745302</v>
      </c>
      <c r="AI29" s="869" t="s">
        <v>861</v>
      </c>
      <c r="AJ29" s="868">
        <v>0.146746307695925</v>
      </c>
    </row>
    <row r="30" spans="1:44" ht="13.5" thickBot="1">
      <c r="A30" s="37"/>
      <c r="B30" s="37"/>
      <c r="C30" s="37"/>
      <c r="E30" s="37"/>
      <c r="F30" s="411">
        <f>SUM(F29:H29)</f>
        <v>78.72575129706226</v>
      </c>
      <c r="G30" s="412">
        <f>F30/$Y$29</f>
        <v>0.62148600443027469</v>
      </c>
      <c r="H30" s="302"/>
      <c r="I30" s="413">
        <f>SUM(I29:K29)</f>
        <v>22.733726276313782</v>
      </c>
      <c r="J30" s="412">
        <f>I30/$Y$29</f>
        <v>0.17946723246838073</v>
      </c>
      <c r="K30" s="302"/>
      <c r="L30" s="413">
        <f>SUM(L29:N29)</f>
        <v>4.9252824777426403</v>
      </c>
      <c r="M30" s="412">
        <f>L30/$Y$29</f>
        <v>3.8881739168578011E-2</v>
      </c>
      <c r="N30" s="302"/>
      <c r="O30" s="413">
        <f>SUM(O29:Q29)</f>
        <v>1.1487968357609819</v>
      </c>
      <c r="P30" s="412">
        <f>O30/$Y$29</f>
        <v>9.0689659177108084E-3</v>
      </c>
      <c r="Q30" s="302"/>
      <c r="R30" s="412">
        <f>R29/$Y$29</f>
        <v>2.1797435283994335E-2</v>
      </c>
      <c r="S30" s="413">
        <f>SUM(S29:X29)</f>
        <v>16.378697418149557</v>
      </c>
      <c r="T30" s="412">
        <f>S30/$Y$29</f>
        <v>0.12929862273106144</v>
      </c>
      <c r="U30" s="302"/>
      <c r="V30" s="302"/>
      <c r="W30" s="302"/>
      <c r="X30" s="302"/>
      <c r="Y30" s="414">
        <f>T30+R30+P30++M30+J30+G30</f>
        <v>1</v>
      </c>
      <c r="Z30" s="303"/>
      <c r="AA30" s="37"/>
      <c r="AD30" s="37"/>
    </row>
    <row r="31" spans="1:44">
      <c r="B31" s="301"/>
      <c r="D31" s="47"/>
      <c r="H31" s="300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866"/>
      <c r="Z31" s="866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86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78.72575129706226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22.733726276313782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899"/>
      <c r="S35" s="900" t="s">
        <v>505</v>
      </c>
      <c r="T35" s="900" t="s">
        <v>504</v>
      </c>
      <c r="U35" s="901" t="s">
        <v>506</v>
      </c>
      <c r="V35" s="37"/>
      <c r="W35" s="37"/>
      <c r="X35" s="37"/>
      <c r="Y35" s="37" t="str">
        <f>O7</f>
        <v>Pumps &amp; Fans</v>
      </c>
      <c r="Z35" s="43">
        <f>O30</f>
        <v>1.1487968357609819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101" t="s">
        <v>225</v>
      </c>
      <c r="S36" s="1102"/>
      <c r="T36" s="41">
        <v>185</v>
      </c>
      <c r="U36" s="902">
        <v>0.97499999999999998</v>
      </c>
      <c r="V36" s="37"/>
      <c r="W36" s="37"/>
      <c r="X36" s="37"/>
      <c r="Y36" s="37" t="str">
        <f>L7</f>
        <v>Lighting</v>
      </c>
      <c r="Z36" s="43">
        <f>L30</f>
        <v>4.9252824777426403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101" t="s">
        <v>226</v>
      </c>
      <c r="S37" s="1102"/>
      <c r="T37" s="37">
        <v>433</v>
      </c>
      <c r="U37" s="902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101" t="s">
        <v>224</v>
      </c>
      <c r="S38" s="1102"/>
      <c r="T38" s="37">
        <v>231</v>
      </c>
      <c r="U38" s="902">
        <v>1</v>
      </c>
      <c r="V38" s="37"/>
      <c r="W38" s="37"/>
      <c r="X38" s="37"/>
      <c r="Y38" s="37" t="str">
        <f>S7</f>
        <v>Appliances</v>
      </c>
      <c r="Z38" s="43">
        <f>S30</f>
        <v>16.378697418149557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103" t="s">
        <v>227</v>
      </c>
      <c r="S39" s="1104"/>
      <c r="T39" s="903">
        <v>300</v>
      </c>
      <c r="U39" s="303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50" zoomScaleNormal="5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551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7" t="s">
        <v>564</v>
      </c>
      <c r="CI3" s="307" t="s">
        <v>565</v>
      </c>
    </row>
    <row r="4" spans="2:99" ht="18">
      <c r="B4" s="1108" t="s">
        <v>558</v>
      </c>
      <c r="C4" s="1109"/>
      <c r="D4" s="1109"/>
      <c r="E4" s="1109"/>
      <c r="F4" s="1109"/>
      <c r="G4" s="1109"/>
      <c r="H4" s="1109"/>
      <c r="I4" s="1109"/>
      <c r="J4" s="1109"/>
      <c r="K4" s="1109"/>
      <c r="L4" s="1109"/>
      <c r="O4" s="1108" t="s">
        <v>560</v>
      </c>
      <c r="P4" s="1109"/>
      <c r="Q4" s="1109"/>
      <c r="R4" s="1109"/>
      <c r="S4" s="1109"/>
      <c r="T4" s="1109"/>
      <c r="U4" s="1109"/>
      <c r="V4" s="1109"/>
      <c r="W4" s="1109"/>
      <c r="X4" s="1109"/>
      <c r="Y4" s="1109"/>
      <c r="Z4" s="904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58" t="s">
        <v>516</v>
      </c>
      <c r="CI6" t="s">
        <v>516</v>
      </c>
      <c r="CQ6" t="s">
        <v>516</v>
      </c>
    </row>
    <row r="7" spans="2:99">
      <c r="B7" t="s">
        <v>508</v>
      </c>
      <c r="C7" s="122">
        <v>6094</v>
      </c>
      <c r="D7" s="122">
        <v>22883</v>
      </c>
      <c r="E7" s="122">
        <v>21159</v>
      </c>
      <c r="F7" s="306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6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122">
        <v>2800</v>
      </c>
      <c r="D8" s="122">
        <v>26844</v>
      </c>
      <c r="E8" s="122">
        <v>16032</v>
      </c>
      <c r="F8" s="306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6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122">
        <v>2187</v>
      </c>
      <c r="D9" s="122">
        <v>33473</v>
      </c>
      <c r="E9" s="122">
        <v>14682</v>
      </c>
      <c r="F9" s="306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6">
        <f t="shared" si="3"/>
        <v>125347</v>
      </c>
    </row>
    <row r="10" spans="2:99">
      <c r="B10" t="s">
        <v>511</v>
      </c>
      <c r="C10" s="122">
        <v>2486</v>
      </c>
      <c r="D10" s="122">
        <v>24851</v>
      </c>
      <c r="E10" s="122">
        <v>14478</v>
      </c>
      <c r="F10" s="306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6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122">
        <v>3677</v>
      </c>
      <c r="D11" s="122">
        <v>51695</v>
      </c>
      <c r="E11" s="122">
        <v>35579</v>
      </c>
      <c r="F11" s="306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6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122">
        <v>6342</v>
      </c>
      <c r="D12" s="122">
        <v>43624</v>
      </c>
      <c r="E12" s="122">
        <v>33190</v>
      </c>
      <c r="F12" s="306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6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122">
        <v>25354</v>
      </c>
      <c r="D13" s="122">
        <v>64118</v>
      </c>
      <c r="E13" s="122">
        <v>50159</v>
      </c>
      <c r="F13" s="306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6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122">
        <v>78381</v>
      </c>
      <c r="D14" s="122">
        <v>115507</v>
      </c>
      <c r="E14" s="122">
        <v>69518</v>
      </c>
      <c r="F14" s="306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6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122">
        <v>7476</v>
      </c>
      <c r="D15" s="122">
        <v>31963</v>
      </c>
      <c r="E15" s="122">
        <v>10694</v>
      </c>
      <c r="F15" s="306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06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05" t="s">
        <v>549</v>
      </c>
      <c r="C16" s="306">
        <f>SUM(C7:C15)</f>
        <v>134797</v>
      </c>
      <c r="D16" s="306">
        <f>SUM(D7:D15)</f>
        <v>414958</v>
      </c>
      <c r="E16" s="306">
        <f>SUM(E7:E15)</f>
        <v>265491</v>
      </c>
      <c r="F16" s="306">
        <f>SUM(C16:E16)</f>
        <v>815246</v>
      </c>
      <c r="O16" s="305" t="s">
        <v>549</v>
      </c>
      <c r="P16" s="306">
        <f>SUM(P7:P15)</f>
        <v>169418</v>
      </c>
      <c r="Q16" s="306">
        <f>SUM(Q7:Q15)</f>
        <v>711150</v>
      </c>
      <c r="R16" s="306">
        <f>SUM(R7:R15)</f>
        <v>694537</v>
      </c>
      <c r="S16" s="306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49" t="s">
        <v>552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569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112" t="s">
        <v>567</v>
      </c>
      <c r="AZ18" s="1112"/>
      <c r="BA18" s="1112"/>
      <c r="BB18" s="1112"/>
      <c r="BC18" s="1112"/>
      <c r="BD18" s="1112"/>
      <c r="BE18" s="1112"/>
      <c r="BF18" s="1112"/>
      <c r="BG18" s="1112"/>
      <c r="BH18" s="1112"/>
      <c r="BI18" s="1112"/>
      <c r="BJ18" s="1112"/>
      <c r="BL18" s="1112" t="s">
        <v>877</v>
      </c>
      <c r="BM18" s="1112"/>
      <c r="BN18" s="1112"/>
      <c r="BO18" s="1112"/>
      <c r="BP18" s="1112"/>
      <c r="BQ18" s="1112"/>
      <c r="BR18" s="1112"/>
      <c r="BS18" s="1112"/>
      <c r="BT18" s="1112"/>
      <c r="BU18" s="1112"/>
      <c r="BV18" s="1112"/>
      <c r="BW18" s="1112"/>
      <c r="BX18" s="1112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8" t="s">
        <v>559</v>
      </c>
      <c r="C19" s="1109"/>
      <c r="D19" s="1109"/>
      <c r="E19" s="1109"/>
      <c r="F19" s="1109"/>
      <c r="G19" s="1109"/>
      <c r="H19" s="1109"/>
      <c r="I19" s="1109"/>
      <c r="J19" s="1109"/>
      <c r="K19" s="1109"/>
      <c r="L19" s="1109"/>
      <c r="M19" s="1109"/>
      <c r="O19" s="1108" t="s">
        <v>560</v>
      </c>
      <c r="P19" s="1109"/>
      <c r="Q19" s="1109"/>
      <c r="R19" s="1109"/>
      <c r="S19" s="1109"/>
      <c r="T19" s="1109"/>
      <c r="U19" s="1109"/>
      <c r="V19" s="1109"/>
      <c r="W19" s="1109"/>
      <c r="X19" s="1109"/>
      <c r="Y19" s="1109"/>
      <c r="Z19" s="1109"/>
      <c r="AB19" s="1108" t="s">
        <v>561</v>
      </c>
      <c r="AC19" s="1109"/>
      <c r="AD19" s="1109"/>
      <c r="AE19" s="1109"/>
      <c r="AF19" s="1109"/>
      <c r="AG19" s="1109"/>
      <c r="AH19" s="1109"/>
      <c r="AI19" s="1109"/>
      <c r="AJ19" s="1109"/>
      <c r="AK19" s="1109"/>
      <c r="AL19" s="1109"/>
      <c r="AN19" s="1110" t="s">
        <v>562</v>
      </c>
      <c r="AO19" s="1111"/>
      <c r="AP19" s="1111"/>
      <c r="AQ19" s="1111"/>
      <c r="AR19" s="1111"/>
      <c r="AS19" s="1111"/>
      <c r="AT19" s="1111"/>
      <c r="AU19" s="1111"/>
      <c r="AV19" s="1111"/>
      <c r="AW19" s="1111"/>
      <c r="AY19" s="1107" t="s">
        <v>563</v>
      </c>
      <c r="AZ19" s="1107"/>
      <c r="BA19" s="1107"/>
      <c r="BB19" s="1107"/>
      <c r="BC19" s="1107"/>
      <c r="BD19" s="1107"/>
      <c r="BE19" s="1107"/>
      <c r="BF19" s="1107"/>
      <c r="BG19" s="1107"/>
      <c r="BH19" s="1107"/>
      <c r="BI19" s="1107"/>
      <c r="BJ19" s="1107"/>
      <c r="BL19" s="1107" t="s">
        <v>568</v>
      </c>
      <c r="BM19" s="1107"/>
      <c r="BN19" s="1107"/>
      <c r="BO19" s="1107"/>
      <c r="BP19" s="1107"/>
      <c r="BQ19" s="1107"/>
      <c r="BR19" s="1107"/>
      <c r="BS19" s="1107"/>
      <c r="BT19" s="1107"/>
      <c r="BU19" s="1107"/>
      <c r="BV19" s="1107"/>
      <c r="BW19" s="1107"/>
      <c r="BX19" s="1107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58" t="s">
        <v>552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23" t="s">
        <v>297</v>
      </c>
      <c r="C21" s="319" t="s">
        <v>540</v>
      </c>
      <c r="D21" s="319" t="s">
        <v>541</v>
      </c>
      <c r="E21" s="319" t="s">
        <v>542</v>
      </c>
      <c r="F21" s="319" t="s">
        <v>137</v>
      </c>
      <c r="G21" s="319" t="s">
        <v>554</v>
      </c>
      <c r="H21" s="319" t="s">
        <v>543</v>
      </c>
      <c r="I21" s="319" t="s">
        <v>544</v>
      </c>
      <c r="J21" s="319" t="s">
        <v>545</v>
      </c>
      <c r="K21" s="319" t="s">
        <v>546</v>
      </c>
      <c r="L21" s="319" t="s">
        <v>532</v>
      </c>
      <c r="M21" s="330" t="s">
        <v>553</v>
      </c>
      <c r="O21" s="323" t="s">
        <v>297</v>
      </c>
      <c r="P21" s="319" t="s">
        <v>540</v>
      </c>
      <c r="Q21" s="319" t="s">
        <v>541</v>
      </c>
      <c r="R21" s="319" t="s">
        <v>542</v>
      </c>
      <c r="S21" s="319" t="s">
        <v>137</v>
      </c>
      <c r="T21" s="319" t="s">
        <v>554</v>
      </c>
      <c r="U21" s="319" t="s">
        <v>543</v>
      </c>
      <c r="V21" s="319" t="s">
        <v>544</v>
      </c>
      <c r="W21" s="319" t="s">
        <v>545</v>
      </c>
      <c r="X21" s="319" t="s">
        <v>546</v>
      </c>
      <c r="Y21" s="319" t="s">
        <v>532</v>
      </c>
      <c r="Z21" s="324"/>
      <c r="AB21" s="323"/>
      <c r="AC21" s="319" t="s">
        <v>48</v>
      </c>
      <c r="AD21" s="319" t="s">
        <v>50</v>
      </c>
      <c r="AE21" s="319" t="s">
        <v>52</v>
      </c>
      <c r="AF21" s="319" t="s">
        <v>54</v>
      </c>
      <c r="AG21" s="319" t="s">
        <v>56</v>
      </c>
      <c r="AH21" s="319" t="s">
        <v>58</v>
      </c>
      <c r="AI21" s="319" t="s">
        <v>60</v>
      </c>
      <c r="AJ21" s="319" t="s">
        <v>62</v>
      </c>
      <c r="AK21" s="319" t="s">
        <v>64</v>
      </c>
      <c r="AL21" s="324"/>
      <c r="AN21" s="323" t="s">
        <v>297</v>
      </c>
      <c r="AO21" s="319" t="s">
        <v>48</v>
      </c>
      <c r="AP21" s="319" t="s">
        <v>50</v>
      </c>
      <c r="AQ21" s="319" t="s">
        <v>52</v>
      </c>
      <c r="AR21" s="319" t="s">
        <v>54</v>
      </c>
      <c r="AS21" s="319" t="s">
        <v>56</v>
      </c>
      <c r="AT21" s="319" t="s">
        <v>58</v>
      </c>
      <c r="AU21" s="319" t="s">
        <v>60</v>
      </c>
      <c r="AV21" s="319" t="s">
        <v>62</v>
      </c>
      <c r="AW21" s="324" t="s">
        <v>64</v>
      </c>
      <c r="AY21" s="323" t="s">
        <v>297</v>
      </c>
      <c r="AZ21" s="319" t="s">
        <v>48</v>
      </c>
      <c r="BA21" s="319" t="s">
        <v>50</v>
      </c>
      <c r="BB21" s="319" t="s">
        <v>52</v>
      </c>
      <c r="BC21" s="319" t="s">
        <v>54</v>
      </c>
      <c r="BD21" s="319" t="s">
        <v>56</v>
      </c>
      <c r="BE21" s="319" t="s">
        <v>58</v>
      </c>
      <c r="BF21" s="319" t="s">
        <v>60</v>
      </c>
      <c r="BG21" s="319" t="s">
        <v>62</v>
      </c>
      <c r="BH21" s="319" t="s">
        <v>64</v>
      </c>
      <c r="BI21" s="319"/>
      <c r="BJ21" s="324"/>
      <c r="BL21" s="323" t="s">
        <v>297</v>
      </c>
      <c r="BM21" s="319" t="s">
        <v>540</v>
      </c>
      <c r="BN21" s="319" t="s">
        <v>541</v>
      </c>
      <c r="BO21" s="319" t="s">
        <v>542</v>
      </c>
      <c r="BP21" s="319" t="s">
        <v>137</v>
      </c>
      <c r="BQ21" s="319" t="s">
        <v>554</v>
      </c>
      <c r="BR21" s="319" t="s">
        <v>543</v>
      </c>
      <c r="BS21" s="319" t="s">
        <v>544</v>
      </c>
      <c r="BT21" s="319" t="s">
        <v>545</v>
      </c>
      <c r="BU21" s="319" t="s">
        <v>546</v>
      </c>
      <c r="BV21" s="319" t="s">
        <v>532</v>
      </c>
      <c r="BW21" s="319" t="s">
        <v>573</v>
      </c>
      <c r="BX21" s="324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20" t="s">
        <v>508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5">
        <f>SUM(C22:L22)</f>
        <v>6094</v>
      </c>
      <c r="O22" s="320" t="s">
        <v>508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5">
        <f>SUM(P22:Y22)</f>
        <v>13706</v>
      </c>
      <c r="AB22" s="320" t="s">
        <v>508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5">
        <f>SUM(AC22:AK22)</f>
        <v>6094</v>
      </c>
      <c r="AN22" s="320" t="s">
        <v>508</v>
      </c>
      <c r="AO22" s="332">
        <f t="shared" ref="AO22:AO30" si="5">AC22/AL22</f>
        <v>4.9228749589760423E-4</v>
      </c>
      <c r="AP22" s="332">
        <f t="shared" ref="AP22:AP30" si="6">AD22/AL22</f>
        <v>2.133245815556285E-3</v>
      </c>
      <c r="AQ22" s="332">
        <f t="shared" ref="AQ22:AQ30" si="7">AE22/AL22</f>
        <v>6.5638332786347228E-3</v>
      </c>
      <c r="AR22" s="332">
        <f t="shared" ref="AR22:AR30" si="8">AF22/AL22</f>
        <v>1.3948145717098785E-2</v>
      </c>
      <c r="AS22" s="332">
        <f t="shared" ref="AS22:AS30" si="9">AG22/AL22</f>
        <v>8.6478503446012475E-2</v>
      </c>
      <c r="AT22" s="332">
        <f t="shared" ref="AT22:AT30" si="10">AH22/AL22</f>
        <v>0.16179849031834592</v>
      </c>
      <c r="AU22" s="332">
        <f t="shared" ref="AU22:AU30" si="11">AI22/AL22</f>
        <v>0.18887430259271415</v>
      </c>
      <c r="AV22" s="332">
        <f t="shared" ref="AV22:AV30" si="12">AJ22/AL22</f>
        <v>0.14473252379389565</v>
      </c>
      <c r="AW22" s="333">
        <f t="shared" ref="AW22:AW30" si="13">AK22/AL22</f>
        <v>0.39497866754184446</v>
      </c>
      <c r="AY22" s="338"/>
      <c r="AZ22">
        <f>AO22*Z22</f>
        <v>6.7472924187725631</v>
      </c>
      <c r="BA22">
        <f t="shared" ref="BA22:BH22" si="14">AP22*$Z$22</f>
        <v>29.238267148014444</v>
      </c>
      <c r="BB22">
        <f t="shared" si="14"/>
        <v>89.963898916967509</v>
      </c>
      <c r="BC22">
        <f t="shared" si="14"/>
        <v>191.17328519855596</v>
      </c>
      <c r="BD22">
        <f t="shared" si="14"/>
        <v>1185.274368231047</v>
      </c>
      <c r="BE22">
        <f t="shared" si="14"/>
        <v>2217.610108303249</v>
      </c>
      <c r="BF22">
        <f t="shared" si="14"/>
        <v>2588.7111913357403</v>
      </c>
      <c r="BG22">
        <f t="shared" si="14"/>
        <v>1983.7039711191337</v>
      </c>
      <c r="BH22">
        <f t="shared" si="14"/>
        <v>5413.5776173285203</v>
      </c>
      <c r="BJ22" s="339"/>
      <c r="BL22" s="347" t="s">
        <v>48</v>
      </c>
      <c r="BM22" s="321">
        <f>(P22*AO22+P23*AO23+P24*AO24+P25*AO25+P26*AO26+P27*AO27+P28*AO28+P29*AO29+P30*AO30+P31/9)*BX31</f>
        <v>183.89796145812321</v>
      </c>
      <c r="BN22" s="321">
        <f>(Q22*AO22+Q23*AO23+Q24*AO24+Q25*AO25+Q26*AO26+Q27*AO27+Q28*AO28+Q29*AO29+Q30*AO30+Q31/9)*BX31</f>
        <v>369.358408791062</v>
      </c>
      <c r="BO22" s="321">
        <f>(R22*AO22+R23*AO23+R24*AO24+R25*AO25+R26*AO26+R27*AO27+R28*AO28+R29*AO29+R30*AO30+R31/9)*BX31</f>
        <v>3828.3050528959375</v>
      </c>
      <c r="BP22" s="321">
        <f>(S22*AO22+S23*AO23+S24*AO24+S25*AO25+S26*AO26+S27*AO27+S28*AO28+S29*AO29+S30*AO30+S31/9)*BX31</f>
        <v>3682.2435907229228</v>
      </c>
      <c r="BQ22" s="321">
        <f>(T22*AO22+T23*AO23+T24*AO24+T25*AO25+T26*AO26+T27*AO27+T28*AO28+T29*AO29+T30*AO30+T31/9)*BX31</f>
        <v>41.32770948581269</v>
      </c>
      <c r="BR22" s="321">
        <f>(U22*AO22+U23*AO23+U24*AO24+U25*AO25+U26*AO26+U27*AO27+U28*AO28+U29*AO29+U30*AO30+U31/9)*BX31</f>
        <v>22.36581195396133</v>
      </c>
      <c r="BS22" s="321">
        <f>(V22*AO22+V23*AO23+V24*AO24+V25*AO25+V26*AO26+V27*AO27+V28*AO28+V29*AO29+V30*AO30+V31/9)*BX31</f>
        <v>41.233455253880358</v>
      </c>
      <c r="BT22" s="321">
        <f>(W22*AO22+W23*AO23+W24*AO24+W25*AO25+W26*AO26+W27*AO27+W28*AO28+W29*AO29+W30*AO30+W31/9)*BX31</f>
        <v>33.528460612781927</v>
      </c>
      <c r="BU22" s="321">
        <f>(X22*AO22+X23*AO23+X24*AO24+X25*AO25+X26*AO26+X27*AO27+X28*AO28+X29*AO29+X30*AO30+X31/9)*BX31</f>
        <v>120.73024152491226</v>
      </c>
      <c r="BV22" s="321">
        <f>(Y22*AO22+Y23*AO23+Y24*AO24+Y25*AO25+Y26*AO26+Y27*AO27+Y28*AO28+Y29*AO29+Y30*AO30+Y31/9)*BX31</f>
        <v>1335.6949189130539</v>
      </c>
      <c r="BW22" s="352">
        <f>AVERAGE(BQ22,BR22,BT22)/3</f>
        <v>10.802442450283992</v>
      </c>
      <c r="BX22" s="339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20" t="s">
        <v>509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5">
        <f t="shared" ref="M23:M30" si="15">SUM(C23:L23)</f>
        <v>2800</v>
      </c>
      <c r="O23" s="320" t="s">
        <v>509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5">
        <f t="shared" ref="Z23:Z30" si="16">SUM(P23:Y23)</f>
        <v>5393</v>
      </c>
      <c r="AB23" s="320" t="s">
        <v>509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5">
        <f t="shared" ref="AL23:AL30" si="17">SUM(AC23:AK23)</f>
        <v>2800</v>
      </c>
      <c r="AN23" s="320" t="s">
        <v>509</v>
      </c>
      <c r="AO23" s="332">
        <f t="shared" si="5"/>
        <v>7.1428571428571429E-4</v>
      </c>
      <c r="AP23" s="332">
        <f t="shared" si="6"/>
        <v>7.4999999999999997E-3</v>
      </c>
      <c r="AQ23" s="332">
        <f t="shared" si="7"/>
        <v>4.5714285714285714E-2</v>
      </c>
      <c r="AR23" s="332">
        <f t="shared" si="8"/>
        <v>6.8928571428571422E-2</v>
      </c>
      <c r="AS23" s="332">
        <f t="shared" si="9"/>
        <v>0.16464285714285715</v>
      </c>
      <c r="AT23" s="332">
        <f t="shared" si="10"/>
        <v>0.17749999999999999</v>
      </c>
      <c r="AU23" s="332">
        <f t="shared" si="11"/>
        <v>0.16142857142857142</v>
      </c>
      <c r="AV23" s="332">
        <f t="shared" si="12"/>
        <v>0.11</v>
      </c>
      <c r="AW23" s="333">
        <f t="shared" si="13"/>
        <v>0.26357142857142857</v>
      </c>
      <c r="AY23" s="338"/>
      <c r="AZ23">
        <f>AO23*$Z23</f>
        <v>3.8521428571428573</v>
      </c>
      <c r="BA23">
        <f t="shared" ref="BA23:BH23" si="18">AP23*$Z$23</f>
        <v>40.447499999999998</v>
      </c>
      <c r="BB23">
        <f t="shared" si="18"/>
        <v>246.53714285714287</v>
      </c>
      <c r="BC23">
        <f t="shared" si="18"/>
        <v>371.73178571428571</v>
      </c>
      <c r="BD23">
        <f>AS23*$Z$23</f>
        <v>887.91892857142864</v>
      </c>
      <c r="BE23">
        <f t="shared" si="18"/>
        <v>957.25749999999994</v>
      </c>
      <c r="BF23">
        <f t="shared" si="18"/>
        <v>870.58428571428567</v>
      </c>
      <c r="BG23">
        <f t="shared" si="18"/>
        <v>593.23</v>
      </c>
      <c r="BH23">
        <f t="shared" si="18"/>
        <v>1421.4407142857142</v>
      </c>
      <c r="BJ23" s="339"/>
      <c r="BL23" s="348" t="s">
        <v>50</v>
      </c>
      <c r="BM23" s="322">
        <f>(P22*AP22+P23*AP23+P24*AP24+P25*AP25+P26*AP26+P27*AP27+P28*AP28+P29*AP29+P30*AP30+P31/9)*BX31</f>
        <v>166.32488992761515</v>
      </c>
      <c r="BN23" s="322">
        <f>(Q22*AP22+Q23*AP23+Q24*AP24+Q25*AP25+Q26*AP26+Q27*AP27+Q28*AP28+Q29*AP29+Q30*AP30+Q31/9)*BX31</f>
        <v>252.24610081719894</v>
      </c>
      <c r="BO23" s="322">
        <f>(R22*AP22+R23*AP23+R24*AP24+R25*AP25+R26*AP26+R27*AP27+R28*AP28+R29*AP29+R30*AP30+R31/9)*BX31</f>
        <v>2661.9094968662857</v>
      </c>
      <c r="BP23" s="322">
        <f>(S22*AP22+S23*AP23+S24*AP24+S25*AP25+S26*AP26+S27*AP27+S28*AP28+S29*AP29+S30*AP30+S31/9)*BX31</f>
        <v>3140.8766319012134</v>
      </c>
      <c r="BQ23" s="322">
        <f>(T22*AP22+T23*AP23+T24*AP24+T25*AP25+T26*AP26+T27*AP27+T28*AP28+T29*AP29+T30*AP30+T31/9)*BX31</f>
        <v>37.247990406026034</v>
      </c>
      <c r="BR23" s="322">
        <f>(U22*AP22+U23*AP23+U24*AP24+U25*AP25+U26*AP26+U27*AP27+U28*AP28+U29*AP29+U30*AP30+U31/9)*BX31</f>
        <v>13.343718557570481</v>
      </c>
      <c r="BS23" s="322">
        <f>(V22*AP22+V23*AP23+V24*AP24+V25*AP25+V26*AP26+V27*AP27+V28*AP28+V29*AP29+V30*AP30+V31/9)*BX31</f>
        <v>25.54665856837449</v>
      </c>
      <c r="BT23" s="322">
        <f>(W22*AP22+W23*AP23+W24*AP24+W25*AP25+W26*AP26+W27*AP27+W28*AP28+W29*AP29+W30*AP30+W31/9)*BX31</f>
        <v>14.535699745114504</v>
      </c>
      <c r="BU23" s="322">
        <f>(X22*AP22+X23*AP23+X24*AP24+X25*AP25+X26*AP26+X27*AP27+X28*AP28+X29*AP29+X30*AP30+X31/9)*BX31</f>
        <v>51.13592993358121</v>
      </c>
      <c r="BV23" s="322">
        <f>(Y22*AP22+Y23*AP23+Y24*AP24+Y25*AP25+Y26*AP26+Y27*AP27+Y28*AP28+Y29*AP29+Y30*AP30+Y31/9)*BX31</f>
        <v>1286.0232048842727</v>
      </c>
      <c r="BW23" s="353">
        <f>AVERAGE(BQ23,BR23,BT23)/3</f>
        <v>7.2363787454123347</v>
      </c>
      <c r="BX23" s="339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20" t="s">
        <v>510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5">
        <f t="shared" si="15"/>
        <v>2187</v>
      </c>
      <c r="O24" s="320" t="s">
        <v>510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5">
        <f t="shared" si="16"/>
        <v>5389</v>
      </c>
      <c r="AB24" s="320" t="s">
        <v>510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5">
        <f t="shared" si="17"/>
        <v>2187</v>
      </c>
      <c r="AN24" s="320" t="s">
        <v>510</v>
      </c>
      <c r="AO24" s="332">
        <f t="shared" si="5"/>
        <v>6.8587105624142658E-3</v>
      </c>
      <c r="AP24" s="332">
        <f t="shared" si="6"/>
        <v>1.4631915866483767E-2</v>
      </c>
      <c r="AQ24" s="332">
        <f t="shared" si="7"/>
        <v>4.3438500228623687E-2</v>
      </c>
      <c r="AR24" s="332">
        <f>AF24/AL24</f>
        <v>5.5326931870141746E-2</v>
      </c>
      <c r="AS24" s="332">
        <f t="shared" si="9"/>
        <v>0.16095107453132146</v>
      </c>
      <c r="AT24" s="332">
        <f t="shared" si="10"/>
        <v>0.20850480109739369</v>
      </c>
      <c r="AU24" s="332">
        <f t="shared" si="11"/>
        <v>0.18427069044352995</v>
      </c>
      <c r="AV24" s="332">
        <f t="shared" si="12"/>
        <v>0.11385459533607682</v>
      </c>
      <c r="AW24" s="333">
        <f t="shared" si="13"/>
        <v>0.21216278006401462</v>
      </c>
      <c r="AY24" s="338"/>
      <c r="AZ24">
        <f>AO24*$Z$24</f>
        <v>36.96159122085048</v>
      </c>
      <c r="BA24">
        <f t="shared" ref="BA24:BH24" si="19">AP24*$Z$24</f>
        <v>78.851394604481015</v>
      </c>
      <c r="BB24">
        <f t="shared" si="19"/>
        <v>234.09007773205306</v>
      </c>
      <c r="BC24">
        <f t="shared" si="19"/>
        <v>298.15683584819385</v>
      </c>
      <c r="BD24">
        <f t="shared" si="19"/>
        <v>867.36534064929128</v>
      </c>
      <c r="BE24">
        <f t="shared" si="19"/>
        <v>1123.6323731138546</v>
      </c>
      <c r="BF24">
        <f t="shared" si="19"/>
        <v>993.03475080018291</v>
      </c>
      <c r="BG24">
        <f t="shared" si="19"/>
        <v>613.56241426611803</v>
      </c>
      <c r="BH24">
        <f t="shared" si="19"/>
        <v>1143.3452217649749</v>
      </c>
      <c r="BJ24" s="339"/>
      <c r="BL24" s="347" t="s">
        <v>52</v>
      </c>
      <c r="BM24" s="321">
        <f>(P22*AQ22+P23*AQ23+P24*AQ24+P25*AQ25+P26*AQ26+P27*AQ27+P28*AQ28+P29*AQ29+P30*AQ30+P31/9)*BX31</f>
        <v>278.21519496375947</v>
      </c>
      <c r="BN24" s="321">
        <f>(Q22*AQ22+Q23*AQ23+Q24*AQ24+Q25*AQ25+Q26*AQ26+Q27*AQ27+Q28*AQ28+Q29*AQ29+Q30*AQ30+Q31/9)*BX31</f>
        <v>484.56020907056848</v>
      </c>
      <c r="BO24" s="321">
        <f>(R22*AQ22+R23*AQ23+R24*AQ24+R25*AQ25+R26*AQ26+R27*AQ27+R28*AQ28+R29*AQ29+R30*AQ30+R31/9)*BX31</f>
        <v>6017.8273291457908</v>
      </c>
      <c r="BP24" s="321">
        <f>(S22*AQ22+S23*AQ23+S24*AQ24+S25*AQ25+S26*AQ26+S27*AQ27+S28*AQ28+S29*AQ29+S30*AQ30+S31/9)*BX31</f>
        <v>5996.2800504088536</v>
      </c>
      <c r="BQ24" s="321">
        <f>(T22*AQ22+T23*AQ23+T24*AQ24+T25*AQ25+T26*AQ26+T27*AQ27+T28*AQ28+T29*AQ29+T30*AQ30+T31/9)*BX31</f>
        <v>73.446015864297053</v>
      </c>
      <c r="BR24" s="321">
        <f>(U22*AQ22+U23*AQ23+U24*AQ24+U25*AQ25+U26*AQ26+U27*AQ27+U28*AQ28+U29*AQ29+U30*AQ30+U31/9)*BX31</f>
        <v>25.961706119554357</v>
      </c>
      <c r="BS24" s="321">
        <f>(V22*AQ22+V23*AQ23+V24*AQ24+V25*AQ25+V26*AQ26+V27*AQ27+V28*AQ28+V29*AQ29+V30*AQ30+V31/9)*BX31</f>
        <v>54.156588615112618</v>
      </c>
      <c r="BT24" s="321">
        <f>(W22*AQ22+W23*AQ23+W24*AQ24+W25*AQ25+W26*AQ26+W27*AQ27+W28*AQ28+W29*AQ29+W30*AQ30+W31/9)*BX31</f>
        <v>30.35722367161236</v>
      </c>
      <c r="BU24" s="321">
        <f>(X22*AQ22+X23*AQ23+X24*AQ24+X25*AQ25+X26*AQ26+X27*AQ27+X28*AQ28+X29*AQ29+X30*AQ30+X31/9)*BX31</f>
        <v>96.863308272194786</v>
      </c>
      <c r="BV24" s="321">
        <f>(Y22*AQ22+Y23*AQ23+Y24*AQ24+Y25*AQ25+Y26*AQ26+Y27*AQ27+Y28*AQ28+Y29*AQ29+Y30*AQ30+Y31/9)*BX31</f>
        <v>1341.6577897161283</v>
      </c>
      <c r="BW24" s="352">
        <f t="shared" ref="BW24:BW30" si="20">AVERAGE(BQ24,BR24,BT24)/3</f>
        <v>14.418327295051531</v>
      </c>
      <c r="BX24" s="339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20" t="s">
        <v>511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5">
        <f t="shared" si="15"/>
        <v>2486</v>
      </c>
      <c r="O25" s="320" t="s">
        <v>511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5">
        <f t="shared" si="16"/>
        <v>5420</v>
      </c>
      <c r="AB25" s="320" t="s">
        <v>511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5">
        <f t="shared" si="17"/>
        <v>2486</v>
      </c>
      <c r="AN25" s="320" t="s">
        <v>511</v>
      </c>
      <c r="AO25" s="332">
        <f t="shared" si="5"/>
        <v>9.6540627514078835E-3</v>
      </c>
      <c r="AP25" s="332">
        <f t="shared" si="6"/>
        <v>1.7296862429605792E-2</v>
      </c>
      <c r="AQ25" s="332">
        <f t="shared" si="7"/>
        <v>6.9187449718423166E-2</v>
      </c>
      <c r="AR25" s="332">
        <f t="shared" si="8"/>
        <v>7.361222847948512E-2</v>
      </c>
      <c r="AS25" s="332">
        <f t="shared" si="9"/>
        <v>0.20595333869670152</v>
      </c>
      <c r="AT25" s="332">
        <f t="shared" si="10"/>
        <v>0.22083668543845536</v>
      </c>
      <c r="AU25" s="332">
        <f t="shared" si="11"/>
        <v>0.14843121480289623</v>
      </c>
      <c r="AV25" s="332">
        <f t="shared" si="12"/>
        <v>9.5736122284794847E-2</v>
      </c>
      <c r="AW25" s="333">
        <f t="shared" si="13"/>
        <v>0.15929203539823009</v>
      </c>
      <c r="AY25" s="338"/>
      <c r="AZ25">
        <f>AO25*$Z$25</f>
        <v>52.325020112630732</v>
      </c>
      <c r="BA25">
        <f t="shared" ref="BA25:BH25" si="21">AP25*$Z$25</f>
        <v>93.748994368463386</v>
      </c>
      <c r="BB25">
        <f t="shared" si="21"/>
        <v>374.99597747385354</v>
      </c>
      <c r="BC25">
        <f t="shared" si="21"/>
        <v>398.97827835880935</v>
      </c>
      <c r="BD25">
        <f t="shared" si="21"/>
        <v>1116.2670957361222</v>
      </c>
      <c r="BE25">
        <f t="shared" si="21"/>
        <v>1196.934835076428</v>
      </c>
      <c r="BF25">
        <f t="shared" si="21"/>
        <v>804.49718423169759</v>
      </c>
      <c r="BG25">
        <f t="shared" si="21"/>
        <v>518.88978278358809</v>
      </c>
      <c r="BH25">
        <f t="shared" si="21"/>
        <v>863.36283185840705</v>
      </c>
      <c r="BJ25" s="339"/>
      <c r="BL25" s="348" t="s">
        <v>54</v>
      </c>
      <c r="BM25" s="322">
        <f>(P22*AR22+P23*AR23+P24*AR24+P25*AR25+P26*AR26+P27*AR27+P28*AR28+P29*AR29+P30*AR30+P31/9)*BX31</f>
        <v>379.72921887041144</v>
      </c>
      <c r="BN25" s="322">
        <f>(Q22*AR22+Q23*AR23+Q24*AR24+Q25*AR25+Q26*AR26+Q27*AR27+Q28*AR28+Q29*AR29+Q30*AR30+Q31/9)*BX31</f>
        <v>674.8957904896024</v>
      </c>
      <c r="BO25" s="322">
        <f>(R22*AR22+R23*AR23+R24*AR24+R25*AR25+R26*AR26+R27*AR27+R28*AR28+R29*AR29+R30*AR30+R31/9)*BX31</f>
        <v>8886.4226706993322</v>
      </c>
      <c r="BP25" s="322">
        <f>(S22*AR22+S23*AR23+S24*AR24+S25*AR25+S26*AR26+S27*AR27+S28*AR28+S29*AR29+S30*AR30+S31/9)*BX31</f>
        <v>8702.3459170297883</v>
      </c>
      <c r="BQ25" s="322">
        <f>(T22*AR22+T23*AR23+T24*AR24+T25*AR25+T26*AR26+T27*AR27+T28*AR28+T29*AR29+T30*AR30+T31/9)*BX31</f>
        <v>105.28475835534502</v>
      </c>
      <c r="BR25" s="322">
        <f>(U22*AR22+U23*AR23+U24*AR24+U25*AR25+U26*AR26+U27*AR27+U28*AR28+U29*AR29+U30*AR30+U31/9)*BX31</f>
        <v>36.570563693156203</v>
      </c>
      <c r="BS25" s="322">
        <f>(V22*AR22+V23*AR23+V24*AR24+V25*AR25+V26*AR26+V27*AR27+V28*AR28+V29*AR29+V30*AR30+V31/9)*BX31</f>
        <v>79.903217030360707</v>
      </c>
      <c r="BT25" s="322">
        <f>(W22*AR22+W23*AR23+W24*AR24+W25*AR25+W26*AR26+W27*AR27+W28*AR28+W29*AR29+W30*AR30+W31/9)*BX31</f>
        <v>43.280916359443189</v>
      </c>
      <c r="BU25" s="322">
        <f>(X22*AR22+X23*AR23+X24*AR24+X25*AR25+X26*AR26+X27*AR27+X28*AR28+X29*AR29+X30*AR30+X31/9)*BX31</f>
        <v>134.1017383877232</v>
      </c>
      <c r="BV25" s="322">
        <f>(Y22*AR22+Y23*AR23+Y24*AR24+Y25*AR25+Y26*AR26+Y27*AR27+Y28*AR28+Y29*AR29+Y30*AR30+Y31/9)*BX31</f>
        <v>1389.1839102929966</v>
      </c>
      <c r="BW25" s="353">
        <f t="shared" si="20"/>
        <v>20.570693156438267</v>
      </c>
      <c r="BX25" s="339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20" t="s">
        <v>512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5">
        <f t="shared" si="15"/>
        <v>3677</v>
      </c>
      <c r="O26" s="320" t="s">
        <v>512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5">
        <f t="shared" si="16"/>
        <v>7201</v>
      </c>
      <c r="AB26" s="320" t="s">
        <v>512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5">
        <f t="shared" si="17"/>
        <v>3677</v>
      </c>
      <c r="AN26" s="320" t="s">
        <v>512</v>
      </c>
      <c r="AO26" s="332">
        <f>AC26/AL26</f>
        <v>5.4392167527875983E-4</v>
      </c>
      <c r="AP26" s="332">
        <f t="shared" si="6"/>
        <v>1.3598041881968997E-3</v>
      </c>
      <c r="AQ26" s="332">
        <f t="shared" si="7"/>
        <v>2.1484906173511016E-2</v>
      </c>
      <c r="AR26" s="332">
        <f t="shared" si="8"/>
        <v>3.0459613815610551E-2</v>
      </c>
      <c r="AS26" s="332">
        <f t="shared" si="9"/>
        <v>0.25564318738101716</v>
      </c>
      <c r="AT26" s="332">
        <f t="shared" si="10"/>
        <v>0.28093554528147946</v>
      </c>
      <c r="AU26" s="332">
        <f t="shared" si="11"/>
        <v>0.20315474571661682</v>
      </c>
      <c r="AV26" s="332">
        <f t="shared" si="12"/>
        <v>0.10089747076420995</v>
      </c>
      <c r="AW26" s="333">
        <f t="shared" si="13"/>
        <v>0.10552080500407941</v>
      </c>
      <c r="AY26" s="338"/>
      <c r="AZ26">
        <f>AO26*$Z$26</f>
        <v>3.9167799836823494</v>
      </c>
      <c r="BA26">
        <f t="shared" ref="BA26:BG26" si="22">AP26*$Z$26</f>
        <v>9.7919499592058745</v>
      </c>
      <c r="BB26">
        <f t="shared" si="22"/>
        <v>154.71280935545283</v>
      </c>
      <c r="BC26">
        <f t="shared" si="22"/>
        <v>219.33967908621159</v>
      </c>
      <c r="BD26">
        <f t="shared" si="22"/>
        <v>1840.8865923307046</v>
      </c>
      <c r="BE26">
        <f t="shared" si="22"/>
        <v>2023.0168615719335</v>
      </c>
      <c r="BF26">
        <f t="shared" si="22"/>
        <v>1462.9173239053578</v>
      </c>
      <c r="BG26">
        <f t="shared" si="22"/>
        <v>726.56268697307587</v>
      </c>
      <c r="BH26">
        <f>AW26*$Z$26</f>
        <v>759.8553168343758</v>
      </c>
      <c r="BJ26" s="339"/>
      <c r="BL26" s="347" t="s">
        <v>56</v>
      </c>
      <c r="BM26" s="321">
        <f>(P22*AS22+P23*AS23+P24*AS24+P25*AS25+P26*AS26+P27*AS27+P28*AS28+P29*AS29+P30*AS30+P31/9)*BX31</f>
        <v>1180.8689395693179</v>
      </c>
      <c r="BN26" s="321">
        <f>(Q22*AS22+Q23*AS23+Q24*AS24+Q25*AS25+Q26*AS26+Q27*AS27+Q28*AS28+Q29*AS29+Q30*AS30+Q31/9)*BX31</f>
        <v>2201.421860594814</v>
      </c>
      <c r="BO26" s="321">
        <f>(R22*AS22+R23*AS23+R24*AS24+R25*AS25+R26*AS26+R27*AS27+R28*AS28+R29*AS29+R30*AS30+R31/9)*BX31</f>
        <v>26520.607723519232</v>
      </c>
      <c r="BP26" s="321">
        <f>(S22*AS22+S23*AS23+S24*AS24+S25*AS25+S26*AS26+S27*AS27+S28*AS28+S29*AS29+S30*AS30+S31/9)*BX31</f>
        <v>27459.053749258812</v>
      </c>
      <c r="BQ26" s="321">
        <f>(T22*AS22+T23*AS23+T24*AS24+T25*AS25+T26*AS26+T27*AS27+T28*AS28+T29*AS29+T30*AS30+T31/9)*BX31</f>
        <v>395.84030960234634</v>
      </c>
      <c r="BR26" s="321">
        <f>(U22*AS22+U23*AS23+U24*AS24+U25*AS25+U26*AS26+U27*AS27+U28*AS28+U29*AS29+U30*AS30+U31/9)*BX31</f>
        <v>131.79056806132633</v>
      </c>
      <c r="BS26" s="321">
        <f>(V22*AS22+V23*AS23+V24*AS24+V25*AS25+V26*AS26+V27*AS27+V28*AS28+V29*AS29+V30*AS30+V31/9)*BX31</f>
        <v>250.02643928900713</v>
      </c>
      <c r="BT26" s="321">
        <f>(W22*AS22+W23*AS23+W24*AS24+W25*AS25+W26*AS26+W27*AS27+W28*AS28+W29*AS29+W30*AS30+W31/9)*BX31</f>
        <v>142.76200429196442</v>
      </c>
      <c r="BU26" s="321">
        <f>(X22*AS22+X23*AS23+X24*AS24+X25*AS25+X26*AS26+X27*AS27+X28*AS28+X29*AS29+X30*AS30+X31/9)*BX31</f>
        <v>403.32748943058903</v>
      </c>
      <c r="BV26" s="321">
        <f>(Y22*AS22+Y23*AS23+Y24*AS24+Y25*AS25+Y26*AS26+Y27*AS27+Y28*AS28+Y29*AS29+Y30*AS30+Y31/9)*BX31</f>
        <v>1718.7055135489661</v>
      </c>
      <c r="BW26" s="352">
        <f t="shared" si="20"/>
        <v>74.488097995070788</v>
      </c>
      <c r="BX26" s="339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20" t="s">
        <v>513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5">
        <f t="shared" si="15"/>
        <v>6342</v>
      </c>
      <c r="O27" s="320" t="s">
        <v>513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5">
        <f t="shared" si="16"/>
        <v>10485</v>
      </c>
      <c r="AB27" s="320" t="s">
        <v>513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5">
        <f t="shared" si="17"/>
        <v>6342</v>
      </c>
      <c r="AN27" s="320" t="s">
        <v>513</v>
      </c>
      <c r="AO27" s="332">
        <f t="shared" si="5"/>
        <v>1.5767896562598549E-4</v>
      </c>
      <c r="AP27" s="332">
        <f t="shared" si="6"/>
        <v>3.1535793125197099E-4</v>
      </c>
      <c r="AQ27" s="332">
        <f t="shared" si="7"/>
        <v>3.4689372437716809E-3</v>
      </c>
      <c r="AR27" s="332">
        <f t="shared" si="8"/>
        <v>2.4913276568905709E-2</v>
      </c>
      <c r="AS27" s="332">
        <f t="shared" si="9"/>
        <v>0.22784610532954905</v>
      </c>
      <c r="AT27" s="332">
        <f t="shared" si="10"/>
        <v>0.32229580573951433</v>
      </c>
      <c r="AU27" s="332">
        <f t="shared" si="11"/>
        <v>0.25890886155786819</v>
      </c>
      <c r="AV27" s="332">
        <f t="shared" si="12"/>
        <v>0.10359508041627247</v>
      </c>
      <c r="AW27" s="333">
        <f t="shared" si="13"/>
        <v>5.8498896247240618E-2</v>
      </c>
      <c r="AY27" s="338"/>
      <c r="AZ27">
        <f>AO27*$Z$27</f>
        <v>1.653263954588458</v>
      </c>
      <c r="BA27">
        <f t="shared" ref="BA27:BH27" si="23">AP27*$Z$27</f>
        <v>3.306527909176916</v>
      </c>
      <c r="BB27">
        <f>AQ27*$Z$27</f>
        <v>36.37180700094607</v>
      </c>
      <c r="BC27">
        <f t="shared" si="23"/>
        <v>261.21570482497634</v>
      </c>
      <c r="BD27">
        <f t="shared" si="23"/>
        <v>2388.9664143803216</v>
      </c>
      <c r="BE27">
        <f t="shared" si="23"/>
        <v>3379.2715231788079</v>
      </c>
      <c r="BF27">
        <f t="shared" si="23"/>
        <v>2714.6594134342481</v>
      </c>
      <c r="BG27">
        <f t="shared" si="23"/>
        <v>1086.1944181646168</v>
      </c>
      <c r="BH27">
        <f t="shared" si="23"/>
        <v>613.36092715231791</v>
      </c>
      <c r="BJ27" s="339"/>
      <c r="BL27" s="348" t="s">
        <v>58</v>
      </c>
      <c r="BM27" s="322">
        <f>(P22*AT22+P23*AT23+P24*AT24+P25*AT25+P26*AT26+P27*AT27+P28*AT28+P29*AT29+P30*AT30+P31/9)*BX31</f>
        <v>1116.8399954239494</v>
      </c>
      <c r="BN27" s="322">
        <f>(Q22*AT22+Q23*AT23+Q24*AT24+Q25*AT25+Q26*AT26+Q27*AT27+Q28*AT28+Q29*AT29+Q30*AT30+Q31/9)*BX31</f>
        <v>2038.699060026951</v>
      </c>
      <c r="BO27" s="322">
        <f>(R22*AT22+R23*AT23+R24*AT24+R25*AT25+R26*AT26+R27*AT27+R28*AT28+R29*AT29+R30*AT30+R31/9)*BX31</f>
        <v>17411.507636241469</v>
      </c>
      <c r="BP27" s="322">
        <f>(S22*AT22+S23*AT23+S24*AT24+S25*AT25+S26*AT26+S27*AT27+S28*AT28+S29*AT29+S30*AT30+S31/9)*BX31</f>
        <v>21560.33077204696</v>
      </c>
      <c r="BQ27" s="322">
        <f>(T22*AT22+T23*AT23+T24*AT24+T25*AT25+T26*AT26+T27*AT27+T28*AT28+T29*AT29+T30*AT30+T31/9)*BX31</f>
        <v>403.0170573031703</v>
      </c>
      <c r="BR27" s="322">
        <f>(U22*AT22+U23*AT23+U24*AT24+U25*AT25+U26*AT26+U27*AT27+U28*AT28+U29*AT29+U30*AT30+U31/9)*BX31</f>
        <v>133.95311639845579</v>
      </c>
      <c r="BS27" s="322">
        <f>(V22*AT22+V23*AT23+V24*AT24+V25*AT25+V26*AT26+V27*AT27+V28*AT28+V29*AT29+V30*AT30+V31/9)*BX31</f>
        <v>178.2045817491788</v>
      </c>
      <c r="BT27" s="322">
        <f>(W22*AT22+W23*AT23+W24*AT24+W25*AT25+W26*AT26+W27*AT27+W28*AT28+W29*AT29+W30*AT30+W31/9)*BX31</f>
        <v>119.61962721297705</v>
      </c>
      <c r="BU27" s="322">
        <f>(X22*AT22+X23*AT23+X24*AT24+X25*AT25+X26*AT26+X27*AT27+X28*AT28+X29*AT29+X30*AT30+X31/9)*BX31</f>
        <v>294.8481457097426</v>
      </c>
      <c r="BV27" s="322">
        <f>(Y22*AT22+Y23*AT23+Y24*AT24+Y25*AT25+Y26*AT26+Y27*AT27+Y28*AT28+Y29*AT29+Y30*AT30+Y31/9)*BX31</f>
        <v>1595.8398028855161</v>
      </c>
      <c r="BW27" s="353">
        <f t="shared" si="20"/>
        <v>72.954422323844796</v>
      </c>
      <c r="BX27" s="339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20" t="s">
        <v>514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5">
        <f t="shared" si="15"/>
        <v>25352</v>
      </c>
      <c r="O28" s="320" t="s">
        <v>514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5">
        <f t="shared" si="16"/>
        <v>28780</v>
      </c>
      <c r="AB28" s="320" t="s">
        <v>514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5">
        <f t="shared" si="17"/>
        <v>25354</v>
      </c>
      <c r="AN28" s="320" t="s">
        <v>514</v>
      </c>
      <c r="AO28" s="332">
        <f t="shared" si="5"/>
        <v>2.7609055770292659E-4</v>
      </c>
      <c r="AP28" s="332">
        <f t="shared" si="6"/>
        <v>1.6171018379742841E-3</v>
      </c>
      <c r="AQ28" s="332">
        <f t="shared" si="7"/>
        <v>9.4659619783860529E-3</v>
      </c>
      <c r="AR28" s="332">
        <f t="shared" si="8"/>
        <v>2.9265599116510214E-2</v>
      </c>
      <c r="AS28" s="332">
        <f t="shared" si="9"/>
        <v>0.3051589492782204</v>
      </c>
      <c r="AT28" s="332">
        <f t="shared" si="10"/>
        <v>0.3728011359154374</v>
      </c>
      <c r="AU28" s="332">
        <f t="shared" si="11"/>
        <v>0.20687071073597854</v>
      </c>
      <c r="AV28" s="332">
        <f t="shared" si="12"/>
        <v>5.4626488916936181E-2</v>
      </c>
      <c r="AW28" s="333">
        <f t="shared" si="13"/>
        <v>1.9917961662853988E-2</v>
      </c>
      <c r="AY28" s="338"/>
      <c r="AZ28">
        <f>AO28*$Z$28</f>
        <v>7.9458862506902275</v>
      </c>
      <c r="BA28">
        <f t="shared" ref="BA28:BH28" si="24">AP28*$Z$28</f>
        <v>46.540190896899894</v>
      </c>
      <c r="BB28">
        <f t="shared" si="24"/>
        <v>272.43038573795059</v>
      </c>
      <c r="BC28">
        <f t="shared" si="24"/>
        <v>842.26394257316394</v>
      </c>
      <c r="BD28">
        <f t="shared" si="24"/>
        <v>8782.4745602271832</v>
      </c>
      <c r="BE28">
        <f t="shared" si="24"/>
        <v>10729.216691646288</v>
      </c>
      <c r="BF28">
        <f t="shared" si="24"/>
        <v>5953.7390549814627</v>
      </c>
      <c r="BG28">
        <f t="shared" si="24"/>
        <v>1572.1503510294233</v>
      </c>
      <c r="BH28">
        <f t="shared" si="24"/>
        <v>573.23893665693777</v>
      </c>
      <c r="BJ28" s="339"/>
      <c r="BL28" s="347" t="s">
        <v>60</v>
      </c>
      <c r="BM28" s="321">
        <f>(P22*AU22+P23*AU23+P24*AU24+P25*AU25+P26*AU26+P27*AU27+P28*AU28+P29*AU29+P30*AU30+P31/9)*BX31</f>
        <v>798.15519037928811</v>
      </c>
      <c r="BN28" s="321">
        <f>(Q22*AU22+Q23*AU23+Q24*AU24+Q25*AU25+Q26*AU26+Q27*AU27+Q28*AU28+Q29*AU29+Q30*AU30+Q31/9)*BX31</f>
        <v>1443.2033226275655</v>
      </c>
      <c r="BO28" s="321">
        <f>(R22*AU22+R23*AU23+R24*AU24+R25*AU25+R26*AU26+R27*AU27+R28*AU28+R29*AU29+R30*AU30+R31/9)*BX31</f>
        <v>9222.6347866423348</v>
      </c>
      <c r="BP28" s="321">
        <f>(S22*AU22+S23*AU23+S24*AU24+S25*AU25+S26*AU26+S27*AU27+S28*AU28+S29*AU29+S30*AU30+S31/9)*BX31</f>
        <v>12782.809521239726</v>
      </c>
      <c r="BQ28" s="321">
        <f>(T22*AU22+T23*AU23+T24*AU24+T25*AU25+T26*AU26+T27*AU27+T28*AU28+T29*AU29+T30*AU30+T31/9)*BX31</f>
        <v>281.5070742687102</v>
      </c>
      <c r="BR28" s="321">
        <f>(U22*AU22+U23*AU23+U24*AU24+U25*AU25+U26*AU26+U27*AU27+U28*AU28+U29*AU29+U30*AU30+U31/9)*BX31</f>
        <v>96.774993943449786</v>
      </c>
      <c r="BS28" s="321">
        <f>(V22*AU22+V23*AU23+V24*AU24+V25*AU25+V26*AU26+V27*AU27+V28*AU28+V29*AU29+V30*AU30+V31/9)*BX31</f>
        <v>100.24445426354789</v>
      </c>
      <c r="BT28" s="321">
        <f>(W22*AU22+W23*AU23+W24*AU24+W25*AU25+W26*AU26+W27*AU27+W28*AU28+W29*AU29+W30*AU30+W31/9)*BX31</f>
        <v>79.23768876975538</v>
      </c>
      <c r="BU28" s="321">
        <f>(X22*AU22+X23*AU23+X24*AU24+X25*AU25+X26*AU26+X27*AU27+X28*AU28+X29*AU29+X30*AU30+X31/9)*BX31</f>
        <v>171.49773604110322</v>
      </c>
      <c r="BV28" s="321">
        <f>(Y22*AU22+Y23*AU23+Y24*AU24+Y25*AU25+Y26*AU26+Y27*AU27+Y28*AU28+Y29*AU29+Y30*AU30+Y31/9)*BX31</f>
        <v>1447.8114739402854</v>
      </c>
      <c r="BW28" s="352">
        <f t="shared" si="20"/>
        <v>50.835528553546148</v>
      </c>
      <c r="BX28" s="339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20" t="s">
        <v>547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5">
        <f t="shared" si="15"/>
        <v>78380</v>
      </c>
      <c r="O29" s="320" t="s">
        <v>547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5">
        <f t="shared" si="16"/>
        <v>86920</v>
      </c>
      <c r="AB29" s="320" t="s">
        <v>547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5">
        <f t="shared" si="17"/>
        <v>78381</v>
      </c>
      <c r="AN29" s="320" t="s">
        <v>547</v>
      </c>
      <c r="AO29" s="332">
        <f t="shared" si="5"/>
        <v>4.9374210586749338E-3</v>
      </c>
      <c r="AP29" s="332">
        <f t="shared" si="6"/>
        <v>3.0951378522856305E-2</v>
      </c>
      <c r="AQ29" s="332">
        <f t="shared" si="7"/>
        <v>9.3849274696673937E-2</v>
      </c>
      <c r="AR29" s="332">
        <f t="shared" si="8"/>
        <v>0.15044462305915973</v>
      </c>
      <c r="AS29" s="332">
        <f t="shared" si="9"/>
        <v>0.42723364080580756</v>
      </c>
      <c r="AT29" s="332">
        <f t="shared" si="10"/>
        <v>0.20327630420637655</v>
      </c>
      <c r="AU29" s="332">
        <f t="shared" si="11"/>
        <v>7.1088656689759E-2</v>
      </c>
      <c r="AV29" s="332">
        <f t="shared" si="12"/>
        <v>1.4008496957170742E-2</v>
      </c>
      <c r="AW29" s="333">
        <f t="shared" si="13"/>
        <v>4.2102040035212618E-3</v>
      </c>
      <c r="AY29" s="338"/>
      <c r="AZ29">
        <f>AO29*$Z$29</f>
        <v>429.16063842002524</v>
      </c>
      <c r="BA29">
        <f t="shared" ref="BA29:BH29" si="25">AP29*$Z$29</f>
        <v>2690.2938212066701</v>
      </c>
      <c r="BB29">
        <f t="shared" si="25"/>
        <v>8157.3789566348987</v>
      </c>
      <c r="BC29">
        <f t="shared" si="25"/>
        <v>13076.646636302165</v>
      </c>
      <c r="BD29">
        <f t="shared" si="25"/>
        <v>37135.148058840794</v>
      </c>
      <c r="BE29">
        <f t="shared" si="25"/>
        <v>17668.776361618249</v>
      </c>
      <c r="BF29">
        <f t="shared" si="25"/>
        <v>6179.0260394738525</v>
      </c>
      <c r="BG29">
        <f t="shared" si="25"/>
        <v>1217.618555517281</v>
      </c>
      <c r="BH29">
        <f t="shared" si="25"/>
        <v>365.9509319860681</v>
      </c>
      <c r="BJ29" s="339"/>
      <c r="BL29" s="348" t="s">
        <v>62</v>
      </c>
      <c r="BM29" s="322">
        <f>(P22*AV22+P23*AV23+P24*AV24+P25*AV25+P26*AV26+P27*AV27+P28*AV28+P29*AV29+P30*AV30+P31/9)*BX31</f>
        <v>448.90541239707636</v>
      </c>
      <c r="BN29" s="322">
        <f>(Q22*AV22+Q23*AV23+Q24*AV24+Q25*AV25+Q26*AV26+Q27*AV27+Q28*AV28+Q29*AV29+Q30*AV30+Q31/9)*BX31</f>
        <v>791.4422810797505</v>
      </c>
      <c r="BO29" s="322">
        <f>(R22*AV22+R23*AV23+R24*AV24+R25*AV25+R26*AV26+R27*AV27+R28*AV28+R29*AV29+R30*AV30+R31/9)*BX31</f>
        <v>3886.9007762217461</v>
      </c>
      <c r="BP29" s="322">
        <f>(S22*AV22+S23*AV23+S24*AV24+S25*AV25+S26*AV26+S27*AV27+S28*AV28+S29*AV29+S30*AV30+S31/9)*BX31</f>
        <v>5829.9075042724553</v>
      </c>
      <c r="BQ29" s="322">
        <f>(T22*AV22+T23*AV23+T24*AV24+T25*AV25+T26*AV26+T27*AV27+T28*AV28+T29*AV29+T30*AV30+T31/9)*BX31</f>
        <v>141.1924101483269</v>
      </c>
      <c r="BR29" s="322">
        <f>(U22*AV22+U23*AV23+U24*AV24+U25*AV25+U26*AV26+U27*AV27+U28*AV28+U29*AV29+U30*AV30+U31/9)*BX31</f>
        <v>50.543395636337159</v>
      </c>
      <c r="BS29" s="322">
        <f>(V22*AV22+V23*AV23+V24*AV24+V25*AV25+V26*AV26+V27*AV27+V28*AV28+V29*AV29+V30*AV30+V31/9)*BX31</f>
        <v>43.015001582083208</v>
      </c>
      <c r="BT29" s="322">
        <f>(W22*AV22+W23*AV23+W24*AV24+W25*AV25+W26*AV26+W27*AV27+W28*AV28+W29*AV29+W30*AV30+W31/9)*BX31</f>
        <v>40.324136226209454</v>
      </c>
      <c r="BU29" s="322">
        <f>(X22*AV22+X23*AV23+X24*AV24+X25*AV25+X26*AV26+X27*AV27+X28*AV28+X29*AV29+X30*AV30+X31/9)*BX31</f>
        <v>79.341354309238028</v>
      </c>
      <c r="BV29" s="322">
        <f>(Y22*AV22+Y23*AV23+Y24*AV24+Y25*AV25+Y26*AV26+Y27*AV27+Y28*AV28+Y29*AV29+Y30*AV30+Y31/9)*BX31</f>
        <v>1333.5285229753836</v>
      </c>
      <c r="BW29" s="353">
        <f t="shared" si="20"/>
        <v>25.784438001208169</v>
      </c>
      <c r="BX29" s="339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20" t="s">
        <v>548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5">
        <f t="shared" si="15"/>
        <v>7474</v>
      </c>
      <c r="O30" s="320" t="s">
        <v>548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5">
        <f t="shared" si="16"/>
        <v>6124</v>
      </c>
      <c r="AB30" s="320" t="s">
        <v>548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5">
        <f t="shared" si="17"/>
        <v>7476</v>
      </c>
      <c r="AN30" s="331" t="s">
        <v>548</v>
      </c>
      <c r="AO30" s="334">
        <f t="shared" si="5"/>
        <v>0.79962546816479396</v>
      </c>
      <c r="AP30" s="334">
        <f t="shared" si="6"/>
        <v>8.3734617442482617E-2</v>
      </c>
      <c r="AQ30" s="334">
        <f t="shared" si="7"/>
        <v>7.1294810058855004E-2</v>
      </c>
      <c r="AR30" s="334">
        <f t="shared" si="8"/>
        <v>2.4612092027822365E-2</v>
      </c>
      <c r="AS30" s="334">
        <f t="shared" si="9"/>
        <v>1.4044943820224719E-2</v>
      </c>
      <c r="AT30" s="334">
        <f t="shared" si="10"/>
        <v>3.879079721776351E-3</v>
      </c>
      <c r="AU30" s="334">
        <f t="shared" si="11"/>
        <v>1.8726591760299626E-3</v>
      </c>
      <c r="AV30" s="334">
        <f t="shared" si="12"/>
        <v>4.0128410914927769E-4</v>
      </c>
      <c r="AW30" s="335">
        <f t="shared" si="13"/>
        <v>5.3504547886570354E-4</v>
      </c>
      <c r="AY30" s="338"/>
      <c r="AZ30">
        <f t="shared" ref="AZ30:BH30" si="26">AO30*$Z$30</f>
        <v>4896.9063670411979</v>
      </c>
      <c r="BA30">
        <f t="shared" si="26"/>
        <v>512.7907972177635</v>
      </c>
      <c r="BB30">
        <f t="shared" si="26"/>
        <v>436.60941680042805</v>
      </c>
      <c r="BC30">
        <f t="shared" si="26"/>
        <v>150.72445157838416</v>
      </c>
      <c r="BD30">
        <f t="shared" si="26"/>
        <v>86.011235955056179</v>
      </c>
      <c r="BE30">
        <f t="shared" si="26"/>
        <v>23.755484216158372</v>
      </c>
      <c r="BF30">
        <f t="shared" si="26"/>
        <v>11.468164794007491</v>
      </c>
      <c r="BG30">
        <f t="shared" si="26"/>
        <v>2.4574638844301764</v>
      </c>
      <c r="BH30">
        <f t="shared" si="26"/>
        <v>3.2766185125735685</v>
      </c>
      <c r="BJ30" s="339"/>
      <c r="BL30" s="347" t="s">
        <v>64</v>
      </c>
      <c r="BM30" s="321">
        <f>(P22*AW22+P23*AW23+P24*AW24+P25*AW25+P26*AW26+P27*AW27+P28*AW28+P29*AW29+P30*AW30+P31/9)*BX31</f>
        <v>711.64584901045885</v>
      </c>
      <c r="BN30" s="321">
        <f>(Q22*AW22+Q23*AW23+Q24*AW24+Q25*AW25+Q26*AW26+Q27*AW27+Q28*AW28+Q29*AW29+Q30*AW30+Q31/9)*BX31</f>
        <v>1299.9929775024873</v>
      </c>
      <c r="BO30" s="321">
        <f>(R22*AW22+R23*AW23+R24*AW24+R25*AW25+R26*AW26+R27*AW27+R28*AW28+R29*AW29+R30*AW30+R31/9)*BX31</f>
        <v>4745.9524917678737</v>
      </c>
      <c r="BP30" s="321">
        <f>(S22*AW22+S23*AW23+S24*AW24+S25*AW25+S26*AW26+S27*AW27+S28*AW28+S29*AW29+S30*AW30+S31/9)*BX31</f>
        <v>6975.6863231192656</v>
      </c>
      <c r="BQ30" s="321">
        <f>(T22*AW22+T23*AW23+T24*AW24+T25*AW25+T26*AW26+T27*AW27+T28*AW28+T29*AW29+T30*AW30+T31/9)*BX31</f>
        <v>193.58696456596547</v>
      </c>
      <c r="BR30" s="321">
        <f>(U22*AW22+U23*AW23+U24*AW24+U25*AW25+U26*AW26+U27*AW27+U28*AW28+U29*AW29+U30*AW30+U31/9)*BX31</f>
        <v>75.61191063618854</v>
      </c>
      <c r="BS30" s="321">
        <f>(V22*AW22+V23*AW23+V24*AW24+V25*AW25+V26*AW26+V27*AW27+V28*AW28+V29*AW29+V30*AW30+V31/9)*BX31</f>
        <v>51.429280648454743</v>
      </c>
      <c r="BT30" s="321">
        <f>(W22*AW22+W23*AW23+W24*AW24+W25*AW25+W26*AW26+W27*AW27+W28*AW28+W29*AW29+W30*AW30+W31/9)*BX31</f>
        <v>65.610615110141708</v>
      </c>
      <c r="BU30" s="321">
        <f>(X22*AW22+X23*AW23+X24*AW24+X25*AW25+X26*AW26+X27*AW27+X28*AW28+X29*AW29+X30*AW30+X31/9)*BX31</f>
        <v>100.38107839091556</v>
      </c>
      <c r="BV30" s="321">
        <f>(Y22*AW22+Y23*AW23+Y24*AW24+Y25*AW25+Y26*AW26+Y27*AW27+Y28*AW28+Y29*AW29+Y30*AW30+Y31/9)*BX31</f>
        <v>1378.5214348433972</v>
      </c>
      <c r="BW30" s="352">
        <f t="shared" si="20"/>
        <v>37.201054479143963</v>
      </c>
      <c r="BX30" s="341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26" t="s">
        <v>549</v>
      </c>
      <c r="C31" s="327">
        <f>SUM(C22:C30)</f>
        <v>0</v>
      </c>
      <c r="D31" s="327">
        <f t="shared" ref="D31:K31" si="27">SUM(D22:D30)</f>
        <v>3923</v>
      </c>
      <c r="E31" s="327">
        <f t="shared" si="27"/>
        <v>54915</v>
      </c>
      <c r="F31" s="327">
        <f t="shared" si="27"/>
        <v>64351</v>
      </c>
      <c r="G31" s="327">
        <f t="shared" si="27"/>
        <v>291</v>
      </c>
      <c r="H31" s="327">
        <f t="shared" si="27"/>
        <v>14</v>
      </c>
      <c r="I31" s="327">
        <f t="shared" si="27"/>
        <v>1906</v>
      </c>
      <c r="J31" s="327">
        <f t="shared" si="27"/>
        <v>187</v>
      </c>
      <c r="K31" s="327">
        <f t="shared" si="27"/>
        <v>438</v>
      </c>
      <c r="L31" s="327">
        <f>SUM(L22:L30)</f>
        <v>8767</v>
      </c>
      <c r="M31" s="328">
        <f>SUM(C31:L31)</f>
        <v>134792</v>
      </c>
      <c r="O31" s="320" t="s">
        <v>359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5">
        <f>SUM(P31:Y31)</f>
        <v>34727</v>
      </c>
      <c r="AB31" s="326" t="s">
        <v>218</v>
      </c>
      <c r="AC31" s="327">
        <f t="shared" ref="AC31:AL31" si="29">SUM(AC22:AC30)</f>
        <v>6419</v>
      </c>
      <c r="AD31" s="327">
        <f t="shared" si="29"/>
        <v>3209</v>
      </c>
      <c r="AE31" s="327">
        <f t="shared" si="29"/>
        <v>8665</v>
      </c>
      <c r="AF31" s="327">
        <f t="shared" si="29"/>
        <v>13570</v>
      </c>
      <c r="AG31" s="327">
        <f t="shared" si="29"/>
        <v>45566</v>
      </c>
      <c r="AH31" s="327">
        <f t="shared" si="29"/>
        <v>30979</v>
      </c>
      <c r="AI31" s="327">
        <f t="shared" si="29"/>
        <v>15595</v>
      </c>
      <c r="AJ31" s="327">
        <f t="shared" si="29"/>
        <v>5191</v>
      </c>
      <c r="AK31" s="327">
        <f t="shared" si="29"/>
        <v>5603</v>
      </c>
      <c r="AL31" s="328">
        <f t="shared" si="29"/>
        <v>134797</v>
      </c>
      <c r="AY31" s="340"/>
      <c r="AZ31">
        <f>$Z$31/9</f>
        <v>3858.5555555555557</v>
      </c>
      <c r="BA31">
        <f t="shared" ref="BA31:BH31" si="30">$Z$31/9</f>
        <v>3858.5555555555557</v>
      </c>
      <c r="BB31">
        <f t="shared" si="30"/>
        <v>3858.5555555555557</v>
      </c>
      <c r="BC31">
        <f t="shared" si="30"/>
        <v>3858.5555555555557</v>
      </c>
      <c r="BD31">
        <f t="shared" si="30"/>
        <v>3858.5555555555557</v>
      </c>
      <c r="BE31">
        <f t="shared" si="30"/>
        <v>3858.5555555555557</v>
      </c>
      <c r="BF31">
        <f t="shared" si="30"/>
        <v>3858.5555555555557</v>
      </c>
      <c r="BG31">
        <f t="shared" si="30"/>
        <v>3858.5555555555557</v>
      </c>
      <c r="BH31">
        <f t="shared" si="30"/>
        <v>3858.5555555555557</v>
      </c>
      <c r="BJ31" s="341"/>
      <c r="BL31" s="344"/>
      <c r="BM31" s="349"/>
      <c r="BN31" s="349"/>
      <c r="BO31" s="349"/>
      <c r="BP31" s="349"/>
      <c r="BQ31" s="349"/>
      <c r="BR31" s="349"/>
      <c r="BS31" s="349"/>
      <c r="BT31" s="349"/>
      <c r="BU31" s="349"/>
      <c r="BV31" s="349"/>
      <c r="BW31" s="349"/>
      <c r="BX31" s="350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122"/>
      <c r="D32" s="122"/>
      <c r="E32" s="122"/>
      <c r="O32" s="326" t="s">
        <v>549</v>
      </c>
      <c r="P32" s="327">
        <f>SUM(P22:P31)</f>
        <v>5068</v>
      </c>
      <c r="Q32" s="327">
        <f t="shared" ref="Q32:Y32" si="31">SUM(Q22:Q31)</f>
        <v>9199</v>
      </c>
      <c r="R32" s="327">
        <f t="shared" si="31"/>
        <v>80076</v>
      </c>
      <c r="S32" s="327">
        <f t="shared" si="31"/>
        <v>92540</v>
      </c>
      <c r="T32" s="327">
        <f t="shared" si="31"/>
        <v>1610</v>
      </c>
      <c r="U32" s="327">
        <f t="shared" si="31"/>
        <v>565</v>
      </c>
      <c r="V32" s="327">
        <f t="shared" si="31"/>
        <v>793</v>
      </c>
      <c r="W32" s="327">
        <f t="shared" si="31"/>
        <v>548</v>
      </c>
      <c r="X32" s="327">
        <f t="shared" si="31"/>
        <v>1398</v>
      </c>
      <c r="Y32" s="327">
        <f t="shared" si="31"/>
        <v>12348</v>
      </c>
      <c r="Z32" s="328">
        <f>SUM(P32:Y32)</f>
        <v>204145</v>
      </c>
      <c r="AO32" s="309"/>
      <c r="AP32" s="309"/>
      <c r="AQ32" s="309"/>
      <c r="AR32" s="309"/>
      <c r="AS32" s="309"/>
      <c r="AT32" s="309"/>
      <c r="AU32" s="309"/>
      <c r="AV32" s="309"/>
      <c r="AW32" s="309"/>
      <c r="AY32" s="342" t="s">
        <v>218</v>
      </c>
      <c r="AZ32" s="306">
        <f>SUM(AZ22:AZ31)</f>
        <v>9298.0245378151376</v>
      </c>
      <c r="BA32" s="306">
        <f t="shared" ref="BA32:BH32" si="32">SUM(BA22:BA31)</f>
        <v>7363.5649988662308</v>
      </c>
      <c r="BB32" s="306">
        <f t="shared" si="32"/>
        <v>13861.646028065246</v>
      </c>
      <c r="BC32" s="306">
        <f t="shared" si="32"/>
        <v>19668.786155040303</v>
      </c>
      <c r="BD32" s="306">
        <f t="shared" si="32"/>
        <v>58148.868150477501</v>
      </c>
      <c r="BE32" s="306">
        <f t="shared" si="32"/>
        <v>43178.027294280517</v>
      </c>
      <c r="BF32" s="306">
        <f t="shared" si="32"/>
        <v>25437.192964226393</v>
      </c>
      <c r="BG32" s="306">
        <f t="shared" si="32"/>
        <v>12172.925199293222</v>
      </c>
      <c r="BH32" s="306">
        <f t="shared" si="32"/>
        <v>15015.964671935446</v>
      </c>
      <c r="BI32" s="306">
        <f>SUM(AZ32:BH32)</f>
        <v>204144.99999999997</v>
      </c>
      <c r="BJ32" s="343">
        <v>1.0129999999999999</v>
      </c>
      <c r="BM32" s="122"/>
      <c r="BN32" s="122"/>
      <c r="BO32" s="122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29" t="s">
        <v>44</v>
      </c>
      <c r="C33" s="319" t="s">
        <v>540</v>
      </c>
      <c r="D33" s="319" t="s">
        <v>541</v>
      </c>
      <c r="E33" s="319" t="s">
        <v>542</v>
      </c>
      <c r="F33" s="319" t="s">
        <v>137</v>
      </c>
      <c r="G33" s="319" t="s">
        <v>554</v>
      </c>
      <c r="H33" s="319" t="s">
        <v>543</v>
      </c>
      <c r="I33" s="319" t="s">
        <v>544</v>
      </c>
      <c r="J33" s="319" t="s">
        <v>545</v>
      </c>
      <c r="K33" s="319" t="s">
        <v>546</v>
      </c>
      <c r="L33" s="319" t="s">
        <v>532</v>
      </c>
      <c r="M33" s="324"/>
      <c r="O33" s="329" t="s">
        <v>44</v>
      </c>
      <c r="P33" s="319" t="s">
        <v>540</v>
      </c>
      <c r="Q33" s="319" t="s">
        <v>541</v>
      </c>
      <c r="R33" s="319" t="s">
        <v>542</v>
      </c>
      <c r="S33" s="319" t="s">
        <v>137</v>
      </c>
      <c r="T33" s="319" t="s">
        <v>554</v>
      </c>
      <c r="U33" s="319" t="s">
        <v>543</v>
      </c>
      <c r="V33" s="319" t="s">
        <v>544</v>
      </c>
      <c r="W33" s="319" t="s">
        <v>545</v>
      </c>
      <c r="X33" s="319" t="s">
        <v>546</v>
      </c>
      <c r="Y33" s="319" t="s">
        <v>532</v>
      </c>
      <c r="Z33" s="324"/>
      <c r="AB33" s="329" t="s">
        <v>44</v>
      </c>
      <c r="AC33" s="319" t="s">
        <v>48</v>
      </c>
      <c r="AD33" s="319" t="s">
        <v>50</v>
      </c>
      <c r="AE33" s="319" t="s">
        <v>52</v>
      </c>
      <c r="AF33" s="319" t="s">
        <v>54</v>
      </c>
      <c r="AG33" s="319" t="s">
        <v>56</v>
      </c>
      <c r="AH33" s="319" t="s">
        <v>58</v>
      </c>
      <c r="AI33" s="319" t="s">
        <v>60</v>
      </c>
      <c r="AJ33" s="319" t="s">
        <v>62</v>
      </c>
      <c r="AK33" s="319" t="s">
        <v>64</v>
      </c>
      <c r="AL33" s="324"/>
      <c r="AN33" s="329" t="s">
        <v>44</v>
      </c>
      <c r="AO33" s="336" t="s">
        <v>48</v>
      </c>
      <c r="AP33" s="336" t="s">
        <v>50</v>
      </c>
      <c r="AQ33" s="336" t="s">
        <v>52</v>
      </c>
      <c r="AR33" s="336" t="s">
        <v>54</v>
      </c>
      <c r="AS33" s="336" t="s">
        <v>56</v>
      </c>
      <c r="AT33" s="336" t="s">
        <v>58</v>
      </c>
      <c r="AU33" s="336" t="s">
        <v>60</v>
      </c>
      <c r="AV33" s="336" t="s">
        <v>62</v>
      </c>
      <c r="AW33" s="337" t="s">
        <v>64</v>
      </c>
      <c r="AY33" s="344" t="s">
        <v>294</v>
      </c>
      <c r="AZ33" s="327">
        <f>AZ32*$BJ$32</f>
        <v>9418.8988568067343</v>
      </c>
      <c r="BA33" s="327">
        <f t="shared" ref="BA33:BH33" si="33">BA32*$BJ$32</f>
        <v>7459.2913438514906</v>
      </c>
      <c r="BB33" s="327">
        <f t="shared" si="33"/>
        <v>14041.847426430093</v>
      </c>
      <c r="BC33" s="327">
        <f t="shared" si="33"/>
        <v>19924.480375055824</v>
      </c>
      <c r="BD33" s="327">
        <f t="shared" si="33"/>
        <v>58904.8034364337</v>
      </c>
      <c r="BE33" s="327">
        <f t="shared" si="33"/>
        <v>43739.341649106158</v>
      </c>
      <c r="BF33" s="327">
        <f t="shared" si="33"/>
        <v>25767.876472761334</v>
      </c>
      <c r="BG33" s="327">
        <f t="shared" si="33"/>
        <v>12331.173226884033</v>
      </c>
      <c r="BH33" s="327">
        <f t="shared" si="33"/>
        <v>15211.172212670604</v>
      </c>
      <c r="BI33" s="345">
        <f>SUM(AZ33:BH33)</f>
        <v>206798.88499999998</v>
      </c>
      <c r="BJ33" s="346"/>
      <c r="BL33" s="329" t="s">
        <v>44</v>
      </c>
      <c r="BM33" s="319" t="s">
        <v>540</v>
      </c>
      <c r="BN33" s="319" t="s">
        <v>541</v>
      </c>
      <c r="BO33" s="319" t="s">
        <v>542</v>
      </c>
      <c r="BP33" s="319" t="s">
        <v>137</v>
      </c>
      <c r="BQ33" s="319" t="s">
        <v>554</v>
      </c>
      <c r="BR33" s="319" t="s">
        <v>543</v>
      </c>
      <c r="BS33" s="319" t="s">
        <v>544</v>
      </c>
      <c r="BT33" s="319" t="s">
        <v>545</v>
      </c>
      <c r="BU33" s="319" t="s">
        <v>546</v>
      </c>
      <c r="BV33" s="319" t="s">
        <v>532</v>
      </c>
      <c r="BW33" s="319" t="s">
        <v>573</v>
      </c>
      <c r="BX33" s="324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20" t="s">
        <v>508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5">
        <f>SUM(C34:L34)</f>
        <v>22883</v>
      </c>
      <c r="O34" s="320" t="s">
        <v>508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5">
        <f>SUM(P34:Y34)</f>
        <v>52434</v>
      </c>
      <c r="AB34" s="320" t="s">
        <v>508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5">
        <f>SUM(AC34:AK34)</f>
        <v>22883</v>
      </c>
      <c r="AN34" s="320" t="s">
        <v>508</v>
      </c>
      <c r="AO34" s="332">
        <f t="shared" ref="AO34:AO42" si="34">AC34/AL34</f>
        <v>2.0976270593890661E-3</v>
      </c>
      <c r="AP34" s="332">
        <f t="shared" ref="AP34:AP42" si="35">AD34/AL34</f>
        <v>2.7094349517108769E-3</v>
      </c>
      <c r="AQ34" s="332">
        <f t="shared" ref="AQ34:AQ42" si="36">AE34/AL34</f>
        <v>9.1334178210898918E-3</v>
      </c>
      <c r="AR34" s="332">
        <f t="shared" ref="AR34:AR42" si="37">AF34/AL34</f>
        <v>2.4472315692872438E-2</v>
      </c>
      <c r="AS34" s="332">
        <f t="shared" ref="AS34:AS42" si="38">AG34/AL34</f>
        <v>0.12389109819516672</v>
      </c>
      <c r="AT34" s="332">
        <f t="shared" ref="AT34:AT42" si="39">AH34/AL34</f>
        <v>0.1973517458375213</v>
      </c>
      <c r="AU34" s="332">
        <f t="shared" ref="AU34:AU42" si="40">AI34/AL34</f>
        <v>0.21089892059607568</v>
      </c>
      <c r="AV34" s="332">
        <f t="shared" ref="AV34:AV42" si="41">AJ34/AL34</f>
        <v>0.14578508062754009</v>
      </c>
      <c r="AW34" s="333">
        <f t="shared" ref="AW34:AW42" si="42">AK34/AL34</f>
        <v>0.28366035921863392</v>
      </c>
      <c r="AY34" s="329" t="s">
        <v>44</v>
      </c>
      <c r="AZ34" s="319" t="s">
        <v>48</v>
      </c>
      <c r="BA34" s="319" t="s">
        <v>50</v>
      </c>
      <c r="BB34" s="319" t="s">
        <v>52</v>
      </c>
      <c r="BC34" s="319" t="s">
        <v>54</v>
      </c>
      <c r="BD34" s="319" t="s">
        <v>56</v>
      </c>
      <c r="BE34" s="319" t="s">
        <v>58</v>
      </c>
      <c r="BF34" s="319" t="s">
        <v>60</v>
      </c>
      <c r="BG34" s="319" t="s">
        <v>62</v>
      </c>
      <c r="BH34" s="319" t="s">
        <v>64</v>
      </c>
      <c r="BI34" s="319"/>
      <c r="BJ34" s="324"/>
      <c r="BL34" s="347" t="s">
        <v>48</v>
      </c>
      <c r="BM34" s="321">
        <f>(P34*AO34+P35*AO35+P36*AO36+P37*AO37+P38*AO38+P39*AO39+P40*AO40+P41*AO41+P42*AO42+P43/9)*BX43</f>
        <v>110.44896573851797</v>
      </c>
      <c r="BN34" s="321">
        <f>(Q34*AO34+Q35*AO35+Q36*AO36+Q37*AO37+Q38*AO38+Q39*AO39+Q40*AO40+Q41*AO41+Q42*AO42+Q43/9)*BX43</f>
        <v>3305.7205754094662</v>
      </c>
      <c r="BO34" s="321">
        <f>(R34*AO34+R35*AO35+R36*AO36+R37*AO37+R38*AO38+R39*AO39+R40*AO40+R41*AO41+R42*AO42+R43/9)*BX43</f>
        <v>8596.9514581720832</v>
      </c>
      <c r="BP34" s="321">
        <f>(S34*AO34+S35*AO35+S36*AO36+S37*AO37+S38*AO38+S39*AO39+S40*AO40+S41*AO41+S42*AO42+S43/9)*BX43</f>
        <v>1356.5313331461596</v>
      </c>
      <c r="BQ34" s="321">
        <f>(T34*AO34+T35*AO35+T36*AO36+T37*AO37+T38*AO38+T39*AO39+T40*AO40+T41*AO41+T42*AO42+T43/9)*BX43</f>
        <v>546.50574804975054</v>
      </c>
      <c r="BR34" s="321">
        <f>(U34*AO34+U35*AO35+U36*AO36+U37*AO37+U38*AO38+U39*AO39+U40*AO40+U41*AO41+U42*AO42+U43/9)*BX43</f>
        <v>184.25304265620815</v>
      </c>
      <c r="BS34" s="321">
        <f>(V34*AO34+V35*AO35+V36*AO36+V37*AO37+V38*AO38+V39*AO39+V40*AO40+V41*AO41+V42*AO42+V43/9)*BX43</f>
        <v>77.700077111418821</v>
      </c>
      <c r="BT34" s="321">
        <f>(W34*AO34+W35*AO35+W36*AO36+W37*AO37+W38*AO38+W39*AO39+W40*AO40+W41*AO41+W42*AO42+W43/9)*BX43</f>
        <v>122.56379371916552</v>
      </c>
      <c r="BU34" s="321">
        <f>(X34*AO34+X35*AO35+X36*AO36+X37*AO37+X38*AO38+X39*AO39+X40*AO40+X41*AO41+X42*AO42+X43/9)*BX43</f>
        <v>198.25110579911538</v>
      </c>
      <c r="BV34" s="321">
        <f>(Y34*AO34+Y35*AO35+Y36*AO36+Y37*AO37+Y38*AO38+Y39*AO39+Y40*AO40+Y41*AO41+Y42*AO42+Y43/9)*BX43</f>
        <v>1160.0099559116481</v>
      </c>
      <c r="BW34" s="352">
        <f>AVERAGE(BQ34,BR34,BT34)/3</f>
        <v>94.813620491680467</v>
      </c>
      <c r="BX34" s="339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20" t="s">
        <v>509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5">
        <f t="shared" ref="M35:M42" si="43">SUM(C35:L35)</f>
        <v>26844</v>
      </c>
      <c r="O35" s="320" t="s">
        <v>509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5">
        <f t="shared" ref="Z35:Z42" si="44">SUM(P35:Y35)</f>
        <v>56743</v>
      </c>
      <c r="AB35" s="320" t="s">
        <v>509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5">
        <f t="shared" ref="AL35:AL42" si="45">SUM(AC35:AK35)</f>
        <v>26844</v>
      </c>
      <c r="AN35" s="320" t="s">
        <v>509</v>
      </c>
      <c r="AO35" s="332">
        <f t="shared" si="34"/>
        <v>1.899865891819401E-3</v>
      </c>
      <c r="AP35" s="332">
        <f t="shared" si="35"/>
        <v>2.7939204291461779E-3</v>
      </c>
      <c r="AQ35" s="332">
        <f t="shared" si="36"/>
        <v>1.0207122634480703E-2</v>
      </c>
      <c r="AR35" s="332">
        <f t="shared" si="37"/>
        <v>3.1031142899716882E-2</v>
      </c>
      <c r="AS35" s="332">
        <f t="shared" si="38"/>
        <v>0.18350469378632098</v>
      </c>
      <c r="AT35" s="332">
        <f t="shared" si="39"/>
        <v>0.2348010728654448</v>
      </c>
      <c r="AU35" s="332">
        <f t="shared" si="40"/>
        <v>0.20455222768588885</v>
      </c>
      <c r="AV35" s="332">
        <f t="shared" si="41"/>
        <v>0.13395917150946207</v>
      </c>
      <c r="AW35" s="333">
        <f t="shared" si="42"/>
        <v>0.19725078229772017</v>
      </c>
      <c r="AY35" s="338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9"/>
      <c r="BL35" s="348" t="s">
        <v>50</v>
      </c>
      <c r="BM35" s="322">
        <f>(P34*AP34+P35*AP35+P36*AP36+P37*AP37+P38*AP38+P39*AP39+P40*AP40+P41*AP41+P42*AP42+P43/9)*BX43</f>
        <v>94.240577542499125</v>
      </c>
      <c r="BN35" s="322">
        <f>(Q34*AP34+Q35*AP35+Q36*AP36+Q37*AP37+Q38*AP38+Q39*AP39+Q40*AP40+Q41*AP41+Q42*AP42+Q43/9)*BX43</f>
        <v>2546.6403589668239</v>
      </c>
      <c r="BO35" s="322">
        <f>(R34*AP34+R35*AP35+R36*AP36+R37*AP37+R38*AP38+R39*AP39+R40*AP40+R41*AP41+R42*AP42+R43/9)*BX43</f>
        <v>4511.4355839807604</v>
      </c>
      <c r="BP35" s="322">
        <f>(S34*AP34+S35*AP35+S36*AP36+S37*AP37+S38*AP38+S39*AP39+S40*AP40+S41*AP41+S42*AP42+S43/9)*BX43</f>
        <v>619.65854531138825</v>
      </c>
      <c r="BQ35" s="322">
        <f>(T34*AP34+T35*AP35+T36*AP36+T37*AP37+T38*AP38+T39*AP39+T40*AP40+T41*AP41+T42*AP42+T43/9)*BX43</f>
        <v>472.92969557069938</v>
      </c>
      <c r="BR35" s="322">
        <f>(U34*AP34+U35*AP35+U36*AP36+U37*AP37+U38*AP38+U39*AP39+U40*AP40+U41*AP41+U42*AP42+U43/9)*BX43</f>
        <v>156.66402839385253</v>
      </c>
      <c r="BS35" s="322">
        <f>(V34*AP34+V35*AP35+V36*AP36+V37*AP37+V38*AP38+V39*AP39+V40*AP40+V41*AP41+V42*AP42+V43/9)*BX43</f>
        <v>45.466881544552024</v>
      </c>
      <c r="BT35" s="322">
        <f>(W34*AP34+W35*AP35+W36*AP36+W37*AP37+W38*AP38+W39*AP39+W40*AP40+W41*AP41+W42*AP42+W43/9)*BX43</f>
        <v>65.862230847595157</v>
      </c>
      <c r="BU35" s="322">
        <f>(X34*AP34+X35*AP35+X36*AP36+X37*AP37+X38*AP38+X39*AP39+X40*AP40+X41*AP41+X42*AP42+X43/9)*BX43</f>
        <v>34.022772177401563</v>
      </c>
      <c r="BV35" s="322">
        <f>(Y34*AP34+Y35*AP35+Y36*AP36+Y37*AP37+Y38*AP38+Y39*AP39+Y40*AP40+Y41*AP41+Y42*AP42+Y43/9)*BX43</f>
        <v>1106.0492296661287</v>
      </c>
      <c r="BW35" s="353">
        <f>AVERAGE(BQ35,BR35,BT35)/3</f>
        <v>77.272883868016336</v>
      </c>
      <c r="BX35" s="339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20" t="s">
        <v>510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5">
        <f t="shared" si="43"/>
        <v>33472</v>
      </c>
      <c r="O36" s="320" t="s">
        <v>510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5">
        <f t="shared" si="44"/>
        <v>77531</v>
      </c>
      <c r="AB36" s="320" t="s">
        <v>510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5">
        <f t="shared" si="45"/>
        <v>33473</v>
      </c>
      <c r="AN36" s="320" t="s">
        <v>510</v>
      </c>
      <c r="AO36" s="332">
        <f t="shared" si="34"/>
        <v>2.2704866608908672E-3</v>
      </c>
      <c r="AP36" s="332">
        <f t="shared" si="35"/>
        <v>5.0189705135482328E-3</v>
      </c>
      <c r="AQ36" s="332">
        <f t="shared" si="36"/>
        <v>1.2965673826666269E-2</v>
      </c>
      <c r="AR36" s="332">
        <f t="shared" si="37"/>
        <v>3.0532070624085084E-2</v>
      </c>
      <c r="AS36" s="332">
        <f t="shared" si="38"/>
        <v>0.19905595554626115</v>
      </c>
      <c r="AT36" s="332">
        <f t="shared" si="39"/>
        <v>0.25853673109670483</v>
      </c>
      <c r="AU36" s="332">
        <f>AI36/AL36</f>
        <v>0.23093239327218953</v>
      </c>
      <c r="AV36" s="332">
        <f t="shared" si="41"/>
        <v>0.13118035431541838</v>
      </c>
      <c r="AW36" s="333">
        <f t="shared" si="42"/>
        <v>0.12950736414423566</v>
      </c>
      <c r="AY36" s="338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9"/>
      <c r="BL36" s="347" t="s">
        <v>52</v>
      </c>
      <c r="BM36" s="321">
        <f>(P34*AQ34+P35*AQ35+P36*AQ36+P37*AQ37+P38*AQ38+P39*AQ39+P40*AQ40+P41*AQ41+P42*AQ42+P43/9)*BX43</f>
        <v>164.97553111415857</v>
      </c>
      <c r="BN36" s="321">
        <f>(Q34*AQ34+Q35*AQ35+Q36*AQ36+Q37*AQ37+Q38*AQ38+Q39*AQ39+Q40*AQ40+Q41*AQ41+Q42*AQ42+Q43/9)*BX43</f>
        <v>5047.0568933734157</v>
      </c>
      <c r="BO36" s="321">
        <f>(R34*AQ34+R35*AQ35+R36*AQ36+R37*AQ37+R38*AQ38+R39*AQ39+R40*AQ40+R41*AQ41+R42*AQ42+R43/9)*BX43</f>
        <v>8965.1077753968439</v>
      </c>
      <c r="BP36" s="321">
        <f>(S34*AQ34+S35*AQ35+S36*AQ36+S37*AQ37+S38*AQ38+S39*AQ39+S40*AQ40+S41*AQ41+S42*AQ42+S43/9)*BX43</f>
        <v>939.0089234404544</v>
      </c>
      <c r="BQ36" s="321">
        <f>(T34*AQ34+T35*AQ35+T36*AQ36+T37*AQ37+T38*AQ38+T39*AQ39+T40*AQ40+T41*AQ41+T42*AQ42+T43/9)*BX43</f>
        <v>900.36367689572558</v>
      </c>
      <c r="BR36" s="321">
        <f>(U34*AQ34+U35*AQ35+U36*AQ36+U37*AQ37+U38*AQ38+U39*AQ39+U40*AQ40+U41*AQ41+U42*AQ42+U43/9)*BX43</f>
        <v>323.44456847723291</v>
      </c>
      <c r="BS36" s="321">
        <f>(V34*AQ34+V35*AQ35+V36*AQ36+V37*AQ37+V38*AQ38+V39*AQ39+V40*AQ40+V41*AQ41+V42*AQ42+V43/9)*BX43</f>
        <v>96.164721786003781</v>
      </c>
      <c r="BT36" s="321">
        <f>(W34*AQ34+W35*AQ35+W36*AQ36+W37*AQ37+W38*AQ38+W39*AQ39+W40*AQ40+W41*AQ41+W42*AQ42+W43/9)*BX43</f>
        <v>130.76209586358399</v>
      </c>
      <c r="BU36" s="321">
        <f>(X34*AQ34+X35*AQ35+X36*AQ36+X37*AQ37+X38*AQ38+X39*AQ39+X40*AQ40+X41*AQ41+X42*AQ42+X43/9)*BX43</f>
        <v>50.486966261055613</v>
      </c>
      <c r="BV36" s="321">
        <f>(Y34*AQ34+Y35*AQ35+Y36*AQ36+Y37*AQ37+Y38*AQ38+Y39*AQ39+Y40*AQ40+Y41*AQ41+Y42*AQ42+Y43/9)*BX43</f>
        <v>1139.6207994692961</v>
      </c>
      <c r="BW36" s="352">
        <f t="shared" ref="BW36:BW42" si="48">AVERAGE(BQ36,BR36,BT36)/3</f>
        <v>150.50781569294915</v>
      </c>
      <c r="BX36" s="339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20" t="s">
        <v>511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5">
        <f t="shared" si="43"/>
        <v>24851</v>
      </c>
      <c r="O37" s="320" t="s">
        <v>511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5">
        <f t="shared" si="44"/>
        <v>67734</v>
      </c>
      <c r="AB37" s="320" t="s">
        <v>511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5">
        <f t="shared" si="45"/>
        <v>24851</v>
      </c>
      <c r="AN37" s="320" t="s">
        <v>511</v>
      </c>
      <c r="AO37" s="332">
        <f t="shared" si="34"/>
        <v>3.17894652126675E-3</v>
      </c>
      <c r="AP37" s="332">
        <f t="shared" si="35"/>
        <v>2.2936702748380345E-3</v>
      </c>
      <c r="AQ37" s="332">
        <f t="shared" si="36"/>
        <v>9.9794776870146071E-3</v>
      </c>
      <c r="AR37" s="332">
        <f t="shared" si="37"/>
        <v>3.6336565932960446E-2</v>
      </c>
      <c r="AS37" s="332">
        <f t="shared" si="38"/>
        <v>0.27572331093316166</v>
      </c>
      <c r="AT37" s="332">
        <f t="shared" si="39"/>
        <v>0.31342803106514827</v>
      </c>
      <c r="AU37" s="332">
        <f t="shared" si="40"/>
        <v>0.20212466299142892</v>
      </c>
      <c r="AV37" s="332">
        <f t="shared" si="41"/>
        <v>9.1505372017222641E-2</v>
      </c>
      <c r="AW37" s="333">
        <f t="shared" si="42"/>
        <v>6.542996257695867E-2</v>
      </c>
      <c r="AY37" s="338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9"/>
      <c r="BL37" s="348" t="s">
        <v>54</v>
      </c>
      <c r="BM37" s="322">
        <f>(P34*AR34+P35*AR35+P36*AR36+P37*AR37+P38*AR38+P39*AR39+P40*AR40+P41*AR41+P42*AR42+P43/9)*BX43</f>
        <v>421.89990166785122</v>
      </c>
      <c r="BN37" s="322">
        <f>(Q34*AR34+Q35*AR35+Q36*AR36+Q37*AR37+Q38*AR38+Q39*AR39+Q40*AR40+Q41*AR41+Q42*AR42+Q43/9)*BX43</f>
        <v>15093.991899389155</v>
      </c>
      <c r="BO37" s="322">
        <f>(R34*AR34+R35*AR35+R36*AR36+R37*AR37+R38*AR38+R39*AR39+R40*AR40+R41*AR41+R42*AR42+R43/9)*BX43</f>
        <v>26823.931610923515</v>
      </c>
      <c r="BP37" s="322">
        <f>(S34*AR34+S35*AR35+S36*AR36+S37*AR37+S38*AR38+S39*AR39+S40*AR40+S41*AR41+S42*AR42+S43/9)*BX43</f>
        <v>2268.2506868778041</v>
      </c>
      <c r="BQ37" s="322">
        <f>(T34*AR34+T35*AR35+T36*AR36+T37*AR37+T38*AR38+T39*AR39+T40*AR40+T41*AR41+T42*AR42+T43/9)*BX43</f>
        <v>2680.3413515551656</v>
      </c>
      <c r="BR37" s="322">
        <f>(U34*AR34+U35*AR35+U36*AR36+U37*AR37+U38*AR38+U39*AR39+U40*AR40+U41*AR41+U42*AR42+U43/9)*BX43</f>
        <v>1002.6225622828692</v>
      </c>
      <c r="BS37" s="322">
        <f>(V34*AR34+V35*AR35+V36*AR36+V37*AR37+V38*AR38+V39*AR39+V40*AR40+V41*AR41+V42*AR42+V43/9)*BX43</f>
        <v>285.00923419088042</v>
      </c>
      <c r="BT37" s="322">
        <f>(W34*AR34+W35*AR35+W36*AR36+W37*AR37+W38*AR38+W39*AR39+W40*AR40+W41*AR41+W42*AR42+W43/9)*BX43</f>
        <v>389.07570584031856</v>
      </c>
      <c r="BU37" s="322">
        <f>(X34*AR34+X35*AR35+X36*AR36+X37*AR37+X38*AR38+X39*AR39+X40*AR40+X41*AR41+X42*AR42+X43/9)*BX43</f>
        <v>129.74090410862129</v>
      </c>
      <c r="BV37" s="322">
        <f>(Y34*AR34+Y35*AR35+Y36*AR36+Y37*AR37+Y38*AR38+Y39*AR39+Y40*AR40+Y41*AR41+Y42*AR42+Y43/9)*BX43</f>
        <v>1275.0638296831544</v>
      </c>
      <c r="BW37" s="353">
        <f t="shared" si="48"/>
        <v>452.44884663092813</v>
      </c>
      <c r="BX37" s="339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20" t="s">
        <v>512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5">
        <f t="shared" si="43"/>
        <v>51695</v>
      </c>
      <c r="O38" s="320" t="s">
        <v>512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5">
        <f t="shared" si="44"/>
        <v>107453</v>
      </c>
      <c r="AB38" s="320" t="s">
        <v>512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5">
        <f t="shared" si="45"/>
        <v>51695</v>
      </c>
      <c r="AN38" s="320" t="s">
        <v>512</v>
      </c>
      <c r="AO38" s="332">
        <f t="shared" si="34"/>
        <v>2.2052422864880551E-3</v>
      </c>
      <c r="AP38" s="332">
        <f t="shared" si="35"/>
        <v>2.4373730534867975E-3</v>
      </c>
      <c r="AQ38" s="332">
        <f t="shared" si="36"/>
        <v>6.8672018570461362E-3</v>
      </c>
      <c r="AR38" s="332">
        <f t="shared" si="37"/>
        <v>3.822419963245962E-2</v>
      </c>
      <c r="AS38" s="332">
        <f t="shared" si="38"/>
        <v>0.34519779475771351</v>
      </c>
      <c r="AT38" s="332">
        <f t="shared" si="39"/>
        <v>0.33285617564561371</v>
      </c>
      <c r="AU38" s="332">
        <f t="shared" si="40"/>
        <v>0.17376922332914208</v>
      </c>
      <c r="AV38" s="332">
        <f t="shared" si="41"/>
        <v>6.1901537866331367E-2</v>
      </c>
      <c r="AW38" s="333">
        <f t="shared" si="42"/>
        <v>3.6541251571718732E-2</v>
      </c>
      <c r="AY38" s="338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9"/>
      <c r="BL38" s="347" t="s">
        <v>56</v>
      </c>
      <c r="BM38" s="321">
        <f>(P34*AS34+P35*AS35+P36*AS36+P37*AS37+P38*AS38+P39*AS39+P40*AS40+P41*AS41+P42*AS42+P43/9)*BX43</f>
        <v>2457.2252322827194</v>
      </c>
      <c r="BN38" s="321">
        <f>(Q34*AS34+Q35*AS35+Q36*AS36+Q37*AS37+Q38*AS38+Q39*AS39+Q40*AS40+Q41*AS41+Q42*AS42+Q43/9)*BX43</f>
        <v>87503.974827852478</v>
      </c>
      <c r="BO38" s="321">
        <f>(R34*AS34+R35*AS35+R36*AS36+R37*AS37+R38*AS38+R39*AS39+R40*AS40+R41*AS41+R42*AS42+R43/9)*BX43</f>
        <v>154216.98240300422</v>
      </c>
      <c r="BP38" s="321">
        <f>(S34*AS34+S35*AS35+S36*AS36+S37*AS37+S38*AS38+S39*AS39+S40*AS40+S41*AS41+S42*AS42+S43/9)*BX43</f>
        <v>11909.649032864803</v>
      </c>
      <c r="BQ38" s="321">
        <f>(T34*AS34+T35*AS35+T36*AS36+T37*AS37+T38*AS38+T39*AS39+T40*AS40+T41*AS41+T42*AS42+T43/9)*BX43</f>
        <v>16553.600891829512</v>
      </c>
      <c r="BR38" s="321">
        <f>(U34*AS34+U35*AS35+U36*AS36+U37*AS37+U38*AS38+U39*AS39+U40*AS40+U41*AS41+U42*AS42+U43/9)*BX43</f>
        <v>6286.0022053412995</v>
      </c>
      <c r="BS38" s="321">
        <f>(V34*AS34+V35*AS35+V36*AS36+V37*AS37+V38*AS38+V39*AS39+V40*AS40+V41*AS41+V42*AS42+V43/9)*BX43</f>
        <v>1394.600431646091</v>
      </c>
      <c r="BT38" s="321">
        <f>(W34*AS34+W35*AS35+W36*AS36+W37*AS37+W38*AS38+W39*AS39+W40*AS40+W41*AS41+W42*AS42+W43/9)*BX43</f>
        <v>2300.3427788426156</v>
      </c>
      <c r="BU38" s="321">
        <f>(X34*AS34+X35*AS35+X36*AS36+X37*AS37+X38*AS38+X39*AS39+X40*AS40+X41*AS41+X42*AS42+X43/9)*BX43</f>
        <v>689.81397464605288</v>
      </c>
      <c r="BV38" s="321">
        <f>(Y34*AS34+Y35*AS35+Y36*AS36+Y37*AS37+Y38*AS38+Y39*AS39+Y40*AS40+Y41*AS41+Y42*AS42+Y43/9)*BX43</f>
        <v>2246.9908283827135</v>
      </c>
      <c r="BW38" s="352">
        <f t="shared" si="48"/>
        <v>2793.3273195570473</v>
      </c>
      <c r="BX38" s="339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20" t="s">
        <v>513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5">
        <f t="shared" si="43"/>
        <v>43624</v>
      </c>
      <c r="O39" s="320" t="s">
        <v>513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5">
        <f t="shared" si="44"/>
        <v>73079</v>
      </c>
      <c r="AB39" s="320" t="s">
        <v>513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5">
        <f t="shared" si="45"/>
        <v>43624</v>
      </c>
      <c r="AN39" s="320" t="s">
        <v>513</v>
      </c>
      <c r="AO39" s="332">
        <f t="shared" si="34"/>
        <v>1.0315422703099212E-3</v>
      </c>
      <c r="AP39" s="332">
        <f t="shared" si="35"/>
        <v>9.8569594718503567E-4</v>
      </c>
      <c r="AQ39" s="332">
        <f t="shared" si="36"/>
        <v>6.8769484687328077E-3</v>
      </c>
      <c r="AR39" s="332">
        <f t="shared" si="37"/>
        <v>4.4654318723638363E-2</v>
      </c>
      <c r="AS39" s="332">
        <f t="shared" si="38"/>
        <v>0.42634788189987161</v>
      </c>
      <c r="AT39" s="332">
        <f t="shared" si="39"/>
        <v>0.34856959471850357</v>
      </c>
      <c r="AU39" s="332">
        <f t="shared" si="40"/>
        <v>0.1198422886484504</v>
      </c>
      <c r="AV39" s="332">
        <f t="shared" si="41"/>
        <v>3.2642582064918393E-2</v>
      </c>
      <c r="AW39" s="333">
        <f t="shared" si="42"/>
        <v>1.9049147258389878E-2</v>
      </c>
      <c r="AY39" s="338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9"/>
      <c r="BL39" s="348" t="s">
        <v>58</v>
      </c>
      <c r="BM39" s="322">
        <f>(P34*AT34+P35*AT35+P36*AT36+P37*AT37+P38*AT38+P39*AT39+P40*AT40+P41*AT41+P42*AT42+P43/9)*BX43</f>
        <v>2291.1704917060065</v>
      </c>
      <c r="BN39" s="322">
        <f>(Q34*AT34+Q35*AT35+Q36*AT36+Q37*AT37+Q38*AT38+Q39*AT39+Q40*AT40+Q41*AT41+Q42*AT42+Q43/9)*BX43</f>
        <v>58227.47076690213</v>
      </c>
      <c r="BO39" s="322">
        <f>(R34*AT34+R35*AT35+R36*AT36+R37*AT37+R38*AT38+R39*AT39+R40*AT40+R41*AT41+R42*AT42+R43/9)*BX43</f>
        <v>99700.377762933043</v>
      </c>
      <c r="BP39" s="322">
        <f>(S34*AT34+S35*AT35+S36*AT36+S37*AT37+S38*AT38+S39*AT39+S40*AT40+S41*AT41+S42*AT42+S43/9)*BX43</f>
        <v>7986.415579415986</v>
      </c>
      <c r="BQ39" s="322">
        <f>(T34*AT34+T35*AT35+T36*AT36+T37*AT37+T38*AT38+T39*AT39+T40*AT40+T41*AT41+T42*AT42+T43/9)*BX43</f>
        <v>12311.357919682636</v>
      </c>
      <c r="BR39" s="322">
        <f>(U34*AT34+U35*AT35+U36*AT36+U37*AT37+U38*AT38+U39*AT39+U40*AT40+U41*AT41+U42*AT42+U43/9)*BX43</f>
        <v>4792.3876651058117</v>
      </c>
      <c r="BS39" s="322">
        <f>(V34*AT34+V35*AT35+V36*AT36+V37*AT37+V38*AT38+V39*AT39+V40*AT40+V41*AT41+V42*AT42+V43/9)*BX43</f>
        <v>587.86058669772672</v>
      </c>
      <c r="BT39" s="322">
        <f>(W34*AT34+W35*AT35+W36*AT36+W37*AT37+W38*AT38+W39*AT39+W40*AT40+W41*AT41+W42*AT42+W43/9)*BX43</f>
        <v>1683.1767289613485</v>
      </c>
      <c r="BU39" s="322">
        <f>(X34*AT34+X35*AT35+X36*AT36+X37*AT37+X38*AT38+X39*AT39+X40*AT40+X41*AT41+X42*AT42+X43/9)*BX43</f>
        <v>442.90798823661578</v>
      </c>
      <c r="BV39" s="322">
        <f>(Y34*AT34+Y35*AT35+Y36*AT36+Y37*AT37+Y38*AT38+Y39*AT39+Y40*AT40+Y41*AT41+Y42*AT42+Y43/9)*BX43</f>
        <v>1869.9423386615813</v>
      </c>
      <c r="BW39" s="353">
        <f t="shared" si="48"/>
        <v>2087.4358126388665</v>
      </c>
      <c r="BX39" s="339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20" t="s">
        <v>514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5">
        <f t="shared" si="43"/>
        <v>64117</v>
      </c>
      <c r="O40" s="320" t="s">
        <v>514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5">
        <f t="shared" si="44"/>
        <v>99598</v>
      </c>
      <c r="AB40" s="320" t="s">
        <v>514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5">
        <f t="shared" si="45"/>
        <v>64118</v>
      </c>
      <c r="AN40" s="320" t="s">
        <v>514</v>
      </c>
      <c r="AO40" s="332">
        <f t="shared" si="34"/>
        <v>1.0761408652796406E-3</v>
      </c>
      <c r="AP40" s="332">
        <f t="shared" si="35"/>
        <v>4.2733709722698777E-3</v>
      </c>
      <c r="AQ40" s="332">
        <f t="shared" si="36"/>
        <v>8.3595870114476431E-3</v>
      </c>
      <c r="AR40" s="332">
        <f t="shared" si="37"/>
        <v>4.6913503228422596E-2</v>
      </c>
      <c r="AS40" s="332">
        <f t="shared" si="38"/>
        <v>0.48326522973268038</v>
      </c>
      <c r="AT40" s="332">
        <f>AH40/AL40</f>
        <v>0.33887519885211642</v>
      </c>
      <c r="AU40" s="332">
        <f t="shared" si="40"/>
        <v>8.3486696403506033E-2</v>
      </c>
      <c r="AV40" s="332">
        <f t="shared" si="41"/>
        <v>2.5047568545494246E-2</v>
      </c>
      <c r="AW40" s="333">
        <f t="shared" si="42"/>
        <v>8.7027043887831813E-3</v>
      </c>
      <c r="AY40" s="338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9"/>
      <c r="BL40" s="347" t="s">
        <v>60</v>
      </c>
      <c r="BM40" s="321">
        <f>(P34*AU34+P35*AU35+P36*AU36+P37*AU37+P38*AU38+P39*AU39+P40*AU40+P41*AU41+P42*AU42+P43/9)*BX43</f>
        <v>1597.2422542462191</v>
      </c>
      <c r="BN40" s="321">
        <f>(Q34*AU34+Q35*AU35+Q36*AU36+Q37*AU37+Q38*AU38+Q39*AU39+Q40*AU40+Q41*AU41+Q42*AU42+Q43/9)*BX43</f>
        <v>31052.310787345741</v>
      </c>
      <c r="BO40" s="321">
        <f>(R34*AU34+R35*AU35+R36*AU36+R37*AU37+R38*AU38+R39*AU39+R40*AU40+R41*AU41+R42*AU42+R43/9)*BX43</f>
        <v>53130.666130211437</v>
      </c>
      <c r="BP40" s="321">
        <f>(S34*AU34+S35*AU35+S36*AU36+S37*AU37+S38*AU38+S39*AU39+S40*AU40+S41*AU41+S42*AU42+S43/9)*BX43</f>
        <v>4452.503354735064</v>
      </c>
      <c r="BQ40" s="321">
        <f>(T34*AU34+T35*AU35+T36*AU36+T37*AU37+T38*AU38+T39*AU39+T40*AU40+T41*AU41+T42*AU42+T43/9)*BX43</f>
        <v>6690.3850613115665</v>
      </c>
      <c r="BR40" s="321">
        <f>(U34*AU34+U35*AU35+U36*AU36+U37*AU37+U38*AU38+U39*AU39+U40*AU40+U41*AU41+U42*AU42+U43/9)*BX43</f>
        <v>2700.9800731537343</v>
      </c>
      <c r="BS40" s="321">
        <f>(V34*AU34+V35*AU35+V36*AU36+V37*AU37+V38*AU38+V39*AU39+V40*AU40+V41*AU41+V42*AU42+V43/9)*BX43</f>
        <v>271.97705529229523</v>
      </c>
      <c r="BT40" s="321">
        <f>(W34*AU34+W35*AU35+W36*AU36+W37*AU37+W38*AU38+W39*AU39+W40*AU40+W41*AU41+W42*AU42+W43/9)*BX43</f>
        <v>981.55177461271262</v>
      </c>
      <c r="BU40" s="321">
        <f>(X34*AU34+X35*AU35+X36*AU36+X37*AU37+X38*AU38+X39*AU39+X40*AU40+X41*AU41+X42*AU42+X43/9)*BX43</f>
        <v>245.86984030363962</v>
      </c>
      <c r="BV40" s="321">
        <f>(Y34*AU34+Y35*AU35+Y36*AU36+Y37*AU37+Y38*AU38+Y39*AU39+Y40*AU40+Y41*AU41+Y42*AU42+Y43/9)*BX43</f>
        <v>1520.285583996224</v>
      </c>
      <c r="BW40" s="352">
        <f t="shared" si="48"/>
        <v>1152.5463232308905</v>
      </c>
      <c r="BX40" s="339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20" t="s">
        <v>547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5">
        <f t="shared" si="43"/>
        <v>115505</v>
      </c>
      <c r="O41" s="320" t="s">
        <v>547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5">
        <f t="shared" si="44"/>
        <v>167551</v>
      </c>
      <c r="AB41" s="320" t="s">
        <v>547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5">
        <f t="shared" si="45"/>
        <v>115507</v>
      </c>
      <c r="AN41" s="320" t="s">
        <v>547</v>
      </c>
      <c r="AO41" s="332">
        <f t="shared" si="34"/>
        <v>4.51054914420771E-3</v>
      </c>
      <c r="AP41" s="332">
        <f t="shared" si="35"/>
        <v>1.442336828071026E-2</v>
      </c>
      <c r="AQ41" s="332">
        <f t="shared" si="36"/>
        <v>4.3772238911927414E-2</v>
      </c>
      <c r="AR41" s="332">
        <f t="shared" si="37"/>
        <v>0.14393067086843223</v>
      </c>
      <c r="AS41" s="332">
        <f t="shared" si="38"/>
        <v>0.63300925485035542</v>
      </c>
      <c r="AT41" s="332">
        <f t="shared" si="39"/>
        <v>0.1207805587540149</v>
      </c>
      <c r="AU41" s="332">
        <f t="shared" si="40"/>
        <v>3.0266563931190319E-2</v>
      </c>
      <c r="AV41" s="332">
        <f t="shared" si="41"/>
        <v>7.7224756941137764E-3</v>
      </c>
      <c r="AW41" s="333">
        <f t="shared" si="42"/>
        <v>1.5843195650480058E-3</v>
      </c>
      <c r="AY41" s="338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9"/>
      <c r="BL41" s="348" t="s">
        <v>62</v>
      </c>
      <c r="BM41" s="322">
        <f>(P34*AV34+P35*AV35+P36*AV36+P37*AV37+P38*AV38+P39*AV39+P40*AV40+P41*AV41+P42*AV42+P43/9)*BX43</f>
        <v>907.33249805582989</v>
      </c>
      <c r="BN41" s="322">
        <f>(Q34*AV34+Q35*AV35+Q36*AV36+Q37*AV37+Q38*AV38+Q39*AV39+Q40*AV40+Q41*AV41+Q42*AV42+Q43/9)*BX43</f>
        <v>14837.527853356503</v>
      </c>
      <c r="BO41" s="322">
        <f>(R34*AV34+R35*AV35+R36*AV36+R37*AV37+R38*AV38+R39*AV39+R40*AV40+R41*AV41+R42*AV42+R43/9)*BX43</f>
        <v>25918.290034759892</v>
      </c>
      <c r="BP41" s="322">
        <f>(S34*AV34+S35*AV35+S36*AV36+S37*AV37+S38*AV38+S39*AV39+S40*AV40+S41*AV41+S42*AV42+S43/9)*BX43</f>
        <v>2414.1365703481142</v>
      </c>
      <c r="BQ41" s="322">
        <f>(T34*AV34+T35*AV35+T36*AV36+T37*AV37+T38*AV38+T39*AV39+T40*AV40+T41*AV41+T42*AV42+T43/9)*BX43</f>
        <v>3263.3522083004204</v>
      </c>
      <c r="BR41" s="322">
        <f>(U34*AV34+U35*AV35+U36*AV36+U37*AV37+U38*AV38+U39*AV39+U40*AV40+U41*AV41+U42*AV42+U43/9)*BX43</f>
        <v>1333.7099855074393</v>
      </c>
      <c r="BS41" s="322">
        <f>(V34*AV34+V35*AV35+V36*AV36+V37*AV37+V38*AV38+V39*AV39+V40*AV40+V41*AV41+V42*AV42+V43/9)*BX43</f>
        <v>130.16782061672322</v>
      </c>
      <c r="BT41" s="322">
        <f>(W34*AV34+W35*AV35+W36*AV36+W37*AV37+W38*AV38+W39*AV39+W40*AV40+W41*AV41+W42*AV42+W43/9)*BX43</f>
        <v>500.67954982941126</v>
      </c>
      <c r="BU41" s="322">
        <f>(X34*AV34+X35*AV35+X36*AV36+X37*AV37+X38*AV38+X39*AV39+X40*AV40+X41*AV41+X42*AV42+X43/9)*BX43</f>
        <v>127.16487921035188</v>
      </c>
      <c r="BV41" s="322">
        <f>(Y34*AV34+Y35*AV35+Y36*AV36+Y37*AV37+Y38*AV38+Y39*AV39+Y40*AV40+Y41*AV41+Y42*AV42+Y43/9)*BX43</f>
        <v>1296.8095754713954</v>
      </c>
      <c r="BW41" s="353">
        <f t="shared" si="48"/>
        <v>566.41574929303022</v>
      </c>
      <c r="BX41" s="339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20" t="s">
        <v>548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5">
        <f t="shared" si="43"/>
        <v>31963</v>
      </c>
      <c r="O42" s="320" t="s">
        <v>548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5">
        <f t="shared" si="44"/>
        <v>9027</v>
      </c>
      <c r="AB42" s="320" t="s">
        <v>548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5">
        <f t="shared" si="45"/>
        <v>31963</v>
      </c>
      <c r="AN42" s="331" t="s">
        <v>548</v>
      </c>
      <c r="AO42" s="334">
        <f t="shared" si="34"/>
        <v>0.93589462816381441</v>
      </c>
      <c r="AP42" s="334">
        <f t="shared" si="35"/>
        <v>3.9139004473922975E-2</v>
      </c>
      <c r="AQ42" s="334">
        <f t="shared" si="36"/>
        <v>1.4704502080530613E-2</v>
      </c>
      <c r="AR42" s="334">
        <f t="shared" si="37"/>
        <v>6.4449519757219286E-3</v>
      </c>
      <c r="AS42" s="334">
        <f t="shared" si="38"/>
        <v>3.2224759878609643E-3</v>
      </c>
      <c r="AT42" s="334">
        <f t="shared" si="39"/>
        <v>5.631511435096831E-4</v>
      </c>
      <c r="AU42" s="334">
        <f t="shared" si="40"/>
        <v>0</v>
      </c>
      <c r="AV42" s="334">
        <f t="shared" si="41"/>
        <v>3.128617463942684E-5</v>
      </c>
      <c r="AW42" s="335">
        <f t="shared" si="42"/>
        <v>0</v>
      </c>
      <c r="AY42" s="338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9"/>
      <c r="BL42" s="347" t="s">
        <v>64</v>
      </c>
      <c r="BM42" s="321">
        <f>(P34*AW34+P35*AW35+P36*AW36+P37*AW37+P38*AW38+P39*AW39+P40*AW40+P41*AW41+P42*AW42+P43/9)*BX43</f>
        <v>1210.2554764461979</v>
      </c>
      <c r="BN42" s="321">
        <f>(Q34*AW34+Q35*AW35+Q36*AW36+Q37*AW37+Q38*AW38+Q39*AW39+Q40*AW40+Q41*AW41+Q42*AW42+Q43/9)*BX43</f>
        <v>15130.943822204281</v>
      </c>
      <c r="BO42" s="321">
        <f>(R34*AW34+R35*AW35+R36*AW36+R37*AW37+R38*AW38+R39*AW39+R40*AW40+R41*AW41+R42*AW42+R43/9)*BX43</f>
        <v>26996.660257418189</v>
      </c>
      <c r="BP42" s="321">
        <f>(S34*AW34+S35*AW35+S36*AW36+S37*AW37+S38*AW38+S39*AW39+S40*AW40+S41*AW41+S42*AW42+S43/9)*BX43</f>
        <v>2871.8314322602259</v>
      </c>
      <c r="BQ42" s="321">
        <f>(T34*AW34+T35*AW35+T36*AW36+T37*AW37+T38*AW38+T39*AW39+T40*AW40+T41*AW41+T42*AW42+T43/9)*BX43</f>
        <v>3475.3849028045206</v>
      </c>
      <c r="BR42" s="321">
        <f>(U34*AW34+U35*AW35+U36*AW36+U37*AW37+U38*AW38+U39*AW39+U40*AW40+U41*AW41+U42*AW42+U43/9)*BX43</f>
        <v>1461.9315482815518</v>
      </c>
      <c r="BS42" s="321">
        <f>(V34*AW34+V35*AW35+V36*AW36+V37*AW37+V38*AW38+V39*AW39+V40*AW40+V41*AW41+V42*AW42+V43/9)*BX43</f>
        <v>139.59560871430867</v>
      </c>
      <c r="BT42" s="321">
        <f>(W34*AW34+W35*AW35+W36*AW36+W37*AW37+W38*AW38+W39*AW39+W40*AW40+W41*AW41+W42*AW42+W43/9)*BX43</f>
        <v>586.38097508324859</v>
      </c>
      <c r="BU42" s="321">
        <f>(X34*AW34+X35*AW35+X36*AW36+X37*AW37+X38*AW38+X39*AW39+X40*AW40+X41*AW41+X42*AW42+X43/9)*BX43</f>
        <v>144.513182057146</v>
      </c>
      <c r="BV42" s="321">
        <f>(Y34*AW34+Y35*AW35+Y36*AW36+Y37*AW37+Y38*AW38+Y39*AW39+Y40*AW40+Y41*AW41+Y42*AW42+Y43/9)*BX43</f>
        <v>1325.7364555578574</v>
      </c>
      <c r="BW42" s="352">
        <f t="shared" si="48"/>
        <v>613.74415846325792</v>
      </c>
      <c r="BX42" s="341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26" t="s">
        <v>549</v>
      </c>
      <c r="C43" s="327">
        <f t="shared" ref="C43:L43" si="55">SUM(C34:C42)</f>
        <v>0</v>
      </c>
      <c r="D43" s="327">
        <f t="shared" si="55"/>
        <v>124317</v>
      </c>
      <c r="E43" s="327">
        <f t="shared" si="55"/>
        <v>225374</v>
      </c>
      <c r="F43" s="327">
        <f t="shared" si="55"/>
        <v>34746</v>
      </c>
      <c r="G43" s="327">
        <f t="shared" si="55"/>
        <v>6874</v>
      </c>
      <c r="H43" s="327">
        <f t="shared" si="55"/>
        <v>619</v>
      </c>
      <c r="I43" s="327">
        <f t="shared" si="55"/>
        <v>4633</v>
      </c>
      <c r="J43" s="327">
        <f t="shared" si="55"/>
        <v>483</v>
      </c>
      <c r="K43" s="327">
        <f t="shared" si="55"/>
        <v>16891</v>
      </c>
      <c r="L43" s="327">
        <f t="shared" si="55"/>
        <v>1017</v>
      </c>
      <c r="M43" s="328">
        <f>SUM(C43:L43)</f>
        <v>414954</v>
      </c>
      <c r="O43" s="320" t="s">
        <v>359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5">
        <f>SUM(P43:Y43)</f>
        <v>45367</v>
      </c>
      <c r="AB43" s="326" t="s">
        <v>218</v>
      </c>
      <c r="AC43" s="327">
        <f t="shared" ref="AC43:AL43" si="57">SUM(AC34:AC42)</f>
        <v>30917</v>
      </c>
      <c r="AD43" s="327">
        <f t="shared" si="57"/>
        <v>3722</v>
      </c>
      <c r="AE43" s="327">
        <f t="shared" si="57"/>
        <v>7882</v>
      </c>
      <c r="AF43" s="327">
        <f t="shared" si="57"/>
        <v>27081</v>
      </c>
      <c r="AG43" s="327">
        <f t="shared" si="57"/>
        <v>161926</v>
      </c>
      <c r="AH43" s="327">
        <f t="shared" si="57"/>
        <v>95372</v>
      </c>
      <c r="AI43" s="327">
        <f t="shared" si="57"/>
        <v>46130</v>
      </c>
      <c r="AJ43" s="327">
        <f t="shared" si="57"/>
        <v>20720</v>
      </c>
      <c r="AK43" s="327">
        <f t="shared" si="57"/>
        <v>21208</v>
      </c>
      <c r="AL43" s="328">
        <f t="shared" si="57"/>
        <v>414958</v>
      </c>
      <c r="AO43" s="309"/>
      <c r="AP43" s="309"/>
      <c r="AQ43" s="309"/>
      <c r="AR43" s="309"/>
      <c r="AS43" s="309"/>
      <c r="AT43" s="309"/>
      <c r="AU43" s="309"/>
      <c r="AV43" s="309"/>
      <c r="AW43" s="309"/>
      <c r="AY43" s="338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9"/>
      <c r="BL43" s="331"/>
      <c r="BM43" s="349"/>
      <c r="BN43" s="349"/>
      <c r="BO43" s="349"/>
      <c r="BP43" s="349"/>
      <c r="BQ43" s="349"/>
      <c r="BR43" s="349"/>
      <c r="BS43" s="349"/>
      <c r="BT43" s="349"/>
      <c r="BU43" s="349"/>
      <c r="BV43" s="349"/>
      <c r="BW43" s="349"/>
      <c r="BX43" s="350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122"/>
      <c r="D44" s="122"/>
      <c r="E44" s="122"/>
      <c r="O44" s="326" t="s">
        <v>549</v>
      </c>
      <c r="P44" s="327">
        <f t="shared" ref="P44:Y44" si="59">SUM(P34:P43)</f>
        <v>9027</v>
      </c>
      <c r="Q44" s="327">
        <f t="shared" si="59"/>
        <v>227017</v>
      </c>
      <c r="R44" s="327">
        <f t="shared" si="59"/>
        <v>398797</v>
      </c>
      <c r="S44" s="327">
        <f t="shared" si="59"/>
        <v>33961</v>
      </c>
      <c r="T44" s="327">
        <f t="shared" si="59"/>
        <v>45740</v>
      </c>
      <c r="U44" s="327">
        <f t="shared" si="59"/>
        <v>17793</v>
      </c>
      <c r="V44" s="327">
        <f t="shared" si="59"/>
        <v>2954</v>
      </c>
      <c r="W44" s="327">
        <f t="shared" si="59"/>
        <v>6594</v>
      </c>
      <c r="X44" s="327">
        <f t="shared" si="59"/>
        <v>2012</v>
      </c>
      <c r="Y44" s="327">
        <f t="shared" si="59"/>
        <v>12622</v>
      </c>
      <c r="Z44" s="328">
        <f>SUM(P44:Y44)</f>
        <v>756517</v>
      </c>
      <c r="AO44" s="309"/>
      <c r="AP44" s="309"/>
      <c r="AQ44" s="309"/>
      <c r="AR44" s="309"/>
      <c r="AS44" s="309"/>
      <c r="AT44" s="309"/>
      <c r="AU44" s="309"/>
      <c r="AV44" s="309"/>
      <c r="AW44" s="309"/>
      <c r="AY44" s="340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9"/>
      <c r="BM44" s="122"/>
      <c r="BN44" s="122"/>
      <c r="BO44" s="122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29" t="s">
        <v>46</v>
      </c>
      <c r="C45" s="319" t="s">
        <v>540</v>
      </c>
      <c r="D45" s="319" t="s">
        <v>541</v>
      </c>
      <c r="E45" s="319" t="s">
        <v>542</v>
      </c>
      <c r="F45" s="319" t="s">
        <v>137</v>
      </c>
      <c r="G45" s="319" t="s">
        <v>554</v>
      </c>
      <c r="H45" s="319" t="s">
        <v>543</v>
      </c>
      <c r="I45" s="319" t="s">
        <v>544</v>
      </c>
      <c r="J45" s="319" t="s">
        <v>545</v>
      </c>
      <c r="K45" s="319" t="s">
        <v>546</v>
      </c>
      <c r="L45" s="319" t="s">
        <v>532</v>
      </c>
      <c r="M45" s="324"/>
      <c r="O45" s="329" t="s">
        <v>46</v>
      </c>
      <c r="P45" s="319" t="s">
        <v>540</v>
      </c>
      <c r="Q45" s="319" t="s">
        <v>541</v>
      </c>
      <c r="R45" s="319" t="s">
        <v>542</v>
      </c>
      <c r="S45" s="319" t="s">
        <v>137</v>
      </c>
      <c r="T45" s="319" t="s">
        <v>554</v>
      </c>
      <c r="U45" s="319" t="s">
        <v>543</v>
      </c>
      <c r="V45" s="319" t="s">
        <v>544</v>
      </c>
      <c r="W45" s="319" t="s">
        <v>545</v>
      </c>
      <c r="X45" s="319" t="s">
        <v>546</v>
      </c>
      <c r="Y45" s="319" t="s">
        <v>532</v>
      </c>
      <c r="Z45" s="324"/>
      <c r="AB45" s="329" t="s">
        <v>46</v>
      </c>
      <c r="AC45" s="319" t="s">
        <v>48</v>
      </c>
      <c r="AD45" s="319" t="s">
        <v>50</v>
      </c>
      <c r="AE45" s="319" t="s">
        <v>52</v>
      </c>
      <c r="AF45" s="319" t="s">
        <v>54</v>
      </c>
      <c r="AG45" s="319" t="s">
        <v>56</v>
      </c>
      <c r="AH45" s="319" t="s">
        <v>58</v>
      </c>
      <c r="AI45" s="319" t="s">
        <v>60</v>
      </c>
      <c r="AJ45" s="319" t="s">
        <v>62</v>
      </c>
      <c r="AK45" s="319" t="s">
        <v>64</v>
      </c>
      <c r="AL45" s="324"/>
      <c r="AN45" s="329" t="s">
        <v>46</v>
      </c>
      <c r="AO45" s="336" t="s">
        <v>48</v>
      </c>
      <c r="AP45" s="336" t="s">
        <v>50</v>
      </c>
      <c r="AQ45" s="336" t="s">
        <v>52</v>
      </c>
      <c r="AR45" s="336" t="s">
        <v>54</v>
      </c>
      <c r="AS45" s="336" t="s">
        <v>56</v>
      </c>
      <c r="AT45" s="336" t="s">
        <v>58</v>
      </c>
      <c r="AU45" s="336" t="s">
        <v>60</v>
      </c>
      <c r="AV45" s="336" t="s">
        <v>62</v>
      </c>
      <c r="AW45" s="337" t="s">
        <v>64</v>
      </c>
      <c r="AY45" s="342" t="s">
        <v>218</v>
      </c>
      <c r="AZ45" s="306">
        <f t="shared" ref="AZ45:BH45" si="61">SUM(AZ35:AZ44)</f>
        <v>15273.517993264304</v>
      </c>
      <c r="BA45" s="306">
        <f t="shared" si="61"/>
        <v>9415.3784773527896</v>
      </c>
      <c r="BB45" s="306">
        <f t="shared" si="61"/>
        <v>17319.933814235817</v>
      </c>
      <c r="BC45" s="306">
        <f t="shared" si="61"/>
        <v>49130.157636652992</v>
      </c>
      <c r="BD45" s="306">
        <f t="shared" si="61"/>
        <v>278530.62929481542</v>
      </c>
      <c r="BE45" s="306">
        <f t="shared" si="61"/>
        <v>185219.17312597283</v>
      </c>
      <c r="BF45" s="306">
        <f t="shared" si="61"/>
        <v>100117.37014989805</v>
      </c>
      <c r="BG45" s="306">
        <f t="shared" si="61"/>
        <v>49480.558763397014</v>
      </c>
      <c r="BH45" s="306">
        <f t="shared" si="61"/>
        <v>52030.280744410775</v>
      </c>
      <c r="BI45" s="306">
        <f>SUM(AZ45:BH45)</f>
        <v>756517.00000000012</v>
      </c>
      <c r="BJ45" s="343">
        <v>1.0129999999999999</v>
      </c>
      <c r="BL45" s="329" t="s">
        <v>46</v>
      </c>
      <c r="BM45" s="319" t="s">
        <v>540</v>
      </c>
      <c r="BN45" s="319" t="s">
        <v>541</v>
      </c>
      <c r="BO45" s="319" t="s">
        <v>542</v>
      </c>
      <c r="BP45" s="319" t="s">
        <v>137</v>
      </c>
      <c r="BQ45" s="319" t="s">
        <v>554</v>
      </c>
      <c r="BR45" s="319" t="s">
        <v>543</v>
      </c>
      <c r="BS45" s="319" t="s">
        <v>544</v>
      </c>
      <c r="BT45" s="319" t="s">
        <v>545</v>
      </c>
      <c r="BU45" s="319" t="s">
        <v>546</v>
      </c>
      <c r="BV45" s="319" t="s">
        <v>532</v>
      </c>
      <c r="BW45" s="319" t="s">
        <v>573</v>
      </c>
      <c r="BX45" s="324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20" t="s">
        <v>508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5">
        <f>SUM(C46:L46)</f>
        <v>21159</v>
      </c>
      <c r="O46" s="320" t="s">
        <v>508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5">
        <f>SUM(P46:Y46)</f>
        <v>74125</v>
      </c>
      <c r="AB46" s="320" t="s">
        <v>508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5">
        <f>SUM(AC46:AK46)</f>
        <v>21159</v>
      </c>
      <c r="AN46" s="320" t="s">
        <v>508</v>
      </c>
      <c r="AO46" s="332">
        <f t="shared" ref="AO46:AO54" si="62">AC46/AL46</f>
        <v>3.4500685287584478E-3</v>
      </c>
      <c r="AP46" s="332">
        <f t="shared" ref="AP46:AP54" si="63">AD46/AL46</f>
        <v>3.6391133796493218E-3</v>
      </c>
      <c r="AQ46" s="332">
        <f t="shared" ref="AQ46:AQ54" si="64">AE46/AL46</f>
        <v>7.7981000992485465E-3</v>
      </c>
      <c r="AR46" s="332">
        <f t="shared" ref="AR46:AR54" si="65">AF46/AL46</f>
        <v>1.5927028687556122E-2</v>
      </c>
      <c r="AS46" s="332">
        <f t="shared" ref="AS46:AS54" si="66">AG46/AL46</f>
        <v>9.121414055484664E-2</v>
      </c>
      <c r="AT46" s="332">
        <f t="shared" ref="AT46:AT54" si="67">AH46/AL46</f>
        <v>0.15704900987759346</v>
      </c>
      <c r="AU46" s="332">
        <f t="shared" ref="AU46:AU54" si="68">AI46/AL46</f>
        <v>0.17911999621910299</v>
      </c>
      <c r="AV46" s="332">
        <f t="shared" ref="AV46:AV54" si="69">AJ46/AL46</f>
        <v>0.14220898908265986</v>
      </c>
      <c r="AW46" s="333">
        <f t="shared" ref="AW46:AW54" si="70">AK46/AL46</f>
        <v>0.39959355357058463</v>
      </c>
      <c r="AY46" s="344" t="s">
        <v>294</v>
      </c>
      <c r="AZ46" s="327">
        <f t="shared" ref="AZ46:BH46" si="71">AZ45*$BJ$32</f>
        <v>15472.073727176739</v>
      </c>
      <c r="BA46" s="327">
        <f t="shared" si="71"/>
        <v>9537.7783975583752</v>
      </c>
      <c r="BB46" s="327">
        <f t="shared" si="71"/>
        <v>17545.09295382088</v>
      </c>
      <c r="BC46" s="327">
        <f t="shared" si="71"/>
        <v>49768.849685929476</v>
      </c>
      <c r="BD46" s="327">
        <f t="shared" si="71"/>
        <v>282151.52747564798</v>
      </c>
      <c r="BE46" s="327">
        <f t="shared" si="71"/>
        <v>187627.02237661046</v>
      </c>
      <c r="BF46" s="327">
        <f t="shared" si="71"/>
        <v>101418.89596184672</v>
      </c>
      <c r="BG46" s="327">
        <f t="shared" si="71"/>
        <v>50123.806027321167</v>
      </c>
      <c r="BH46" s="327">
        <f t="shared" si="71"/>
        <v>52706.674394088106</v>
      </c>
      <c r="BI46" s="345">
        <f>SUM(AZ46:BH46)</f>
        <v>766351.72099999979</v>
      </c>
      <c r="BJ46" s="346"/>
      <c r="BL46" s="347" t="s">
        <v>48</v>
      </c>
      <c r="BM46" s="321">
        <f>(P46*AO46+P47*AO47+P48*AO48+P49*AO49+P50*AO50+P51*AO51+P52*AO52+P53*AO53+P54*AO54+P55/9)*BX55</f>
        <v>187.96821195899579</v>
      </c>
      <c r="BN46" s="321">
        <f>(Q46*AO46+Q47*AO47+Q48*AO48+Q49*AO49+Q50*AO50+Q51*AO51+Q52*AO52+Q53*AO53+Q54*AO54+Q55/9)*BX55</f>
        <v>10715.078646106485</v>
      </c>
      <c r="BO46" s="321">
        <f>(R46*AO46+R47*AO47+R48*AO48+R49*AO49+R50*AO50+R51*AO51+R52*AO52+R53*AO53+R54*AO54+R55/9)*BX55</f>
        <v>2492.9354373262854</v>
      </c>
      <c r="BP46" s="321">
        <f>(S46*AO46+S47*AO47+S48*AO48+S49*AO49+S50*AO50+S51*AO51+S52*AO52+S53*AO53+S54*AO54+S55/9)*BX55</f>
        <v>2117.7741572503596</v>
      </c>
      <c r="BQ46" s="321">
        <f>(T46*AO46+T47*AO47+T48*AO48+T49*AO49+T50*AO50+T51*AO51+T52*AO52+T53*AO53+T54*AO54+T55/9)*BX55</f>
        <v>636.87817283620245</v>
      </c>
      <c r="BR46" s="321">
        <f>(U46*AO46+U47*AO47+U48*AO48+U49*AO49+U50*AO50+U51*AO51+U52*AO52+U53*AO53+U54*AO54+U55/9)*BX55</f>
        <v>1530.4366032257699</v>
      </c>
      <c r="BS46" s="321">
        <f>(V46*AO46+V47*AO47+V48*AO48+V49*AO49+V50*AO50+V51*AO51+V52*AO52+V53*AO53+V54*AO54+V55/9)*BX55</f>
        <v>165.04029682939117</v>
      </c>
      <c r="BT46" s="321">
        <f>(W46*AO46+W47*AO47+W48*AO48+W49*AO49+W50*AO50+W51*AO51+W52*AO52+W53*AO53+W54*AO54+W55/9)*BX55</f>
        <v>971.2204741518816</v>
      </c>
      <c r="BU46" s="321">
        <f>(X46*AO46+X47*AO47+X48*AO48+X49*AO49+X50*AO50+X51*AO51+X52*AO52+X53*AO53+X54*AO54+X55/9)*BX55</f>
        <v>1187.9160200295087</v>
      </c>
      <c r="BV46" s="321">
        <f>(Y46*AO46+Y47*AO47+Y48*AO48+Y49*AO49+Y50*AO50+Y51*AO51+Y52*AO52+Y53*AO53+Y54*AO54+Y55/9)*BX55</f>
        <v>628.80572114094321</v>
      </c>
      <c r="BW46" s="352">
        <f>AVERAGE(BQ46,BR46,BT46)/3</f>
        <v>348.72613891265041</v>
      </c>
      <c r="BX46" s="339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20" t="s">
        <v>509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5">
        <f t="shared" ref="M47:M54" si="72">SUM(C47:L47)</f>
        <v>16032</v>
      </c>
      <c r="O47" s="320" t="s">
        <v>509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5">
        <f t="shared" ref="Z47:Z54" si="73">SUM(P47:Y47)</f>
        <v>46847</v>
      </c>
      <c r="AB47" s="320" t="s">
        <v>509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5">
        <f t="shared" ref="AL47:AL54" si="74">SUM(AC47:AK47)</f>
        <v>16032</v>
      </c>
      <c r="AN47" s="320" t="s">
        <v>509</v>
      </c>
      <c r="AO47" s="332">
        <f t="shared" si="62"/>
        <v>4.4286427145708582E-3</v>
      </c>
      <c r="AP47" s="332">
        <f t="shared" si="63"/>
        <v>3.4930139720558881E-3</v>
      </c>
      <c r="AQ47" s="332">
        <f t="shared" si="64"/>
        <v>8.2959081836327352E-3</v>
      </c>
      <c r="AR47" s="332">
        <f t="shared" si="65"/>
        <v>2.0022455089820361E-2</v>
      </c>
      <c r="AS47" s="332">
        <f t="shared" si="66"/>
        <v>0.10591317365269461</v>
      </c>
      <c r="AT47" s="332">
        <f t="shared" si="67"/>
        <v>0.17284181636726548</v>
      </c>
      <c r="AU47" s="332">
        <f t="shared" si="68"/>
        <v>0.17621007984031936</v>
      </c>
      <c r="AV47" s="332">
        <f t="shared" si="69"/>
        <v>0.13535429141716568</v>
      </c>
      <c r="AW47" s="333">
        <f t="shared" si="70"/>
        <v>0.37344061876247503</v>
      </c>
      <c r="AY47" s="329" t="s">
        <v>46</v>
      </c>
      <c r="AZ47" s="319" t="s">
        <v>48</v>
      </c>
      <c r="BA47" s="319" t="s">
        <v>50</v>
      </c>
      <c r="BB47" s="319" t="s">
        <v>52</v>
      </c>
      <c r="BC47" s="319" t="s">
        <v>54</v>
      </c>
      <c r="BD47" s="319" t="s">
        <v>56</v>
      </c>
      <c r="BE47" s="319" t="s">
        <v>58</v>
      </c>
      <c r="BF47" s="319" t="s">
        <v>60</v>
      </c>
      <c r="BG47" s="319" t="s">
        <v>62</v>
      </c>
      <c r="BH47" s="319" t="s">
        <v>64</v>
      </c>
      <c r="BI47" s="336"/>
      <c r="BJ47" s="324"/>
      <c r="BL47" s="348" t="s">
        <v>50</v>
      </c>
      <c r="BM47" s="322">
        <f>(P46*AP46+P47*AP47+P48*AP48+P49*AP49+P50*AP50+P51*AP51+P52*AP52+P53*AP53+P54*AP54+P55/9)*BX55</f>
        <v>84.287931197693752</v>
      </c>
      <c r="BN47" s="322">
        <f>(Q46*AP46+Q47*AP47+Q48*AP48+Q49*AP49+Q50*AP50+Q51*AP51+Q52*AP52+Q53*AP53+Q54*AP54+Q55/9)*BX55</f>
        <v>5422.2427266334407</v>
      </c>
      <c r="BO47" s="322">
        <f>(R46*AP46+R47*AP47+R48*AP48+R49*AP49+R50*AP50+R51*AP51+R52*AP52+R53*AP53+R54*AP54+R55/9)*BX55</f>
        <v>1318.6039014587607</v>
      </c>
      <c r="BP47" s="322">
        <f>(S46*AP46+S47*AP47+S48*AP48+S49*AP49+S50*AP50+S51*AP51+S52*AP52+S53*AP53+S54*AP54+S55/9)*BX55</f>
        <v>490.82216961956362</v>
      </c>
      <c r="BQ47" s="322">
        <f>(T46*AP46+T47*AP47+T48*AP48+T49*AP49+T50*AP50+T51*AP51+T52*AP52+T53*AP53+T54*AP54+T55/9)*BX55</f>
        <v>377.08548439500998</v>
      </c>
      <c r="BR47" s="322">
        <f>(U46*AP46+U47*AP47+U48*AP48+U49*AP49+U50*AP50+U51*AP51+U52*AP52+U53*AP53+U54*AP54+U55/9)*BX55</f>
        <v>682.4235986448524</v>
      </c>
      <c r="BS47" s="322">
        <f>(V46*AP46+V47*AP47+V48*AP48+V49*AP49+V50*AP50+V51*AP51+V52*AP52+V53*AP53+V54*AP54+V55/9)*BX55</f>
        <v>75.438607478052077</v>
      </c>
      <c r="BT47" s="322">
        <f>(W46*AP46+W47*AP47+W48*AP48+W49*AP49+W50*AP50+W51*AP51+W52*AP52+W53*AP53+W54*AP54+W55/9)*BX55</f>
        <v>331.95269853978573</v>
      </c>
      <c r="BU47" s="322">
        <f>(X46*AP46+X47*AP47+X48*AP48+X49*AP49+X50*AP50+X51*AP51+X52*AP52+X53*AP53+X54*AP54+X55/9)*BX55</f>
        <v>229.23177246782097</v>
      </c>
      <c r="BV47" s="322">
        <f>(Y46*AP46+Y47*AP47+Y48*AP48+Y49*AP49+Y50*AP50+Y51*AP51+Y52*AP52+Y53*AP53+Y54*AP54+Y55/9)*BX55</f>
        <v>540.02011649348128</v>
      </c>
      <c r="BW47" s="353">
        <f>AVERAGE(BQ47,BR47,BT47)/3</f>
        <v>154.60686461996093</v>
      </c>
      <c r="BX47" s="339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20" t="s">
        <v>510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5">
        <f t="shared" si="72"/>
        <v>14682</v>
      </c>
      <c r="O48" s="320" t="s">
        <v>510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5">
        <f t="shared" si="73"/>
        <v>42427</v>
      </c>
      <c r="AB48" s="320" t="s">
        <v>510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5">
        <f t="shared" si="74"/>
        <v>14682</v>
      </c>
      <c r="AN48" s="320" t="s">
        <v>510</v>
      </c>
      <c r="AO48" s="332">
        <f t="shared" si="62"/>
        <v>5.5169595422966894E-3</v>
      </c>
      <c r="AP48" s="332">
        <f t="shared" si="63"/>
        <v>5.3126277073968125E-3</v>
      </c>
      <c r="AQ48" s="332">
        <f t="shared" si="64"/>
        <v>1.2668573763792398E-2</v>
      </c>
      <c r="AR48" s="332">
        <f t="shared" si="65"/>
        <v>2.1522953276120419E-2</v>
      </c>
      <c r="AS48" s="332">
        <f t="shared" si="66"/>
        <v>0.12981882577305545</v>
      </c>
      <c r="AT48" s="332">
        <f t="shared" si="67"/>
        <v>0.21890750578940199</v>
      </c>
      <c r="AU48" s="332">
        <f t="shared" si="68"/>
        <v>0.19282114153385096</v>
      </c>
      <c r="AV48" s="332">
        <f t="shared" si="69"/>
        <v>0.13526767470371884</v>
      </c>
      <c r="AW48" s="333">
        <f t="shared" si="70"/>
        <v>0.27816373791036642</v>
      </c>
      <c r="AY48" s="338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9"/>
      <c r="BJ48" s="339"/>
      <c r="BL48" s="347" t="s">
        <v>52</v>
      </c>
      <c r="BM48" s="321">
        <f>(P46*AQ46+P47*AQ47+P48*AQ48+P49*AQ49+P50*AQ50+P51*AQ51+P52*AQ52+P53*AQ53+P54*AQ54+P55/9)*BX55</f>
        <v>151.9034629439617</v>
      </c>
      <c r="BN48" s="321">
        <f>(Q46*AQ46+Q47*AQ47+Q48*AQ48+Q49*AQ49+Q50*AQ50+Q51*AQ51+Q52*AQ52+Q53*AQ53+Q54*AQ54+Q55/9)*BX55</f>
        <v>12442.403534306701</v>
      </c>
      <c r="BO48" s="321">
        <f>(R46*AQ46+R47*AQ47+R48*AQ48+R49*AQ49+R50*AQ50+R51*AQ51+R52*AQ52+R53*AQ53+R54*AQ54+R55/9)*BX55</f>
        <v>2859.5616568527607</v>
      </c>
      <c r="BP48" s="321">
        <f>(S46*AQ46+S47*AQ47+S48*AQ48+S49*AQ49+S50*AQ50+S51*AQ51+S52*AQ52+S53*AQ53+S54*AQ54+S55/9)*BX55</f>
        <v>741.34485180970808</v>
      </c>
      <c r="BQ48" s="321">
        <f>(T46*AQ46+T47*AQ47+T48*AQ48+T49*AQ49+T50*AQ50+T51*AQ51+T52*AQ52+T53*AQ53+T54*AQ54+T55/9)*BX55</f>
        <v>806.99965397441827</v>
      </c>
      <c r="BR48" s="321">
        <f>(U46*AQ46+U47*AQ47+U48*AQ48+U49*AQ49+U50*AQ50+U51*AQ51+U52*AQ52+U53*AQ53+U54*AQ54+U55/9)*BX55</f>
        <v>1528.2238714663135</v>
      </c>
      <c r="BS48" s="321">
        <f>(V46*AQ46+V47*AQ47+V48*AQ48+V49*AQ49+V50*AQ50+V51*AQ51+V52*AQ52+V53*AQ53+V54*AQ54+V55/9)*BX55</f>
        <v>175.48984163633784</v>
      </c>
      <c r="BT48" s="321">
        <f>(W46*AQ46+W47*AQ47+W48*AQ48+W49*AQ49+W50*AQ50+W51*AQ51+W52*AQ52+W53*AQ53+W54*AQ54+W55/9)*BX55</f>
        <v>682.82030329601912</v>
      </c>
      <c r="BU48" s="321">
        <f>(X46*AQ46+X47*AQ47+X48*AQ48+X49*AQ49+X50*AQ50+X51*AQ51+X52*AQ52+X53*AQ53+X54*AQ54+X55/9)*BX55</f>
        <v>369.15024083317485</v>
      </c>
      <c r="BV48" s="321">
        <f>(Y46*AQ46+Y47*AQ47+Y48*AQ48+Y49*AQ49+Y50*AQ50+Y51*AQ51+Y52*AQ52+Y53*AQ53+Y54*AQ54+Y55/9)*BX55</f>
        <v>584.79355377248248</v>
      </c>
      <c r="BW48" s="352">
        <f t="shared" ref="BW48:BW54" si="76">AVERAGE(BQ48,BR48,BT48)/3</f>
        <v>335.33820319297234</v>
      </c>
      <c r="BX48" s="339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20" t="s">
        <v>511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5">
        <f t="shared" si="72"/>
        <v>14478</v>
      </c>
      <c r="O49" s="320" t="s">
        <v>511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5">
        <f t="shared" si="73"/>
        <v>42221</v>
      </c>
      <c r="AB49" s="320" t="s">
        <v>511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5">
        <f t="shared" si="74"/>
        <v>14478</v>
      </c>
      <c r="AN49" s="320" t="s">
        <v>511</v>
      </c>
      <c r="AO49" s="332">
        <f t="shared" si="62"/>
        <v>6.078187594971681E-3</v>
      </c>
      <c r="AP49" s="332">
        <f t="shared" si="63"/>
        <v>4.6277110098079848E-3</v>
      </c>
      <c r="AQ49" s="332">
        <f t="shared" si="64"/>
        <v>1.1811023622047244E-2</v>
      </c>
      <c r="AR49" s="332">
        <f t="shared" si="65"/>
        <v>2.2862273794723029E-2</v>
      </c>
      <c r="AS49" s="332">
        <f t="shared" si="66"/>
        <v>0.17702721370355021</v>
      </c>
      <c r="AT49" s="332">
        <f t="shared" si="67"/>
        <v>0.29099323110926922</v>
      </c>
      <c r="AU49" s="332">
        <f t="shared" si="68"/>
        <v>0.22399502693742229</v>
      </c>
      <c r="AV49" s="332">
        <f t="shared" si="69"/>
        <v>0.11320624395634757</v>
      </c>
      <c r="AW49" s="333">
        <f t="shared" si="70"/>
        <v>0.14939908827186074</v>
      </c>
      <c r="AY49" s="338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9"/>
      <c r="BJ49" s="339"/>
      <c r="BL49" s="348" t="s">
        <v>54</v>
      </c>
      <c r="BM49" s="322">
        <f>(P46*AR46+P47*AR47+P48*AR48+P49*AR49+P50*AR50+P51*AR51+P52*AR52+P53*AR53+P54*AR54+P55/9)*BX55</f>
        <v>339.710193261553</v>
      </c>
      <c r="BN49" s="322">
        <f>(Q46*AR46+Q47*AR47+Q48*AR48+Q49*AR49+Q50*AR50+Q51*AR51+Q52*AR52+Q53*AR53+Q54*AR54+Q55/9)*BX55</f>
        <v>34329.606575483442</v>
      </c>
      <c r="BO49" s="322">
        <f>(R46*AR46+R47*AR47+R48*AR48+R49*AR49+R50*AR50+R51*AR51+R52*AR52+R53*AR53+R54*AR54+R55/9)*BX55</f>
        <v>7656.6680175161064</v>
      </c>
      <c r="BP49" s="322">
        <f>(S46*AR46+S47*AR47+S48*AR48+S49*AR49+S50*AR50+S51*AR51+S52*AR52+S53*AR53+S54*AR54+S55/9)*BX55</f>
        <v>1630.4603883451343</v>
      </c>
      <c r="BQ49" s="322">
        <f>(T46*AR46+T47*AR47+T48*AR48+T49*AR49+T50*AR50+T51*AR51+T52*AR52+T53*AR53+T54*AR54+T55/9)*BX55</f>
        <v>2133.3310703474585</v>
      </c>
      <c r="BR49" s="322">
        <f>(U46*AR46+U47*AR47+U48*AR48+U49*AR49+U50*AR50+U51*AR51+U52*AR52+U53*AR53+U54*AR54+U55/9)*BX55</f>
        <v>4182.3694569966874</v>
      </c>
      <c r="BS49" s="322">
        <f>(V46*AR46+V47*AR47+V48*AR48+V49*AR49+V50*AR50+V51*AR51+V52*AR52+V53*AR53+V54*AR54+V55/9)*BX55</f>
        <v>495.28416015539341</v>
      </c>
      <c r="BT49" s="322">
        <f>(W46*AR46+W47*AR47+W48*AR48+W49*AR49+W50*AR50+W51*AR51+W52*AR52+W53*AR53+W54*AR54+W55/9)*BX55</f>
        <v>1780.4048610260172</v>
      </c>
      <c r="BU49" s="322">
        <f>(X46*AR46+X47*AR47+X48*AR48+X49*AR49+X50*AR50+X51*AR51+X52*AR52+X53*AR53+X54*AR54+X55/9)*BX55</f>
        <v>860.52275967145385</v>
      </c>
      <c r="BV49" s="322">
        <f>(Y46*AR46+Y47*AR47+Y48*AR48+Y49*AR49+Y50*AR50+Y51*AR51+Y52*AR52+Y53*AR53+Y54*AR54+Y55/9)*BX55</f>
        <v>727.78997883712282</v>
      </c>
      <c r="BW49" s="353">
        <f t="shared" si="76"/>
        <v>899.56726537446264</v>
      </c>
      <c r="BX49" s="339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20" t="s">
        <v>512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5">
        <f t="shared" si="72"/>
        <v>35579</v>
      </c>
      <c r="O50" s="320" t="s">
        <v>512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5">
        <f t="shared" si="73"/>
        <v>97698</v>
      </c>
      <c r="AB50" s="320" t="s">
        <v>512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5">
        <f t="shared" si="74"/>
        <v>35579</v>
      </c>
      <c r="AN50" s="320" t="s">
        <v>512</v>
      </c>
      <c r="AO50" s="332">
        <f t="shared" si="62"/>
        <v>3.4008825430731611E-3</v>
      </c>
      <c r="AP50" s="332">
        <f t="shared" si="63"/>
        <v>2.6982208606200287E-3</v>
      </c>
      <c r="AQ50" s="332">
        <f t="shared" si="64"/>
        <v>8.9659630681019706E-3</v>
      </c>
      <c r="AR50" s="332">
        <f t="shared" si="65"/>
        <v>2.6982208606200285E-2</v>
      </c>
      <c r="AS50" s="332">
        <f t="shared" si="66"/>
        <v>0.26625256471514097</v>
      </c>
      <c r="AT50" s="332">
        <f t="shared" si="67"/>
        <v>0.35863852272407881</v>
      </c>
      <c r="AU50" s="332">
        <f t="shared" si="68"/>
        <v>0.19418758256274768</v>
      </c>
      <c r="AV50" s="332">
        <f t="shared" si="69"/>
        <v>7.2880069704038902E-2</v>
      </c>
      <c r="AW50" s="333">
        <f t="shared" si="70"/>
        <v>6.5993985215998197E-2</v>
      </c>
      <c r="AY50" s="338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9"/>
      <c r="BJ50" s="339"/>
      <c r="BL50" s="347" t="s">
        <v>56</v>
      </c>
      <c r="BM50" s="321">
        <f>(P46*AS46+P47*AS47+P48*AS48+P49*AS49+P50*AS50+P51*AS51+P52*AS52+P53*AS53+P54*AS54+P55/9)*BX55</f>
        <v>1717.3043325018202</v>
      </c>
      <c r="BN50" s="321">
        <f>(Q46*AS46+Q47*AS47+Q48*AS48+Q49*AS49+Q50*AS50+Q51*AS51+Q52*AS52+Q53*AS53+Q54*AS54+Q55/9)*BX55</f>
        <v>163849.2594743463</v>
      </c>
      <c r="BO50" s="321">
        <f>(R46*AS46+R47*AS47+R48*AS48+R49*AS49+R50*AS50+R51*AS51+R52*AS52+R53*AS53+R54*AS54+R55/9)*BX55</f>
        <v>34460.956381660319</v>
      </c>
      <c r="BP50" s="321">
        <f>(S46*AS46+S47*AS47+S48*AS48+S49*AS49+S50*AS50+S51*AS51+S52*AS52+S53*AS53+S54*AS54+S55/9)*BX55</f>
        <v>6165.6039689902091</v>
      </c>
      <c r="BQ50" s="321">
        <f>(T46*AS46+T47*AS47+T48*AS48+T49*AS49+T50*AS50+T51*AS51+T52*AS52+T53*AS53+T54*AS54+T55/9)*BX55</f>
        <v>11165.449786910043</v>
      </c>
      <c r="BR50" s="321">
        <f>(U46*AS46+U47*AS47+U48*AS48+U49*AS49+U50*AS50+U51*AS51+U52*AS52+U53*AS53+U54*AS54+U55/9)*BX55</f>
        <v>21844.180894101482</v>
      </c>
      <c r="BS50" s="321">
        <f>(V46*AS46+V47*AS47+V48*AS48+V49*AS49+V50*AS50+V51*AS51+V52*AS52+V53*AS53+V54*AS54+V55/9)*BX55</f>
        <v>2381.5891297639673</v>
      </c>
      <c r="BT50" s="321">
        <f>(W46*AS46+W47*AS47+W48*AS48+W49*AS49+W50*AS50+W51*AS51+W52*AS52+W53*AS53+W54*AS54+W55/9)*BX55</f>
        <v>8282.3737471957593</v>
      </c>
      <c r="BU50" s="321">
        <f>(X46*AS46+X47*AS47+X48*AS48+X49*AS49+X50*AS50+X51*AS51+X52*AS52+X53*AS53+X54*AS54+X55/9)*BX55</f>
        <v>3026.8540899248737</v>
      </c>
      <c r="BV50" s="321">
        <f>(Y46*AS46+Y47*AS47+Y48*AS48+Y49*AS49+Y50*AS50+Y51*AS51+Y52*AS52+Y53*AS53+Y54*AS54+Y55/9)*BX55</f>
        <v>1574.4153368376396</v>
      </c>
      <c r="BW50" s="352">
        <f t="shared" si="76"/>
        <v>4588.0004920230322</v>
      </c>
      <c r="BX50" s="339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20" t="s">
        <v>513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5">
        <f t="shared" si="72"/>
        <v>33190</v>
      </c>
      <c r="O51" s="320" t="s">
        <v>513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5">
        <f t="shared" si="73"/>
        <v>86491</v>
      </c>
      <c r="AB51" s="320" t="s">
        <v>513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5">
        <f t="shared" si="74"/>
        <v>33190</v>
      </c>
      <c r="AN51" s="320" t="s">
        <v>513</v>
      </c>
      <c r="AO51" s="332">
        <f t="shared" si="62"/>
        <v>2.7116601385959627E-3</v>
      </c>
      <c r="AP51" s="332">
        <f t="shared" si="63"/>
        <v>2.8321783669780056E-3</v>
      </c>
      <c r="AQ51" s="332">
        <f t="shared" si="64"/>
        <v>9.1292557999397405E-3</v>
      </c>
      <c r="AR51" s="332">
        <f t="shared" si="65"/>
        <v>4.2151250376619466E-2</v>
      </c>
      <c r="AS51" s="332">
        <f t="shared" si="66"/>
        <v>0.36411569749924677</v>
      </c>
      <c r="AT51" s="332">
        <f t="shared" si="67"/>
        <v>0.39198553781259415</v>
      </c>
      <c r="AU51" s="332">
        <f t="shared" si="68"/>
        <v>0.12853269056944863</v>
      </c>
      <c r="AV51" s="332">
        <f t="shared" si="69"/>
        <v>3.4890027116601385E-2</v>
      </c>
      <c r="AW51" s="333">
        <f t="shared" si="70"/>
        <v>2.3651702319975897E-2</v>
      </c>
      <c r="AY51" s="338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9"/>
      <c r="BJ51" s="339"/>
      <c r="BL51" s="348" t="s">
        <v>58</v>
      </c>
      <c r="BM51" s="322">
        <f>(P46*AT46+P47*AT47+P48*AT48+P49*AT49+P50*AT50+P51*AT51+P52*AT52+P53*AT53+P54*AT54+P55/9)*BX55</f>
        <v>1831.7627226618804</v>
      </c>
      <c r="BN51" s="322">
        <f>(Q46*AT46+Q47*AT47+Q48*AT48+Q49*AT49+Q50*AT50+Q51*AT51+Q52*AT52+Q53*AT53+Q54*AT54+Q55/9)*BX55</f>
        <v>107228.36613155821</v>
      </c>
      <c r="BO51" s="322">
        <f>(R46*AT46+R47*AT47+R48*AT48+R49*AT49+R50*AT50+R51*AT51+R52*AT52+R53*AT53+R54*AT54+R55/9)*BX55</f>
        <v>19875.019913364118</v>
      </c>
      <c r="BP51" s="322">
        <f>(S46*AT46+S47*AT47+S48*AT48+S49*AT49+S50*AT50+S51*AT51+S52*AT52+S53*AT53+S54*AT54+S55/9)*BX55</f>
        <v>3174.547749852743</v>
      </c>
      <c r="BQ51" s="322">
        <f>(T46*AT46+T47*AT47+T48*AT48+T49*AT49+T50*AT50+T51*AT51+T52*AT52+T53*AT53+T54*AT54+T55/9)*BX55</f>
        <v>9373.7860686616386</v>
      </c>
      <c r="BR51" s="322">
        <f>(U46*AT46+U47*AT47+U48*AT48+U49*AT49+U50*AT50+U51*AT51+U52*AT52+U53*AT53+U54*AT54+U55/9)*BX55</f>
        <v>17614.816874518059</v>
      </c>
      <c r="BS51" s="322">
        <f>(V46*AT46+V47*AT47+V48*AT48+V49*AT49+V50*AT50+V51*AT51+V52*AT52+V53*AT53+V54*AT54+V55/9)*BX55</f>
        <v>1536.9749476527602</v>
      </c>
      <c r="BT51" s="322">
        <f>(W46*AT46+W47*AT47+W48*AT48+W49*AT49+W50*AT50+W51*AT51+W52*AT52+W53*AT53+W54*AT54+W55/9)*BX55</f>
        <v>5836.3108876834813</v>
      </c>
      <c r="BU51" s="322">
        <f>(X46*AT46+X47*AT47+X48*AT48+X49*AT49+X50*AT50+X51*AT51+X52*AT52+X53*AT53+X54*AT54+X55/9)*BX55</f>
        <v>1064.2402579545919</v>
      </c>
      <c r="BV51" s="322">
        <f>(Y46*AT46+Y47*AT47+Y48*AT48+Y49*AT49+Y50*AT50+Y51*AT51+Y52*AT52+Y53*AT53+Y54*AT54+Y55/9)*BX55</f>
        <v>1220.3313834667658</v>
      </c>
      <c r="BW51" s="353">
        <f t="shared" si="76"/>
        <v>3647.2126478736868</v>
      </c>
      <c r="BX51" s="339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20" t="s">
        <v>514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5">
        <f t="shared" si="72"/>
        <v>50159</v>
      </c>
      <c r="O52" s="320" t="s">
        <v>514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5">
        <f t="shared" si="73"/>
        <v>111455</v>
      </c>
      <c r="AB52" s="320" t="s">
        <v>514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5">
        <f t="shared" si="74"/>
        <v>50159</v>
      </c>
      <c r="AN52" s="320" t="s">
        <v>514</v>
      </c>
      <c r="AO52" s="332">
        <f t="shared" si="62"/>
        <v>1.9338503558683387E-3</v>
      </c>
      <c r="AP52" s="332">
        <f t="shared" si="63"/>
        <v>2.7313144201439421E-3</v>
      </c>
      <c r="AQ52" s="332">
        <f t="shared" si="64"/>
        <v>1.5151817221236468E-2</v>
      </c>
      <c r="AR52" s="332">
        <f t="shared" si="65"/>
        <v>7.5400227277258314E-2</v>
      </c>
      <c r="AS52" s="332">
        <f t="shared" si="66"/>
        <v>0.53719173029765344</v>
      </c>
      <c r="AT52" s="332">
        <f t="shared" si="67"/>
        <v>0.29113419326541595</v>
      </c>
      <c r="AU52" s="332">
        <f t="shared" si="68"/>
        <v>5.187503738112801E-2</v>
      </c>
      <c r="AV52" s="332">
        <f t="shared" si="69"/>
        <v>1.6348013317649873E-2</v>
      </c>
      <c r="AW52" s="333">
        <f t="shared" si="70"/>
        <v>8.2338164636456077E-3</v>
      </c>
      <c r="AY52" s="338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9"/>
      <c r="BJ52" s="339"/>
      <c r="BL52" s="347" t="s">
        <v>60</v>
      </c>
      <c r="BM52" s="321">
        <f>(P46*AU46+P47*AU47+P48*AU48+P49*AU49+P50*AU50+P51*AU51+P52*AU52+P53*AU53+P54*AU54+P55/9)*BX55</f>
        <v>1434.0866591059389</v>
      </c>
      <c r="BN52" s="321">
        <f>(Q46*AU46+Q47*AU47+Q48*AU48+Q49*AU49+Q50*AU50+Q51*AU51+Q52*AU52+Q53*AU53+Q54*AU54+Q55/9)*BX55</f>
        <v>50708.062237806495</v>
      </c>
      <c r="BO52" s="321">
        <f>(R46*AU46+R47*AU47+R48*AU48+R49*AU49+R50*AU50+R51*AU51+R52*AU52+R53*AU53+R54*AU54+R55/9)*BX55</f>
        <v>8524.8396225770775</v>
      </c>
      <c r="BP52" s="321">
        <f>(S46*AU46+S47*AU47+S48*AU48+S49*AU49+S50*AU50+S51*AU51+S52*AU52+S53*AU53+S54*AU54+S55/9)*BX55</f>
        <v>1630.6804634911505</v>
      </c>
      <c r="BQ52" s="321">
        <f>(T46*AU46+T47*AU47+T48*AU48+T49*AU49+T50*AU50+T51*AU51+T52*AU52+T53*AU53+T54*AU54+T55/9)*BX55</f>
        <v>5326.9003757247274</v>
      </c>
      <c r="BR52" s="321">
        <f>(U46*AU46+U47*AU47+U48*AU48+U49*AU49+U50*AU50+U51*AU51+U52*AU52+U53*AU53+U54*AU54+U55/9)*BX55</f>
        <v>9547.6157774056082</v>
      </c>
      <c r="BS52" s="321">
        <f>(V46*AU46+V47*AU47+V48*AU48+V49*AU49+V50*AU50+V51*AU51+V52*AU52+V53*AU53+V54*AU54+V55/9)*BX55</f>
        <v>671.14821463642295</v>
      </c>
      <c r="BT52" s="321">
        <f>(W46*AU46+W47*AU47+W48*AU48+W49*AU49+W50*AU50+W51*AU51+W52*AU52+W53*AU53+W54*AU54+W55/9)*BX55</f>
        <v>3290.2431310775041</v>
      </c>
      <c r="BU52" s="321">
        <f>(X46*AU46+X47*AU47+X48*AU48+X49*AU49+X50*AU50+X51*AU51+X52*AU52+X53*AU53+X54*AU54+X55/9)*BX55</f>
        <v>415.74437983152592</v>
      </c>
      <c r="BV52" s="321">
        <f>(Y46*AU46+Y47*AU47+Y48*AU48+Y49*AU49+Y50*AU50+Y51*AU51+Y52*AU52+Y53*AU53+Y54*AU54+Y55/9)*BX55</f>
        <v>867.28659244145547</v>
      </c>
      <c r="BW52" s="352">
        <f t="shared" si="76"/>
        <v>2018.3065871342042</v>
      </c>
      <c r="BX52" s="339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20" t="s">
        <v>547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5">
        <f t="shared" si="72"/>
        <v>69505</v>
      </c>
      <c r="O53" s="320" t="s">
        <v>547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5">
        <f t="shared" si="73"/>
        <v>175223</v>
      </c>
      <c r="AB53" s="320" t="s">
        <v>547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5">
        <f t="shared" si="74"/>
        <v>69518</v>
      </c>
      <c r="AN53" s="320" t="s">
        <v>547</v>
      </c>
      <c r="AO53" s="332">
        <f t="shared" si="62"/>
        <v>8.0842371759831978E-3</v>
      </c>
      <c r="AP53" s="332">
        <f t="shared" si="63"/>
        <v>2.1634684542132972E-2</v>
      </c>
      <c r="AQ53" s="332">
        <f t="shared" si="64"/>
        <v>6.4314278316407264E-2</v>
      </c>
      <c r="AR53" s="332">
        <f t="shared" si="65"/>
        <v>0.17850053223625537</v>
      </c>
      <c r="AS53" s="332">
        <f t="shared" si="66"/>
        <v>0.59025000719238185</v>
      </c>
      <c r="AT53" s="332">
        <f t="shared" si="67"/>
        <v>0.11120860784257315</v>
      </c>
      <c r="AU53" s="332">
        <f t="shared" si="68"/>
        <v>1.7232946862683046E-2</v>
      </c>
      <c r="AV53" s="332">
        <f t="shared" si="69"/>
        <v>5.8977530999165684E-3</v>
      </c>
      <c r="AW53" s="333">
        <f t="shared" si="70"/>
        <v>2.8769527316666187E-3</v>
      </c>
      <c r="AY53" s="338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9"/>
      <c r="BJ53" s="339"/>
      <c r="BL53" s="348" t="s">
        <v>62</v>
      </c>
      <c r="BM53" s="322">
        <f>(P46*AV46+P47*AV47+P48*AV48+P49*AV49+P50*AV50+P51*AV51+P52*AV52+P53*AV53+P54*AV54+P55/9)*BX55</f>
        <v>979.01102258318224</v>
      </c>
      <c r="BN53" s="322">
        <f>(Q46*AV46+Q47*AV47+Q48*AV48+Q49*AV49+Q50*AV50+Q51*AV51+Q52*AV52+Q53*AV53+Q54*AV54+Q55/9)*BX55</f>
        <v>26075.179869251067</v>
      </c>
      <c r="BO53" s="322">
        <f>(R46*AV46+R47*AV47+R48*AV48+R49*AV49+R50*AV50+R51*AV51+R52*AV52+R53*AV53+R54*AV54+R55/9)*BX55</f>
        <v>4225.276326032139</v>
      </c>
      <c r="BP53" s="322">
        <f>(S46*AV46+S47*AV47+S48*AV48+S49*AV49+S50*AV50+S51*AV51+S52*AV52+S53*AV53+S54*AV54+S55/9)*BX55</f>
        <v>978.25476954413898</v>
      </c>
      <c r="BQ53" s="322">
        <f>(T46*AV46+T47*AV47+T48*AV48+T49*AV49+T50*AV50+T51*AV51+T52*AV52+T53*AV53+T54*AV54+T55/9)*BX55</f>
        <v>3058.2290387389176</v>
      </c>
      <c r="BR53" s="322">
        <f>(U46*AV46+U47*AV47+U48*AV48+U49*AV49+U50*AV50+U51*AV51+U52*AV52+U53*AV53+U54*AV54+U55/9)*BX55</f>
        <v>5279.6430082449397</v>
      </c>
      <c r="BS53" s="322">
        <f>(V46*AV46+V47*AV47+V48*AV48+V49*AV49+V50*AV50+V51*AV51+V52*AV52+V53*AV53+V54*AV54+V55/9)*BX55</f>
        <v>322.72552952734486</v>
      </c>
      <c r="BT53" s="322">
        <f>(W46*AV46+W47*AV47+W48*AV48+W49*AV49+W50*AV50+W51*AV51+W52*AV52+W53*AV53+W54*AV54+W55/9)*BX55</f>
        <v>1942.6334572594192</v>
      </c>
      <c r="BU53" s="322">
        <f>(X46*AV46+X47*AV47+X48*AV48+X49*AV49+X50*AV50+X51*AV51+X52*AV52+X53*AV53+X54*AV54+X55/9)*BX55</f>
        <v>222.55130864377296</v>
      </c>
      <c r="BV53" s="322">
        <f>(Y46*AV46+Y47*AV47+Y48*AV48+Y49*AV49+Y50*AV50+Y51*AV51+Y52*AV52+Y53*AV53+Y54*AV54+Y55/9)*BX55</f>
        <v>699.31593082170093</v>
      </c>
      <c r="BW53" s="353">
        <f t="shared" si="76"/>
        <v>1142.2783893603639</v>
      </c>
      <c r="BX53" s="339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20" t="s">
        <v>548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5">
        <f t="shared" si="72"/>
        <v>10694</v>
      </c>
      <c r="O54" s="320" t="s">
        <v>548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5">
        <f t="shared" si="73"/>
        <v>18050</v>
      </c>
      <c r="AB54" s="320" t="s">
        <v>548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5">
        <f t="shared" si="74"/>
        <v>10694</v>
      </c>
      <c r="AN54" s="331" t="s">
        <v>548</v>
      </c>
      <c r="AO54" s="334">
        <f t="shared" si="62"/>
        <v>0.81307275107536936</v>
      </c>
      <c r="AP54" s="334">
        <f t="shared" si="63"/>
        <v>8.6777632317187214E-2</v>
      </c>
      <c r="AQ54" s="334">
        <f t="shared" si="64"/>
        <v>5.0869646530764916E-2</v>
      </c>
      <c r="AR54" s="334">
        <f t="shared" si="65"/>
        <v>2.9455769590424539E-2</v>
      </c>
      <c r="AS54" s="334">
        <f t="shared" si="66"/>
        <v>1.6457826818776885E-2</v>
      </c>
      <c r="AT54" s="334">
        <f t="shared" si="67"/>
        <v>2.8988217692163831E-3</v>
      </c>
      <c r="AU54" s="334">
        <f t="shared" si="68"/>
        <v>1.8702075930428279E-4</v>
      </c>
      <c r="AV54" s="334">
        <f t="shared" si="69"/>
        <v>1.8702075930428279E-4</v>
      </c>
      <c r="AW54" s="335">
        <f t="shared" si="70"/>
        <v>9.3510379652141394E-5</v>
      </c>
      <c r="AY54" s="338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9"/>
      <c r="BJ54" s="339"/>
      <c r="BL54" s="347" t="s">
        <v>64</v>
      </c>
      <c r="BM54" s="321">
        <f>(P46*AW46+P47*AW47+P48*AW48+P49*AW49+P50*AW50+P51*AW51+P52*AW52+P53*AW53+P54*AW54+P55/9)*BX55</f>
        <v>2351.3485137849739</v>
      </c>
      <c r="BN54" s="321">
        <f>(Q46*AW46+Q47*AW47+Q48*AW48+Q49*AW49+Q50*AW50+Q51*AW51+Q52*AW52+Q53*AW53+Q54*AW54+Q55/9)*BX55</f>
        <v>46077.565776507807</v>
      </c>
      <c r="BO54" s="321">
        <f>(R46*AW46+R47*AW47+R48*AW48+R49*AW49+R50*AW50+R51*AW51+R52*AW52+R53*AW53+R54*AW54+R55/9)*BX55</f>
        <v>6457.2580532124321</v>
      </c>
      <c r="BP54" s="321">
        <f>(S46*AW46+S47*AW47+S48*AW48+S49*AW49+S50*AW50+S51*AW51+S52*AW52+S53*AW53+S54*AW54+S55/9)*BX55</f>
        <v>1889.9266450969924</v>
      </c>
      <c r="BQ54" s="321">
        <f>(T46*AW46+T47*AW47+T48*AW48+T49*AW49+T50*AW50+T51*AW51+T52*AW52+T53*AW53+T54*AW54+T55/9)*BX55</f>
        <v>6220.7575084115815</v>
      </c>
      <c r="BR54" s="321">
        <f>(U46*AW46+U47*AW47+U48*AW48+U49*AW49+U50*AW50+U51*AW51+U52*AW52+U53*AW53+U54*AW54+U55/9)*BX55</f>
        <v>10428.842482396285</v>
      </c>
      <c r="BS54" s="321">
        <f>(V46*AW46+V47*AW47+V48*AW48+V49*AW49+V50*AW50+V51*AW51+V52*AW52+V53*AW53+V54*AW54+V55/9)*BX55</f>
        <v>544.83710932033034</v>
      </c>
      <c r="BT54" s="321">
        <f>(W46*AW46+W47*AW47+W48*AW48+W49*AW49+W50*AW50+W51*AW51+W52*AW52+W53*AW53+W54*AW54+W55/9)*BX55</f>
        <v>4156.243002770133</v>
      </c>
      <c r="BU54" s="321">
        <f>(X46*AW46+X47*AW47+X48*AW48+X49*AW49+X50*AW50+X51*AW51+X52*AW52+X53*AW53+X54*AW54+X55/9)*BX55</f>
        <v>405.7219616432771</v>
      </c>
      <c r="BV54" s="321">
        <f>(Y46*AW46+Y47*AW47+Y48*AW48+Y49*AW49+Y50*AW50+Y51*AW51+Y52*AW52+Y53*AW53+Y54*AW54+Y55/9)*BX55</f>
        <v>885.83814118840837</v>
      </c>
      <c r="BW54" s="352">
        <f t="shared" si="76"/>
        <v>2311.7603326197777</v>
      </c>
      <c r="BX54" s="341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26" t="s">
        <v>549</v>
      </c>
      <c r="C55" s="327">
        <f t="shared" ref="C55:L55" si="83">SUM(C46:C54)</f>
        <v>0</v>
      </c>
      <c r="D55" s="327">
        <f t="shared" si="83"/>
        <v>184568</v>
      </c>
      <c r="E55" s="327">
        <f t="shared" si="83"/>
        <v>41651</v>
      </c>
      <c r="F55" s="327">
        <f t="shared" si="83"/>
        <v>17895</v>
      </c>
      <c r="G55" s="327">
        <f t="shared" si="83"/>
        <v>1595</v>
      </c>
      <c r="H55" s="327">
        <f t="shared" si="83"/>
        <v>771</v>
      </c>
      <c r="I55" s="327">
        <f t="shared" si="83"/>
        <v>5856</v>
      </c>
      <c r="J55" s="327">
        <f t="shared" si="83"/>
        <v>1317</v>
      </c>
      <c r="K55" s="327">
        <f t="shared" si="83"/>
        <v>11635</v>
      </c>
      <c r="L55" s="327">
        <f t="shared" si="83"/>
        <v>190</v>
      </c>
      <c r="M55" s="328">
        <f>SUM(C55:L55)</f>
        <v>265478</v>
      </c>
      <c r="O55" s="320" t="s">
        <v>359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5">
        <f>SUM(P55:Y55)</f>
        <v>20596</v>
      </c>
      <c r="AB55" s="326" t="s">
        <v>218</v>
      </c>
      <c r="AC55" s="327">
        <f t="shared" ref="AC55:AL55" si="85">SUM(AC46:AC54)</f>
        <v>9878</v>
      </c>
      <c r="AD55" s="327">
        <f t="shared" si="85"/>
        <v>3037</v>
      </c>
      <c r="AE55" s="327">
        <f t="shared" si="85"/>
        <v>7052</v>
      </c>
      <c r="AF55" s="327">
        <f t="shared" si="85"/>
        <v>20170</v>
      </c>
      <c r="AG55" s="327">
        <f t="shared" si="85"/>
        <v>97809</v>
      </c>
      <c r="AH55" s="327">
        <f t="shared" si="85"/>
        <v>61656</v>
      </c>
      <c r="AI55" s="327">
        <f t="shared" si="85"/>
        <v>27666</v>
      </c>
      <c r="AJ55" s="327">
        <f t="shared" si="85"/>
        <v>13787</v>
      </c>
      <c r="AK55" s="327">
        <f t="shared" si="85"/>
        <v>24436</v>
      </c>
      <c r="AL55" s="328">
        <f t="shared" si="85"/>
        <v>265491</v>
      </c>
      <c r="AY55" s="338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9"/>
      <c r="BJ55" s="339"/>
      <c r="BL55" s="331"/>
      <c r="BM55" s="349"/>
      <c r="BN55" s="349"/>
      <c r="BO55" s="349"/>
      <c r="BP55" s="349"/>
      <c r="BQ55" s="349"/>
      <c r="BR55" s="349"/>
      <c r="BS55" s="349"/>
      <c r="BT55" s="349"/>
      <c r="BU55" s="349"/>
      <c r="BV55" s="349"/>
      <c r="BW55" s="349"/>
      <c r="BX55" s="350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58" t="s">
        <v>507</v>
      </c>
      <c r="C56" t="s">
        <v>393</v>
      </c>
      <c r="D56" t="s">
        <v>297</v>
      </c>
      <c r="E56" t="s">
        <v>44</v>
      </c>
      <c r="F56" t="s">
        <v>46</v>
      </c>
      <c r="O56" s="326" t="s">
        <v>549</v>
      </c>
      <c r="P56" s="327">
        <f t="shared" ref="P56:Y56" si="87">SUM(P46:P55)</f>
        <v>8850</v>
      </c>
      <c r="Q56" s="327">
        <f t="shared" si="87"/>
        <v>445404</v>
      </c>
      <c r="R56" s="327">
        <f t="shared" si="87"/>
        <v>85670</v>
      </c>
      <c r="S56" s="327">
        <f t="shared" si="87"/>
        <v>18348</v>
      </c>
      <c r="T56" s="327">
        <f t="shared" si="87"/>
        <v>38120</v>
      </c>
      <c r="U56" s="327">
        <f t="shared" si="87"/>
        <v>70819</v>
      </c>
      <c r="V56" s="327">
        <f t="shared" si="87"/>
        <v>6209</v>
      </c>
      <c r="W56" s="327">
        <f t="shared" si="87"/>
        <v>26591</v>
      </c>
      <c r="X56" s="327">
        <f t="shared" si="87"/>
        <v>7587</v>
      </c>
      <c r="Y56" s="327">
        <f t="shared" si="87"/>
        <v>7535</v>
      </c>
      <c r="Z56" s="328">
        <f>SUM(P56:Y56)</f>
        <v>715133</v>
      </c>
      <c r="AY56" s="338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9"/>
      <c r="BJ56" s="339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20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9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08" t="s">
        <v>555</v>
      </c>
      <c r="D58">
        <v>2</v>
      </c>
      <c r="E58">
        <v>3</v>
      </c>
      <c r="F58">
        <v>8</v>
      </c>
      <c r="AY58" s="342" t="s">
        <v>218</v>
      </c>
      <c r="AZ58" s="306">
        <f t="shared" ref="AZ58:BH58" si="90">SUM(AZ48:AZ57)</f>
        <v>20117.182959087979</v>
      </c>
      <c r="BA58" s="306">
        <f t="shared" si="90"/>
        <v>9312.8343538743684</v>
      </c>
      <c r="BB58" s="306">
        <f t="shared" si="90"/>
        <v>19833.118653331825</v>
      </c>
      <c r="BC58" s="306">
        <f t="shared" si="90"/>
        <v>52780.069145095433</v>
      </c>
      <c r="BD58" s="306">
        <f t="shared" si="90"/>
        <v>248093.71531465303</v>
      </c>
      <c r="BE58" s="306">
        <f t="shared" si="90"/>
        <v>164528.91551114636</v>
      </c>
      <c r="BF58" s="306">
        <f t="shared" si="90"/>
        <v>80352.120424042965</v>
      </c>
      <c r="BG58" s="306">
        <f t="shared" si="90"/>
        <v>42686.086636690146</v>
      </c>
      <c r="BH58" s="306">
        <f t="shared" si="90"/>
        <v>77428.957002077819</v>
      </c>
      <c r="BI58" s="306">
        <f>SUM(AZ58:BH58)</f>
        <v>715133</v>
      </c>
      <c r="BJ58" s="343">
        <v>1.0129999999999999</v>
      </c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44" t="s">
        <v>294</v>
      </c>
      <c r="AZ59" s="327">
        <f t="shared" ref="AZ59:BH59" si="91">AZ58*$BJ$32</f>
        <v>20378.706337556119</v>
      </c>
      <c r="BA59" s="327">
        <f t="shared" si="91"/>
        <v>9433.9012004747347</v>
      </c>
      <c r="BB59" s="327">
        <f t="shared" si="91"/>
        <v>20090.949195825138</v>
      </c>
      <c r="BC59" s="327">
        <f t="shared" si="91"/>
        <v>53466.210043981671</v>
      </c>
      <c r="BD59" s="327">
        <f t="shared" si="91"/>
        <v>251318.93361374349</v>
      </c>
      <c r="BE59" s="327">
        <f t="shared" si="91"/>
        <v>166667.79141279124</v>
      </c>
      <c r="BF59" s="327">
        <f t="shared" si="91"/>
        <v>81396.697989555512</v>
      </c>
      <c r="BG59" s="327">
        <f t="shared" si="91"/>
        <v>43241.005762967114</v>
      </c>
      <c r="BH59" s="327">
        <f t="shared" si="91"/>
        <v>78435.533443104825</v>
      </c>
      <c r="BI59" s="345">
        <f>SUM(AZ59:BH59)</f>
        <v>724429.72899999993</v>
      </c>
      <c r="BJ59" s="346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04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08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122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122">
        <v>19285</v>
      </c>
      <c r="F126" s="122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122">
        <v>2773</v>
      </c>
      <c r="F132" s="122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122">
        <v>3503</v>
      </c>
      <c r="E141" s="122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122">
        <v>14405</v>
      </c>
      <c r="F142" s="122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122">
        <v>2892</v>
      </c>
      <c r="F148" s="122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122">
        <v>19202</v>
      </c>
      <c r="F160" s="122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122">
        <v>3271</v>
      </c>
      <c r="F166" s="122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122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122"/>
      <c r="F176" s="122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122"/>
      <c r="E178" s="122">
        <v>2</v>
      </c>
      <c r="F178" s="122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122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122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122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122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122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122">
        <v>1</v>
      </c>
      <c r="E192" s="122"/>
      <c r="F192" s="122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122">
        <v>1018</v>
      </c>
      <c r="F196" s="122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38"/>
  <sheetViews>
    <sheetView topLeftCell="A3" workbookViewId="0">
      <selection activeCell="J18" sqref="J18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9.7109375" style="25" bestFit="1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10" t="s">
        <v>230</v>
      </c>
      <c r="D2" s="510"/>
      <c r="M2" s="510" t="s">
        <v>230</v>
      </c>
      <c r="N2" s="511"/>
    </row>
    <row r="3" spans="1:21" ht="15">
      <c r="C3" s="19" t="s">
        <v>765</v>
      </c>
      <c r="D3" s="19"/>
      <c r="E3" s="513"/>
      <c r="F3" s="513"/>
      <c r="G3" s="513"/>
      <c r="H3" s="513"/>
      <c r="I3" s="513"/>
      <c r="J3" s="513"/>
      <c r="K3" s="512"/>
      <c r="M3" s="19" t="s">
        <v>765</v>
      </c>
      <c r="N3" s="19"/>
      <c r="O3" s="19"/>
      <c r="P3" s="19"/>
      <c r="Q3" s="19"/>
      <c r="R3" s="19"/>
      <c r="S3" s="19"/>
      <c r="T3" s="19"/>
      <c r="U3" s="512"/>
    </row>
    <row r="4" spans="1:21" ht="15.75" thickBot="1">
      <c r="C4" s="20" t="s">
        <v>231</v>
      </c>
      <c r="D4" s="20" t="s">
        <v>766</v>
      </c>
      <c r="E4" s="20" t="s">
        <v>232</v>
      </c>
      <c r="F4" s="20" t="s">
        <v>233</v>
      </c>
      <c r="G4" s="20" t="s">
        <v>234</v>
      </c>
      <c r="H4" s="20" t="s">
        <v>235</v>
      </c>
      <c r="I4" s="20" t="s">
        <v>236</v>
      </c>
      <c r="J4" s="20" t="s">
        <v>237</v>
      </c>
      <c r="K4" s="20" t="s">
        <v>238</v>
      </c>
      <c r="M4" s="20" t="s">
        <v>231</v>
      </c>
      <c r="N4" s="20" t="s">
        <v>766</v>
      </c>
      <c r="O4" s="20" t="s">
        <v>232</v>
      </c>
      <c r="P4" s="20" t="s">
        <v>233</v>
      </c>
      <c r="Q4" s="20" t="s">
        <v>234</v>
      </c>
      <c r="R4" s="20" t="s">
        <v>235</v>
      </c>
      <c r="S4" s="20" t="s">
        <v>236</v>
      </c>
      <c r="T4" s="20" t="s">
        <v>237</v>
      </c>
      <c r="U4" s="20" t="s">
        <v>238</v>
      </c>
    </row>
    <row r="5" spans="1:21" ht="36.75" customHeight="1" thickBot="1">
      <c r="C5" s="257" t="s">
        <v>239</v>
      </c>
      <c r="D5" s="257" t="s">
        <v>767</v>
      </c>
      <c r="E5" s="257" t="s">
        <v>240</v>
      </c>
      <c r="F5" s="257" t="s">
        <v>241</v>
      </c>
      <c r="G5" s="258" t="s">
        <v>234</v>
      </c>
      <c r="H5" s="258" t="s">
        <v>242</v>
      </c>
      <c r="I5" s="258" t="s">
        <v>243</v>
      </c>
      <c r="J5" s="258" t="s">
        <v>244</v>
      </c>
      <c r="K5" s="258" t="s">
        <v>245</v>
      </c>
      <c r="M5" s="257" t="s">
        <v>239</v>
      </c>
      <c r="N5" s="257" t="s">
        <v>767</v>
      </c>
      <c r="O5" s="257" t="s">
        <v>240</v>
      </c>
      <c r="P5" s="257" t="s">
        <v>241</v>
      </c>
      <c r="Q5" s="257" t="s">
        <v>234</v>
      </c>
      <c r="R5" s="257" t="s">
        <v>242</v>
      </c>
      <c r="S5" s="257" t="s">
        <v>243</v>
      </c>
      <c r="T5" s="257" t="s">
        <v>244</v>
      </c>
      <c r="U5" s="257" t="s">
        <v>245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_xlfn.TEXTJOIN(",",TRUE,IF(LEFT(Regions!$C$3,1)&lt;&gt;"*",Regions!$C$3,""),IF(LEFT(Regions!$D$3,1)&lt;&gt;"*",Regions!$D$3,""))</f>
        <v>IE,National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246</v>
      </c>
      <c r="J6" s="25" t="s">
        <v>246</v>
      </c>
      <c r="K6" s="25" t="s">
        <v>246</v>
      </c>
      <c r="M6" s="238" t="s">
        <v>247</v>
      </c>
      <c r="N6" s="238" t="str">
        <f>_xlfn.TEXTJOIN(",",TRUE,IF(LEFT(Regions!$C$3,1)&lt;&gt;"*",Regions!$C$3,""),IF(LEFT(Regions!$D$3,1)&lt;&gt;"*",Regions!$D$3,""))</f>
        <v>IE,National</v>
      </c>
      <c r="O6" s="238" t="str">
        <f>_xlfn.TEXTJOIN("",TRUE,SETUP!B$3,"_",SETUP!B36)</f>
        <v>RSD_Apt</v>
      </c>
      <c r="P6" s="238" t="str">
        <f>_xlfn.TEXTJOIN(" ",TRUE,SETUP!C$3,SETUP!C36, "Demand")</f>
        <v>Residential Apartment Demand</v>
      </c>
      <c r="Q6" s="238" t="s">
        <v>248</v>
      </c>
      <c r="R6" s="238" t="s">
        <v>827</v>
      </c>
      <c r="S6" s="238"/>
      <c r="T6" s="238"/>
      <c r="U6" s="238"/>
    </row>
    <row r="7" spans="1:21">
      <c r="A7" s="25" t="str">
        <f>TRIM(SETUP!A9)</f>
        <v/>
      </c>
      <c r="C7" s="25" t="str">
        <f t="shared" ref="C7:C25" si="0">A7&amp;"NRG"</f>
        <v>NRG</v>
      </c>
      <c r="D7" s="25" t="str">
        <f>_xlfn.TEXTJOIN(",",TRUE,IF(LEFT(Regions!$C$3,1)&lt;&gt;"*",Regions!$C$3,""),IF(LEFT(Regions!$D$3,1)&lt;&gt;"*",Regions!$D$3,""))</f>
        <v>IE,National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247</v>
      </c>
      <c r="N7" s="25" t="str">
        <f>_xlfn.TEXTJOIN(",",TRUE,IF(LEFT(Regions!$C$3,1)&lt;&gt;"*",Regions!$C$3,""),IF(LEFT(Regions!$D$3,1)&lt;&gt;"*",Regions!$D$3,""))</f>
        <v>IE,National</v>
      </c>
      <c r="O7" s="25" t="str">
        <f>_xlfn.TEXTJOIN("",TRUE,SETUP!B$3,"_",SETUP!B37)</f>
        <v>RSD_Att</v>
      </c>
      <c r="P7" s="25" t="str">
        <f>_xlfn.TEXTJOIN(" ",TRUE,SETUP!C$3,SETUP!C37, "Demand")</f>
        <v>Residential Attached Demand</v>
      </c>
      <c r="Q7" s="25" t="s">
        <v>248</v>
      </c>
      <c r="R7" s="25" t="s">
        <v>827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_xlfn.TEXTJOIN(",",TRUE,IF(LEFT(Regions!$C$3,1)&lt;&gt;"*",Regions!$C$3,""),IF(LEFT(Regions!$D$3,1)&lt;&gt;"*",Regions!$D$3,""))</f>
        <v>IE,National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247</v>
      </c>
      <c r="N8" s="239" t="str">
        <f>_xlfn.TEXTJOIN(",",TRUE,IF(LEFT(Regions!$C$3,1)&lt;&gt;"*",Regions!$C$3,""),IF(LEFT(Regions!$D$3,1)&lt;&gt;"*",Regions!$D$3,""))</f>
        <v>IE,National</v>
      </c>
      <c r="O8" s="239" t="str">
        <f>_xlfn.TEXTJOIN("",TRUE,SETUP!B$3,"_",SETUP!B38)</f>
        <v>RSD_Det</v>
      </c>
      <c r="P8" s="239" t="str">
        <f>_xlfn.TEXTJOIN(" ",TRUE,SETUP!C$3,SETUP!C38, "Demand")</f>
        <v>Residential Detached Demand</v>
      </c>
      <c r="Q8" s="239" t="s">
        <v>248</v>
      </c>
      <c r="R8" s="239" t="s">
        <v>827</v>
      </c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_xlfn.TEXTJOIN(",",TRUE,IF(LEFT(Regions!$C$3,1)&lt;&gt;"*",Regions!$C$3,""),IF(LEFT(Regions!$D$3,1)&lt;&gt;"*",Regions!$D$3,""))</f>
        <v>IE,National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250</v>
      </c>
      <c r="N9" s="25" t="str">
        <f>_xlfn.TEXTJOIN(",",TRUE,IF(LEFT(Regions!$C$3,1)&lt;&gt;"*",Regions!$C$3,""),IF(LEFT(Regions!$D$3,1)&lt;&gt;"*",Regions!$D$3,""))</f>
        <v>IE,National</v>
      </c>
      <c r="O9" s="25" t="str">
        <f>_xlfn.TEXTJOIN("",TRUE,SETUP!B$3,SETUP!B$50,"_",SETUP!B$36,"-AB")</f>
        <v>RSDSH_Apt-AB</v>
      </c>
      <c r="P9" s="25" t="str">
        <f>_xlfn.TEXTJOIN(" ",TRUE,SETUP!C$3,SETUP!C$50,SETUP!C$36)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_xlfn.TEXTJOIN(",",TRUE,IF(LEFT(Regions!$C$3,1)&lt;&gt;"*",Regions!$C$3,""),IF(LEFT(Regions!$D$3,1)&lt;&gt;"*",Regions!$D$3,""))</f>
        <v>IE,National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250</v>
      </c>
      <c r="N10" s="25" t="str">
        <f>_xlfn.TEXTJOIN(",",TRUE,IF(LEFT(Regions!$C$3,1)&lt;&gt;"*",Regions!$C$3,""),IF(LEFT(Regions!$D$3,1)&lt;&gt;"*",Regions!$D$3,""))</f>
        <v>IE,National</v>
      </c>
      <c r="O10" s="25" t="str">
        <f>_xlfn.TEXTJOIN("",TRUE,SETUP!B$3,SETUP!B$50,"_",SETUP!B$37,"-AB")</f>
        <v>RSDSH_Att-AB</v>
      </c>
      <c r="P10" s="25" t="str">
        <f>_xlfn.TEXTJOIN(" ",TRUE,SETUP!C$3,SETUP!C$50,SETUP!C$37)</f>
        <v>Residential Space Heating Attached</v>
      </c>
      <c r="Q10" s="25" t="s">
        <v>13</v>
      </c>
    </row>
    <row r="11" spans="1:21" ht="13.5" thickBot="1">
      <c r="A11" s="25" t="s">
        <v>254</v>
      </c>
      <c r="C11" s="25" t="str">
        <f t="shared" si="0"/>
        <v>*NRG</v>
      </c>
      <c r="D11" s="25" t="str">
        <f>_xlfn.TEXTJOIN(",",TRUE,IF(LEFT(Regions!$C$3,1)&lt;&gt;"*",Regions!$C$3,""),IF(LEFT(Regions!$D$3,1)&lt;&gt;"*",Regions!$D$3,""))</f>
        <v>IE,National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250</v>
      </c>
      <c r="N11" s="239" t="str">
        <f>_xlfn.TEXTJOIN(",",TRUE,IF(LEFT(Regions!$C$3,1)&lt;&gt;"*",Regions!$C$3,""),IF(LEFT(Regions!$D$3,1)&lt;&gt;"*",Regions!$D$3,""))</f>
        <v>IE,National</v>
      </c>
      <c r="O11" s="239" t="str">
        <f>_xlfn.TEXTJOIN("",TRUE,SETUP!B$3,SETUP!B$50,"_",SETUP!B$38,"-AB")</f>
        <v>RSDSH_Det-AB</v>
      </c>
      <c r="P11" s="239" t="str">
        <f>_xlfn.TEXTJOIN(" ",TRUE,SETUP!C$3,SETUP!C$50,SETUP!C$38)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254</v>
      </c>
      <c r="C12" s="25" t="str">
        <f t="shared" si="0"/>
        <v>*NRG</v>
      </c>
      <c r="D12" s="25" t="str">
        <f>_xlfn.TEXTJOIN(",",TRUE,IF(LEFT(Regions!$C$3,1)&lt;&gt;"*",Regions!$C$3,""),IF(LEFT(Regions!$D$3,1)&lt;&gt;"*",Regions!$D$3,""))</f>
        <v>IE,National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250</v>
      </c>
      <c r="N12" s="25" t="str">
        <f>_xlfn.TEXTJOIN(",",TRUE,IF(LEFT(Regions!$C$3,1)&lt;&gt;"*",Regions!$C$3,""),IF(LEFT(Regions!$D$3,1)&lt;&gt;"*",Regions!$D$3,""))</f>
        <v>IE,National</v>
      </c>
      <c r="O12" s="25" t="str">
        <f>_xlfn.TEXTJOIN("",TRUE,SETUP!B$3,SETUP!B$50,"_",SETUP!B$36,"-C")</f>
        <v>RSDSH_Apt-C</v>
      </c>
      <c r="P12" s="25" t="str">
        <f>_xlfn.TEXTJOIN(" ",TRUE,SETUP!C$3,SETUP!C$50,SETUP!C$36)</f>
        <v>Residential Space Heating Apartment</v>
      </c>
      <c r="Q12" s="25" t="s">
        <v>13</v>
      </c>
    </row>
    <row r="13" spans="1:21">
      <c r="A13" s="25" t="s">
        <v>254</v>
      </c>
      <c r="C13" s="25" t="str">
        <f t="shared" si="0"/>
        <v>*NRG</v>
      </c>
      <c r="D13" s="25" t="str">
        <f>_xlfn.TEXTJOIN(",",TRUE,IF(LEFT(Regions!$C$3,1)&lt;&gt;"*",Regions!$C$3,""),IF(LEFT(Regions!$D$3,1)&lt;&gt;"*",Regions!$D$3,""))</f>
        <v>IE,National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250</v>
      </c>
      <c r="N13" s="25" t="str">
        <f>_xlfn.TEXTJOIN(",",TRUE,IF(LEFT(Regions!$C$3,1)&lt;&gt;"*",Regions!$C$3,""),IF(LEFT(Regions!$D$3,1)&lt;&gt;"*",Regions!$D$3,""))</f>
        <v>IE,National</v>
      </c>
      <c r="O13" s="25" t="str">
        <f>_xlfn.TEXTJOIN("",TRUE,SETUP!B$3,SETUP!B$50,"_",SETUP!B$37,"-C")</f>
        <v>RSDSH_Att-C</v>
      </c>
      <c r="P13" s="25" t="str">
        <f>_xlfn.TEXTJOIN(" ",TRUE,SETUP!C$3,SETUP!C$50,SETUP!C$37)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_xlfn.TEXTJOIN(",",TRUE,IF(LEFT(Regions!$C$3,1)&lt;&gt;"*",Regions!$C$3,""),IF(LEFT(Regions!$D$3,1)&lt;&gt;"*",Regions!$D$3,""))</f>
        <v>IE,National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250</v>
      </c>
      <c r="N14" s="239" t="str">
        <f>_xlfn.TEXTJOIN(",",TRUE,IF(LEFT(Regions!$C$3,1)&lt;&gt;"*",Regions!$C$3,""),IF(LEFT(Regions!$D$3,1)&lt;&gt;"*",Regions!$D$3,""))</f>
        <v>IE,National</v>
      </c>
      <c r="O14" s="239" t="str">
        <f>_xlfn.TEXTJOIN("",TRUE,SETUP!B$3,SETUP!B$50,"_",SETUP!B$38,"-C")</f>
        <v>RSDSH_Det-C</v>
      </c>
      <c r="P14" s="239" t="str">
        <f>_xlfn.TEXTJOIN(" ",TRUE,SETUP!C$3,SETUP!C$50,SETUP!C$38)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_xlfn.TEXTJOIN(",",TRUE,IF(LEFT(Regions!$C$3,1)&lt;&gt;"*",Regions!$C$3,""),IF(LEFT(Regions!$D$3,1)&lt;&gt;"*",Regions!$D$3,""))</f>
        <v>IE,National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250</v>
      </c>
      <c r="N15" s="25" t="str">
        <f>_xlfn.TEXTJOIN(",",TRUE,IF(LEFT(Regions!$C$3,1)&lt;&gt;"*",Regions!$C$3,""),IF(LEFT(Regions!$D$3,1)&lt;&gt;"*",Regions!$D$3,""))</f>
        <v>IE,National</v>
      </c>
      <c r="O15" s="25" t="str">
        <f>_xlfn.TEXTJOIN("",TRUE,SETUP!B$3,SETUP!B$50,"_",SETUP!B$36,"-D")</f>
        <v>RSDSH_Apt-D</v>
      </c>
      <c r="P15" s="25" t="str">
        <f>_xlfn.TEXTJOIN(" ",TRUE,SETUP!C$3,SETUP!C$50,SETUP!C$36)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_xlfn.TEXTJOIN(",",TRUE,IF(LEFT(Regions!$C$3,1)&lt;&gt;"*",Regions!$C$3,""),IF(LEFT(Regions!$D$3,1)&lt;&gt;"*",Regions!$D$3,""))</f>
        <v>IE,National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250</v>
      </c>
      <c r="N16" s="25" t="str">
        <f>_xlfn.TEXTJOIN(",",TRUE,IF(LEFT(Regions!$C$3,1)&lt;&gt;"*",Regions!$C$3,""),IF(LEFT(Regions!$D$3,1)&lt;&gt;"*",Regions!$D$3,""))</f>
        <v>IE,National</v>
      </c>
      <c r="O16" s="25" t="str">
        <f>_xlfn.TEXTJOIN("",TRUE,SETUP!B$3,SETUP!B$50,"_",SETUP!B$37,"-D")</f>
        <v>RSDSH_Att-D</v>
      </c>
      <c r="P16" s="25" t="str">
        <f>_xlfn.TEXTJOIN(" ",TRUE,SETUP!C$3,SETUP!C$50,SETUP!C$37)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_xlfn.TEXTJOIN(",",TRUE,IF(LEFT(Regions!$C$3,1)&lt;&gt;"*",Regions!$C$3,""),IF(LEFT(Regions!$D$3,1)&lt;&gt;"*",Regions!$D$3,""))</f>
        <v>IE,National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250</v>
      </c>
      <c r="N17" s="239" t="str">
        <f>_xlfn.TEXTJOIN(",",TRUE,IF(LEFT(Regions!$C$3,1)&lt;&gt;"*",Regions!$C$3,""),IF(LEFT(Regions!$D$3,1)&lt;&gt;"*",Regions!$D$3,""))</f>
        <v>IE,National</v>
      </c>
      <c r="O17" s="239" t="str">
        <f>_xlfn.TEXTJOIN("",TRUE,SETUP!B$3,SETUP!B$50,"_",SETUP!B$38,"-D")</f>
        <v>RSDSH_Det-D</v>
      </c>
      <c r="P17" s="239" t="str">
        <f>_xlfn.TEXTJOIN(" ",TRUE,SETUP!C$3,SETUP!C$50,SETUP!C$38)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254</v>
      </c>
      <c r="C18" s="25" t="str">
        <f t="shared" si="0"/>
        <v>*NRG</v>
      </c>
      <c r="D18" s="25" t="str">
        <f>_xlfn.TEXTJOIN(",",TRUE,IF(LEFT(Regions!$C$3,1)&lt;&gt;"*",Regions!$C$3,""),IF(LEFT(Regions!$D$3,1)&lt;&gt;"*",Regions!$D$3,""))</f>
        <v>IE,National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250</v>
      </c>
      <c r="N18" s="25" t="str">
        <f>_xlfn.TEXTJOIN(",",TRUE,IF(LEFT(Regions!$C$3,1)&lt;&gt;"*",Regions!$C$3,""),IF(LEFT(Regions!$D$3,1)&lt;&gt;"*",Regions!$D$3,""))</f>
        <v>IE,National</v>
      </c>
      <c r="O18" s="25" t="str">
        <f>_xlfn.TEXTJOIN("",TRUE,SETUP!B$3,SETUP!B$50,"_",SETUP!B$36,"-E")</f>
        <v>RSDSH_Apt-E</v>
      </c>
      <c r="P18" s="25" t="str">
        <f>_xlfn.TEXTJOIN(" ",TRUE,SETUP!C$3,SETUP!C$50,SETUP!C$36)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_xlfn.TEXTJOIN(",",TRUE,IF(LEFT(Regions!$C$3,1)&lt;&gt;"*",Regions!$C$3,""),IF(LEFT(Regions!$D$3,1)&lt;&gt;"*",Regions!$D$3,""))</f>
        <v>IE,National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250</v>
      </c>
      <c r="N19" s="25" t="str">
        <f>_xlfn.TEXTJOIN(",",TRUE,IF(LEFT(Regions!$C$3,1)&lt;&gt;"*",Regions!$C$3,""),IF(LEFT(Regions!$D$3,1)&lt;&gt;"*",Regions!$D$3,""))</f>
        <v>IE,National</v>
      </c>
      <c r="O19" s="25" t="str">
        <f>_xlfn.TEXTJOIN("",TRUE,SETUP!B$3,SETUP!B$50,"_",SETUP!B$37,"-E")</f>
        <v>RSDSH_Att-E</v>
      </c>
      <c r="P19" s="25" t="str">
        <f>_xlfn.TEXTJOIN(" ",TRUE,SETUP!C$3,SETUP!C$50,SETUP!C$37)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_xlfn.TEXTJOIN(",",TRUE,IF(LEFT(Regions!$C$3,1)&lt;&gt;"*",Regions!$C$3,""),IF(LEFT(Regions!$D$3,1)&lt;&gt;"*",Regions!$D$3,""))</f>
        <v>IE,National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250</v>
      </c>
      <c r="N20" s="239" t="str">
        <f>_xlfn.TEXTJOIN(",",TRUE,IF(LEFT(Regions!$C$3,1)&lt;&gt;"*",Regions!$C$3,""),IF(LEFT(Regions!$D$3,1)&lt;&gt;"*",Regions!$D$3,""))</f>
        <v>IE,National</v>
      </c>
      <c r="O20" s="239" t="str">
        <f>_xlfn.TEXTJOIN("",TRUE,SETUP!B$3,SETUP!B$50,"_",SETUP!B$38,"-E")</f>
        <v>RSDSH_Det-E</v>
      </c>
      <c r="P20" s="239" t="str">
        <f>_xlfn.TEXTJOIN(" ",TRUE,SETUP!C$3,SETUP!C$50,SETUP!C$38)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_xlfn.TEXTJOIN(",",TRUE,IF(LEFT(Regions!$C$3,1)&lt;&gt;"*",Regions!$C$3,""),IF(LEFT(Regions!$D$3,1)&lt;&gt;"*",Regions!$D$3,""))</f>
        <v>IE,National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250</v>
      </c>
      <c r="N21" s="25" t="str">
        <f>_xlfn.TEXTJOIN(",",TRUE,IF(LEFT(Regions!$C$3,1)&lt;&gt;"*",Regions!$C$3,""),IF(LEFT(Regions!$D$3,1)&lt;&gt;"*",Regions!$D$3,""))</f>
        <v>IE,National</v>
      </c>
      <c r="O21" s="25" t="str">
        <f>_xlfn.TEXTJOIN("",TRUE,SETUP!B$3,SETUP!B$50,"_",SETUP!B$36,"-F")</f>
        <v>RSDSH_Apt-F</v>
      </c>
      <c r="P21" s="25" t="str">
        <f>_xlfn.TEXTJOIN(" ",TRUE,SETUP!C$3,SETUP!C$50,SETUP!C$36)</f>
        <v>Residential Space Heating Apartment</v>
      </c>
      <c r="Q21" s="25" t="s">
        <v>13</v>
      </c>
    </row>
    <row r="22" spans="1:21">
      <c r="A22" s="25" t="s">
        <v>254</v>
      </c>
      <c r="C22" s="25" t="str">
        <f t="shared" si="0"/>
        <v>*NRG</v>
      </c>
      <c r="D22" s="25" t="str">
        <f>_xlfn.TEXTJOIN(",",TRUE,IF(LEFT(Regions!$C$3,1)&lt;&gt;"*",Regions!$C$3,""),IF(LEFT(Regions!$D$3,1)&lt;&gt;"*",Regions!$D$3,""))</f>
        <v>IE,National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250</v>
      </c>
      <c r="N22" s="25" t="str">
        <f>_xlfn.TEXTJOIN(",",TRUE,IF(LEFT(Regions!$C$3,1)&lt;&gt;"*",Regions!$C$3,""),IF(LEFT(Regions!$D$3,1)&lt;&gt;"*",Regions!$D$3,""))</f>
        <v>IE,National</v>
      </c>
      <c r="O22" s="25" t="str">
        <f>_xlfn.TEXTJOIN("",TRUE,SETUP!B$3,SETUP!B$50,"_",SETUP!B$37,"-F")</f>
        <v>RSDSH_Att-F</v>
      </c>
      <c r="P22" s="25" t="str">
        <f>_xlfn.TEXTJOIN(" ",TRUE,SETUP!C$3,SETUP!C$50,SETUP!C$37)</f>
        <v>Residential Space Heating Attached</v>
      </c>
      <c r="Q22" s="25" t="s">
        <v>13</v>
      </c>
    </row>
    <row r="23" spans="1:21" ht="13.5" thickBot="1">
      <c r="C23" s="25" t="s">
        <v>250</v>
      </c>
      <c r="D23" s="25" t="str">
        <f>_xlfn.TEXTJOIN(",",TRUE,IF(LEFT(Regions!$C$3,1)&lt;&gt;"*",Regions!$C$3,""),IF(LEFT(Regions!$D$3,1)&lt;&gt;"*",Regions!$D$3,""))</f>
        <v>IE,National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250</v>
      </c>
      <c r="N23" s="239" t="str">
        <f>_xlfn.TEXTJOIN(",",TRUE,IF(LEFT(Regions!$C$3,1)&lt;&gt;"*",Regions!$C$3,""),IF(LEFT(Regions!$D$3,1)&lt;&gt;"*",Regions!$D$3,""))</f>
        <v>IE,National</v>
      </c>
      <c r="O23" s="239" t="str">
        <f>_xlfn.TEXTJOIN("",TRUE,SETUP!B$3,SETUP!B$50,"_",SETUP!B$38,"-F")</f>
        <v>RSDSH_Det-F</v>
      </c>
      <c r="P23" s="239" t="str">
        <f>_xlfn.TEXTJOIN(" ",TRUE,SETUP!C$3,SETUP!C$50,SETUP!C$38)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_xlfn.TEXTJOIN(",",TRUE,IF(LEFT(Regions!$C$3,1)&lt;&gt;"*",Regions!$C$3,""),IF(LEFT(Regions!$D$3,1)&lt;&gt;"*",Regions!$D$3,""))</f>
        <v>IE,National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249</v>
      </c>
      <c r="K24" s="25" t="s">
        <v>613</v>
      </c>
      <c r="M24" s="238" t="s">
        <v>250</v>
      </c>
      <c r="N24" s="25" t="str">
        <f>_xlfn.TEXTJOIN(",",TRUE,IF(LEFT(Regions!$C$3,1)&lt;&gt;"*",Regions!$C$3,""),IF(LEFT(Regions!$D$3,1)&lt;&gt;"*",Regions!$D$3,""))</f>
        <v>IE,National</v>
      </c>
      <c r="O24" s="25" t="str">
        <f>_xlfn.TEXTJOIN("",TRUE,SETUP!B$3,SETUP!B$50,"_",SETUP!B$36,"-G")</f>
        <v>RSDSH_Apt-G</v>
      </c>
      <c r="P24" s="25" t="str">
        <f>_xlfn.TEXTJOIN(" ",TRUE,SETUP!C$3,SETUP!C$50,SETUP!C$36)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25" t="str">
        <f t="shared" si="0"/>
        <v>NRG</v>
      </c>
      <c r="D25" s="25" t="str">
        <f>_xlfn.TEXTJOIN(",",TRUE,IF(LEFT(Regions!$C$3,1)&lt;&gt;"*",Regions!$C$3,""),IF(LEFT(Regions!$D$3,1)&lt;&gt;"*",Regions!$D$3,""))</f>
        <v>IE,National</v>
      </c>
      <c r="E25" s="25" t="str">
        <f>SETUP!B27</f>
        <v>RSDHET</v>
      </c>
      <c r="F25" s="25" t="str">
        <f>SETUP!C27</f>
        <v>Heat to Residential</v>
      </c>
      <c r="G25" s="46" t="s">
        <v>13</v>
      </c>
      <c r="I25" s="25" t="s">
        <v>249</v>
      </c>
      <c r="K25" s="25" t="s">
        <v>828</v>
      </c>
      <c r="M25" s="25" t="s">
        <v>250</v>
      </c>
      <c r="N25" s="25" t="str">
        <f>_xlfn.TEXTJOIN(",",TRUE,IF(LEFT(Regions!$C$3,1)&lt;&gt;"*",Regions!$C$3,""),IF(LEFT(Regions!$D$3,1)&lt;&gt;"*",Regions!$D$3,""))</f>
        <v>IE,National</v>
      </c>
      <c r="O25" s="25" t="str">
        <f>_xlfn.TEXTJOIN("",TRUE,SETUP!B$3,SETUP!B$50,"_",SETUP!B$37,"-G")</f>
        <v>RSDSH_Att-G</v>
      </c>
      <c r="P25" s="25" t="str">
        <f>_xlfn.TEXTJOIN(" ",TRUE,SETUP!C$3,SETUP!C$50,SETUP!C$37)</f>
        <v>Residential Space Heating Attached</v>
      </c>
      <c r="Q25" s="25" t="s">
        <v>13</v>
      </c>
    </row>
    <row r="26" spans="1:21" ht="13.5" thickBot="1">
      <c r="C26" s="25" t="str">
        <f t="shared" ref="C26:C31" si="1">A26&amp;"ENV"</f>
        <v>ENV</v>
      </c>
      <c r="D26" s="25" t="str">
        <f>_xlfn.TEXTJOIN(",",TRUE,IF(LEFT(Regions!$C$3,1)&lt;&gt;"*",Regions!$C$3,""),IF(LEFT(Regions!$D$3,1)&lt;&gt;"*",Regions!$D$3,""))</f>
        <v>IE,National</v>
      </c>
      <c r="E26" s="25" t="str">
        <f>A26&amp;SETUP!B29</f>
        <v>RSDCO2</v>
      </c>
      <c r="F26" s="25" t="str">
        <f>A26&amp;SETUP!C29</f>
        <v>Carbon Dioxide - Combustion (RSD)</v>
      </c>
      <c r="G26" s="46" t="s">
        <v>251</v>
      </c>
      <c r="M26" s="239" t="s">
        <v>250</v>
      </c>
      <c r="N26" s="239" t="str">
        <f>_xlfn.TEXTJOIN(",",TRUE,IF(LEFT(Regions!$C$3,1)&lt;&gt;"*",Regions!$C$3,""),IF(LEFT(Regions!$D$3,1)&lt;&gt;"*",Regions!$D$3,""))</f>
        <v>IE,National</v>
      </c>
      <c r="O26" s="239" t="str">
        <f>_xlfn.TEXTJOIN("",TRUE,SETUP!B$3,SETUP!B$50,"_",SETUP!B$38,"-G")</f>
        <v>RSDSH_Det-G</v>
      </c>
      <c r="P26" s="239" t="str">
        <f>_xlfn.TEXTJOIN(" ",TRUE,SETUP!C$3,SETUP!C$50,SETUP!C$38)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25" t="str">
        <f t="shared" si="1"/>
        <v>ENV</v>
      </c>
      <c r="D27" s="25" t="str">
        <f>_xlfn.TEXTJOIN(",",TRUE,IF(LEFT(Regions!$C$3,1)&lt;&gt;"*",Regions!$C$3,""),IF(LEFT(Regions!$D$3,1)&lt;&gt;"*",Regions!$D$3,""))</f>
        <v>IE,National</v>
      </c>
      <c r="E27" s="25" t="str">
        <f>A27&amp;SETUP!B30</f>
        <v>RSDCH4</v>
      </c>
      <c r="F27" s="25" t="str">
        <f>A27&amp;SETUP!C30</f>
        <v>Methane (RSD)</v>
      </c>
      <c r="G27" s="46" t="s">
        <v>251</v>
      </c>
      <c r="M27" s="25" t="s">
        <v>250</v>
      </c>
      <c r="N27" s="25" t="str">
        <f>_xlfn.TEXTJOIN(",",TRUE,IF(LEFT(Regions!$C$3,1)&lt;&gt;"*",Regions!$C$3,""),IF(LEFT(Regions!$D$3,1)&lt;&gt;"*",Regions!$D$3,""))</f>
        <v>IE,National</v>
      </c>
      <c r="O27" s="25" t="str">
        <f>_xlfn.TEXTJOIN("",TRUE,SETUP!B$3,SETUP!B$51,"_",SETUP!B$36)</f>
        <v>RSDSC_Apt</v>
      </c>
      <c r="P27" s="25" t="str">
        <f>_xlfn.TEXTJOIN(" ",TRUE,SETUP!C$3,SETUP!C$51,SETUP!C$36)</f>
        <v>Residential Space Cooling Apartment</v>
      </c>
      <c r="Q27" s="25" t="s">
        <v>13</v>
      </c>
    </row>
    <row r="28" spans="1:21">
      <c r="C28" s="25" t="str">
        <f t="shared" si="1"/>
        <v>ENV</v>
      </c>
      <c r="D28" s="25" t="str">
        <f>_xlfn.TEXTJOIN(",",TRUE,IF(LEFT(Regions!$C$3,1)&lt;&gt;"*",Regions!$C$3,""),IF(LEFT(Regions!$D$3,1)&lt;&gt;"*",Regions!$D$3,""))</f>
        <v>IE,National</v>
      </c>
      <c r="E28" s="25" t="str">
        <f>A28&amp;SETUP!B31</f>
        <v>RSDN2O</v>
      </c>
      <c r="F28" s="25" t="str">
        <f>A28&amp;SETUP!C31</f>
        <v>Nitrogen Oxide (RSD)</v>
      </c>
      <c r="G28" s="46" t="s">
        <v>251</v>
      </c>
      <c r="M28" s="25" t="s">
        <v>250</v>
      </c>
      <c r="N28" s="25" t="str">
        <f>_xlfn.TEXTJOIN(",",TRUE,IF(LEFT(Regions!$C$3,1)&lt;&gt;"*",Regions!$C$3,""),IF(LEFT(Regions!$D$3,1)&lt;&gt;"*",Regions!$D$3,""))</f>
        <v>IE,National</v>
      </c>
      <c r="O28" s="25" t="str">
        <f>_xlfn.TEXTJOIN("",TRUE,SETUP!B$3,SETUP!B$51,"_",SETUP!B$37)</f>
        <v>RSDSC_Att</v>
      </c>
      <c r="P28" s="25" t="str">
        <f>_xlfn.TEXTJOIN(" ",TRUE,SETUP!C$3,SETUP!C$51,SETUP!C$37)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_xlfn.TEXTJOIN(",",TRUE,IF(LEFT(Regions!$C$3,1)&lt;&gt;"*",Regions!$C$3,""),IF(LEFT(Regions!$D$3,1)&lt;&gt;"*",Regions!$D$3,""))</f>
        <v>IE,National</v>
      </c>
      <c r="E29" s="25" t="str">
        <f>A29&amp;SETUP!B32</f>
        <v>RSDSO2N</v>
      </c>
      <c r="F29" s="25" t="str">
        <f>A29&amp;SETUP!C32</f>
        <v>Sulphur Oxides (RSD)</v>
      </c>
      <c r="G29" s="46" t="s">
        <v>251</v>
      </c>
      <c r="M29" s="239" t="s">
        <v>250</v>
      </c>
      <c r="N29" s="239" t="str">
        <f>_xlfn.TEXTJOIN(",",TRUE,IF(LEFT(Regions!$C$3,1)&lt;&gt;"*",Regions!$C$3,""),IF(LEFT(Regions!$D$3,1)&lt;&gt;"*",Regions!$D$3,""))</f>
        <v>IE,National</v>
      </c>
      <c r="O29" s="239" t="str">
        <f>_xlfn.TEXTJOIN("",TRUE,SETUP!B$3,SETUP!B$51,"_",SETUP!B$38)</f>
        <v>RSDSC_Det</v>
      </c>
      <c r="P29" s="239" t="str">
        <f>_xlfn.TEXTJOIN(" ",TRUE,SETUP!C$3,SETUP!C$51,SETUP!C$38)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_xlfn.TEXTJOIN(",",TRUE,IF(LEFT(Regions!$C$3,1)&lt;&gt;"*",Regions!$C$3,""),IF(LEFT(Regions!$D$3,1)&lt;&gt;"*",Regions!$D$3,""))</f>
        <v>IE,National</v>
      </c>
      <c r="E30" s="25" t="str">
        <f>A30&amp;SETUP!B33</f>
        <v>RSDPM10</v>
      </c>
      <c r="F30" s="25" t="str">
        <f>A30&amp;SETUP!C33</f>
        <v>Particulate Matter &lt;10 µm (RSD)</v>
      </c>
      <c r="G30" s="46" t="s">
        <v>251</v>
      </c>
      <c r="M30" s="25" t="s">
        <v>250</v>
      </c>
      <c r="N30" s="25" t="str">
        <f>_xlfn.TEXTJOIN(",",TRUE,IF(LEFT(Regions!$C$3,1)&lt;&gt;"*",Regions!$C$3,""),IF(LEFT(Regions!$D$3,1)&lt;&gt;"*",Regions!$D$3,""))</f>
        <v>IE,National</v>
      </c>
      <c r="O30" s="25" t="str">
        <f>_xlfn.TEXTJOIN("",TRUE,SETUP!B$3,SETUP!B$52,"_",SETUP!B$36)</f>
        <v>RSDWH_Apt</v>
      </c>
      <c r="P30" s="25" t="str">
        <f>_xlfn.TEXTJOIN(" ",TRUE,SETUP!C$3,SETUP!C$52,SETUP!C$36)</f>
        <v>Residential Water Heating Apartment</v>
      </c>
      <c r="Q30" s="25" t="s">
        <v>13</v>
      </c>
    </row>
    <row r="31" spans="1:21" ht="13.5" thickBot="1">
      <c r="C31" s="239" t="str">
        <f t="shared" si="1"/>
        <v>ENV</v>
      </c>
      <c r="D31" s="239" t="str">
        <f>_xlfn.TEXTJOIN(",",TRUE,IF(LEFT(Regions!$C$3,1)&lt;&gt;"*",Regions!$C$3,""),IF(LEFT(Regions!$D$3,1)&lt;&gt;"*",Regions!$D$3,""))</f>
        <v>IE,National</v>
      </c>
      <c r="E31" s="239" t="str">
        <f>A31&amp;SETUP!B34</f>
        <v>RSDPM25</v>
      </c>
      <c r="F31" s="239" t="str">
        <f>A31&amp;SETUP!C34</f>
        <v>Particulate Matter &lt;2.5 µm (RSD)</v>
      </c>
      <c r="G31" s="240" t="s">
        <v>251</v>
      </c>
      <c r="H31" s="239"/>
      <c r="I31" s="239"/>
      <c r="J31" s="239"/>
      <c r="K31" s="239"/>
      <c r="M31" s="25" t="s">
        <v>250</v>
      </c>
      <c r="N31" s="25" t="str">
        <f>_xlfn.TEXTJOIN(",",TRUE,IF(LEFT(Regions!$C$3,1)&lt;&gt;"*",Regions!$C$3,""),IF(LEFT(Regions!$D$3,1)&lt;&gt;"*",Regions!$D$3,""))</f>
        <v>IE,National</v>
      </c>
      <c r="O31" s="25" t="str">
        <f>_xlfn.TEXTJOIN("",TRUE,SETUP!B$3,SETUP!B$52,"_",SETUP!B$37)</f>
        <v>RSDWH_Att</v>
      </c>
      <c r="P31" s="25" t="str">
        <f>_xlfn.TEXTJOIN(" ",TRUE,SETUP!C$3,SETUP!C$52,SETUP!C$37)</f>
        <v>Residential Water Heating Attached</v>
      </c>
      <c r="Q31" s="25" t="s">
        <v>13</v>
      </c>
    </row>
    <row r="32" spans="1:21" ht="13.5" thickBot="1">
      <c r="C32" s="25" t="s">
        <v>247</v>
      </c>
      <c r="D32" s="25" t="str">
        <f>_xlfn.TEXTJOIN(",",TRUE,IF(LEFT(Regions!$C$3,1)&lt;&gt;"*",Regions!$C$3,""),IF(LEFT(Regions!$D$3,1)&lt;&gt;"*",Regions!$D$3,""))</f>
        <v>IE,National</v>
      </c>
      <c r="E32" s="25" t="str">
        <f>_xlfn.TEXTJOIN("",TRUE,SETUP!B$3,SETUP!B55)</f>
        <v>RSDRF</v>
      </c>
      <c r="F32" s="25" t="str">
        <f>_xlfn.TEXTJOIN(" ",TRUE,SETUP!C$3,SETUP!C55,"Demand")</f>
        <v>Residential Refrigeration Demand</v>
      </c>
      <c r="G32" s="25" t="s">
        <v>13</v>
      </c>
      <c r="M32" s="239" t="s">
        <v>250</v>
      </c>
      <c r="N32" s="239" t="str">
        <f>_xlfn.TEXTJOIN(",",TRUE,IF(LEFT(Regions!$C$3,1)&lt;&gt;"*",Regions!$C$3,""),IF(LEFT(Regions!$D$3,1)&lt;&gt;"*",Regions!$D$3,""))</f>
        <v>IE,National</v>
      </c>
      <c r="O32" s="239" t="str">
        <f>_xlfn.TEXTJOIN("",TRUE,SETUP!B$3,SETUP!B$52,"_",SETUP!B$38)</f>
        <v>RSDWH_Det</v>
      </c>
      <c r="P32" s="239" t="str">
        <f>_xlfn.TEXTJOIN(" ",TRUE,SETUP!C$3,SETUP!C$52,SETUP!C$38)</f>
        <v>Residential Water Heating Detached</v>
      </c>
      <c r="Q32" s="239" t="s">
        <v>13</v>
      </c>
      <c r="R32" s="239"/>
      <c r="S32" s="239"/>
      <c r="T32" s="239"/>
      <c r="U32" s="239"/>
    </row>
    <row r="33" spans="3:21">
      <c r="C33" s="25" t="str">
        <f t="shared" ref="C33:C38" si="2">A33&amp;"DEM"</f>
        <v>DEM</v>
      </c>
      <c r="D33" s="25" t="str">
        <f>_xlfn.TEXTJOIN(",",TRUE,IF(LEFT(Regions!$C$3,1)&lt;&gt;"*",Regions!$C$3,""),IF(LEFT(Regions!$D$3,1)&lt;&gt;"*",Regions!$D$3,""))</f>
        <v>IE,National</v>
      </c>
      <c r="E33" s="25" t="str">
        <f>_xlfn.TEXTJOIN("",TRUE,SETUP!B$3,SETUP!B56)</f>
        <v>RSDCK</v>
      </c>
      <c r="F33" s="25" t="str">
        <f>_xlfn.TEXTJOIN(" ",TRUE,SETUP!C$3,SETUP!C56,"Demand")</f>
        <v>Residential Cooking Demand</v>
      </c>
      <c r="G33" s="25" t="s">
        <v>13</v>
      </c>
      <c r="M33" s="25" t="s">
        <v>250</v>
      </c>
      <c r="N33" s="25" t="str">
        <f>_xlfn.TEXTJOIN(",",TRUE,IF(LEFT(Regions!$C$3,1)&lt;&gt;"*",Regions!$C$3,""),IF(LEFT(Regions!$D$3,1)&lt;&gt;"*",Regions!$D$3,""))</f>
        <v>IE,National</v>
      </c>
      <c r="O33" s="25" t="str">
        <f>_xlfn.TEXTJOIN("",TRUE,SETUP!B$3,SETUP!B$53,"_",SETUP!B$36)</f>
        <v>RSDLT_Apt</v>
      </c>
      <c r="P33" s="25" t="str">
        <f>_xlfn.TEXTJOIN(" ",TRUE,SETUP!C$3,SETUP!C$53,SETUP!C$36)</f>
        <v>Residential Lighting Apartment</v>
      </c>
      <c r="Q33" s="25" t="s">
        <v>13</v>
      </c>
    </row>
    <row r="34" spans="3:21">
      <c r="C34" s="25" t="str">
        <f t="shared" si="2"/>
        <v>DEM</v>
      </c>
      <c r="D34" s="25" t="str">
        <f>_xlfn.TEXTJOIN(",",TRUE,IF(LEFT(Regions!$C$3,1)&lt;&gt;"*",Regions!$C$3,""),IF(LEFT(Regions!$D$3,1)&lt;&gt;"*",Regions!$D$3,""))</f>
        <v>IE,National</v>
      </c>
      <c r="E34" s="25" t="str">
        <f>_xlfn.TEXTJOIN("",TRUE,SETUP!B$3,SETUP!B57)</f>
        <v>RSDCW</v>
      </c>
      <c r="F34" s="25" t="str">
        <f>_xlfn.TEXTJOIN(" ",TRUE,SETUP!C$3,SETUP!C57,"Demand")</f>
        <v>Residential Cloth Washing Demand</v>
      </c>
      <c r="G34" s="25" t="s">
        <v>13</v>
      </c>
      <c r="M34" s="25" t="s">
        <v>250</v>
      </c>
      <c r="N34" s="25" t="str">
        <f>_xlfn.TEXTJOIN(",",TRUE,IF(LEFT(Regions!$C$3,1)&lt;&gt;"*",Regions!$C$3,""),IF(LEFT(Regions!$D$3,1)&lt;&gt;"*",Regions!$D$3,""))</f>
        <v>IE,National</v>
      </c>
      <c r="O34" s="25" t="str">
        <f>_xlfn.TEXTJOIN("",TRUE,SETUP!B$3,SETUP!B$53,"_",SETUP!B$37)</f>
        <v>RSDLT_Att</v>
      </c>
      <c r="P34" s="25" t="str">
        <f>_xlfn.TEXTJOIN(" ",TRUE,SETUP!C$3,SETUP!C$53,SETUP!C$37)</f>
        <v>Residential Lighting Attached</v>
      </c>
      <c r="Q34" s="25" t="s">
        <v>13</v>
      </c>
    </row>
    <row r="35" spans="3:21" ht="13.5" thickBot="1">
      <c r="C35" s="25" t="str">
        <f t="shared" si="2"/>
        <v>DEM</v>
      </c>
      <c r="D35" s="25" t="str">
        <f>_xlfn.TEXTJOIN(",",TRUE,IF(LEFT(Regions!$C$3,1)&lt;&gt;"*",Regions!$C$3,""),IF(LEFT(Regions!$D$3,1)&lt;&gt;"*",Regions!$D$3,""))</f>
        <v>IE,National</v>
      </c>
      <c r="E35" s="25" t="str">
        <f>_xlfn.TEXTJOIN("",TRUE,SETUP!B$3,SETUP!B58)</f>
        <v>RSDCD</v>
      </c>
      <c r="F35" s="25" t="str">
        <f>_xlfn.TEXTJOIN(" ",TRUE,SETUP!C$3,SETUP!C58,"Demand")</f>
        <v>Residential Cloth Drying Demand</v>
      </c>
      <c r="G35" s="25" t="s">
        <v>13</v>
      </c>
      <c r="M35" s="239" t="s">
        <v>250</v>
      </c>
      <c r="N35" s="239" t="str">
        <f>_xlfn.TEXTJOIN(",",TRUE,IF(LEFT(Regions!$C$3,1)&lt;&gt;"*",Regions!$C$3,""),IF(LEFT(Regions!$D$3,1)&lt;&gt;"*",Regions!$D$3,""))</f>
        <v>IE,National</v>
      </c>
      <c r="O35" s="239" t="str">
        <f>_xlfn.TEXTJOIN("",TRUE,SETUP!B$3,SETUP!B$53,"_",SETUP!B$38)</f>
        <v>RSDLT_Det</v>
      </c>
      <c r="P35" s="239" t="str">
        <f>_xlfn.TEXTJOIN(" ",TRUE,SETUP!C$3,SETUP!C$53,SETUP!C$38)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_xlfn.TEXTJOIN(",",TRUE,IF(LEFT(Regions!$C$3,1)&lt;&gt;"*",Regions!$C$3,""),IF(LEFT(Regions!$D$3,1)&lt;&gt;"*",Regions!$D$3,""))</f>
        <v>IE,National</v>
      </c>
      <c r="E36" s="25" t="str">
        <f>_xlfn.TEXTJOIN("",TRUE,SETUP!B$3,SETUP!B59)</f>
        <v>RSDDW</v>
      </c>
      <c r="F36" s="25" t="str">
        <f>_xlfn.TEXTJOIN(" ",TRUE,SETUP!C$3,SETUP!C59,"Demand")</f>
        <v>Residential Dish Washing Demand</v>
      </c>
      <c r="G36" s="25" t="s">
        <v>13</v>
      </c>
      <c r="M36" s="25" t="s">
        <v>250</v>
      </c>
      <c r="N36" s="25" t="str">
        <f>_xlfn.TEXTJOIN(",",TRUE,IF(LEFT(Regions!$C$3,1)&lt;&gt;"*",Regions!$C$3,""),IF(LEFT(Regions!$D$3,1)&lt;&gt;"*",Regions!$D$3,""))</f>
        <v>IE,National</v>
      </c>
      <c r="O36" s="25" t="str">
        <f>_xlfn.TEXTJOIN("",TRUE,SETUP!B$3,SETUP!B$54,"_",SETUP!B$36)</f>
        <v>RSDPF_Apt</v>
      </c>
      <c r="P36" s="25" t="str">
        <f>_xlfn.TEXTJOIN(" ",TRUE,SETUP!C$3,SETUP!C$54,SETUP!C$36)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_xlfn.TEXTJOIN(",",TRUE,IF(LEFT(Regions!$C$3,1)&lt;&gt;"*",Regions!$C$3,""),IF(LEFT(Regions!$D$3,1)&lt;&gt;"*",Regions!$D$3,""))</f>
        <v>IE,National</v>
      </c>
      <c r="E37" s="25" t="str">
        <f>_xlfn.TEXTJOIN("",TRUE,SETUP!B$3,SETUP!B60)</f>
        <v>RSDOE</v>
      </c>
      <c r="F37" s="25" t="str">
        <f>_xlfn.TEXTJOIN(" ",TRUE,SETUP!C$3,SETUP!C60,"Demand")</f>
        <v>Residential ELC Appliances Demand</v>
      </c>
      <c r="G37" s="25" t="s">
        <v>13</v>
      </c>
      <c r="M37" s="25" t="s">
        <v>250</v>
      </c>
      <c r="N37" s="25" t="str">
        <f>_xlfn.TEXTJOIN(",",TRUE,IF(LEFT(Regions!$C$3,1)&lt;&gt;"*",Regions!$C$3,""),IF(LEFT(Regions!$D$3,1)&lt;&gt;"*",Regions!$D$3,""))</f>
        <v>IE,National</v>
      </c>
      <c r="O37" s="25" t="str">
        <f>_xlfn.TEXTJOIN("",TRUE,SETUP!B$3,SETUP!B$54,"_",SETUP!B$37)</f>
        <v>RSDPF_Att</v>
      </c>
      <c r="P37" s="25" t="str">
        <f>_xlfn.TEXTJOIN(" ",TRUE,SETUP!C$3,SETUP!C$54,SETUP!C$37)</f>
        <v>Residential Pumps &amp; Fans Attached</v>
      </c>
      <c r="Q37" s="25" t="s">
        <v>13</v>
      </c>
    </row>
    <row r="38" spans="3:21" ht="13.5" thickBot="1">
      <c r="C38" s="239" t="str">
        <f t="shared" si="2"/>
        <v>DEM</v>
      </c>
      <c r="D38" s="239" t="str">
        <f>_xlfn.TEXTJOIN(",",TRUE,IF(LEFT(Regions!$C$3,1)&lt;&gt;"*",Regions!$C$3,""),IF(LEFT(Regions!$D$3,1)&lt;&gt;"*",Regions!$D$3,""))</f>
        <v>IE,National</v>
      </c>
      <c r="E38" s="239" t="str">
        <f>_xlfn.TEXTJOIN("",TRUE,SETUP!B$3,SETUP!B61)</f>
        <v>RSDOA</v>
      </c>
      <c r="F38" s="239" t="str">
        <f>_xlfn.TEXTJOIN(" ",TRUE,SETUP!C$3,SETUP!C61,"Demand")</f>
        <v>Residential Other Applications Demand</v>
      </c>
      <c r="G38" s="239" t="s">
        <v>13</v>
      </c>
      <c r="H38" s="239"/>
      <c r="I38" s="239"/>
      <c r="J38" s="239"/>
      <c r="K38" s="239"/>
      <c r="M38" s="239" t="s">
        <v>250</v>
      </c>
      <c r="N38" s="239" t="str">
        <f>_xlfn.TEXTJOIN(",",TRUE,IF(LEFT(Regions!$C$3,1)&lt;&gt;"*",Regions!$C$3,""),IF(LEFT(Regions!$D$3,1)&lt;&gt;"*",Regions!$D$3,""))</f>
        <v>IE,National</v>
      </c>
      <c r="O38" s="239" t="str">
        <f>_xlfn.TEXTJOIN("",TRUE,SETUP!B$3,SETUP!B$54,"_",SETUP!B$38)</f>
        <v>RSDPF_Det</v>
      </c>
      <c r="P38" s="239" t="str">
        <f>_xlfn.TEXTJOIN(" ",TRUE,SETUP!C$3,SETUP!C$54,SETUP!C$38)</f>
        <v>Residential Pumps &amp; Fans Detached</v>
      </c>
      <c r="Q38" s="239" t="s">
        <v>13</v>
      </c>
      <c r="R38" s="239"/>
      <c r="S38" s="239"/>
      <c r="T38" s="239"/>
      <c r="U38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zoomScale="70" zoomScaleNormal="70"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253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768</v>
      </c>
      <c r="D4" s="57"/>
    </row>
    <row r="5" spans="2:19" ht="15.75" thickBot="1">
      <c r="B5" s="282" t="s">
        <v>766</v>
      </c>
      <c r="C5" s="282" t="s">
        <v>232</v>
      </c>
      <c r="D5" s="450" t="str">
        <f>COMM!E6</f>
        <v>RSDCOA</v>
      </c>
      <c r="E5" s="356" t="str">
        <f>COMM!E7</f>
        <v>RSDPEA</v>
      </c>
      <c r="F5" s="356" t="str">
        <f>COMM!E8</f>
        <v>RSDLPG</v>
      </c>
      <c r="G5" s="356" t="str">
        <f>COMM!E10</f>
        <v>RSDKER</v>
      </c>
      <c r="H5" s="356" t="str">
        <f>COMM!E14</f>
        <v>RSDGAS</v>
      </c>
      <c r="I5" s="356" t="str">
        <f>COMM!E16</f>
        <v>RSDWOO</v>
      </c>
      <c r="J5" s="356" t="str">
        <f>COMM!E20</f>
        <v>RSDETH</v>
      </c>
      <c r="K5" s="356" t="str">
        <f>COMM!E21</f>
        <v>RSDBDL</v>
      </c>
      <c r="M5"/>
      <c r="N5"/>
      <c r="O5"/>
    </row>
    <row r="6" spans="2:19" ht="13.5" thickBot="1">
      <c r="B6" s="355"/>
      <c r="C6" s="355" t="s">
        <v>254</v>
      </c>
      <c r="D6" s="910" t="s">
        <v>252</v>
      </c>
      <c r="E6" s="910" t="s">
        <v>252</v>
      </c>
      <c r="F6" s="910" t="s">
        <v>252</v>
      </c>
      <c r="G6" s="910" t="s">
        <v>252</v>
      </c>
      <c r="H6" s="910" t="s">
        <v>252</v>
      </c>
      <c r="I6" s="910" t="s">
        <v>252</v>
      </c>
      <c r="J6" s="910" t="s">
        <v>252</v>
      </c>
      <c r="K6" s="910" t="s">
        <v>252</v>
      </c>
      <c r="M6"/>
      <c r="N6"/>
      <c r="O6"/>
    </row>
    <row r="7" spans="2:19">
      <c r="B7" s="357" t="str">
        <f>_xlfn.TEXTJOIN(",",TRUE,IF(LEFT(Regions!$C$3,1)&lt;&gt;"*",Regions!$C$3,""),IF(LEFT(Regions!$D$3,1)&lt;&gt;"*",Regions!$D$3,""))</f>
        <v>IE,National</v>
      </c>
      <c r="C7" s="905" t="str">
        <f>COMM!E26</f>
        <v>RSDCO2</v>
      </c>
      <c r="D7" s="286">
        <v>97.115822433347077</v>
      </c>
      <c r="E7" s="287">
        <v>104</v>
      </c>
      <c r="F7" s="288">
        <v>63.7</v>
      </c>
      <c r="G7" s="288">
        <v>71.400000000000006</v>
      </c>
      <c r="H7" s="287">
        <v>55.74</v>
      </c>
      <c r="I7" s="287">
        <v>112</v>
      </c>
      <c r="J7" s="287">
        <v>0</v>
      </c>
      <c r="K7" s="911">
        <v>0</v>
      </c>
      <c r="M7"/>
      <c r="N7"/>
      <c r="O7"/>
    </row>
    <row r="8" spans="2:19">
      <c r="B8" s="284" t="str">
        <f>_xlfn.TEXTJOIN(",",TRUE,IF(LEFT(Regions!$C$3,1)&lt;&gt;"*",Regions!$C$3,""),IF(LEFT(Regions!$D$3,1)&lt;&gt;"*",Regions!$D$3,""))</f>
        <v>IE,National</v>
      </c>
      <c r="C8" s="906" t="str">
        <f>COMM!E27</f>
        <v>RSDCH4</v>
      </c>
      <c r="D8" s="289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912">
        <v>0.01</v>
      </c>
      <c r="M8"/>
      <c r="N8"/>
      <c r="O8"/>
    </row>
    <row r="9" spans="2:19" ht="13.5" thickBot="1">
      <c r="B9" s="283" t="str">
        <f>_xlfn.TEXTJOIN(",",TRUE,IF(LEFT(Regions!$C$3,1)&lt;&gt;"*",Regions!$C$3,""),IF(LEFT(Regions!$D$3,1)&lt;&gt;"*",Regions!$D$3,""))</f>
        <v>IE,National</v>
      </c>
      <c r="C9" s="907" t="str">
        <f>COMM!E28</f>
        <v>RSDN2O</v>
      </c>
      <c r="D9" s="913">
        <v>0</v>
      </c>
      <c r="E9" s="914"/>
      <c r="F9" s="915"/>
      <c r="G9" s="915"/>
      <c r="H9" s="914"/>
      <c r="I9" s="914"/>
      <c r="J9" s="914"/>
      <c r="K9" s="916"/>
      <c r="M9"/>
      <c r="N9"/>
      <c r="O9"/>
    </row>
    <row r="10" spans="2:19">
      <c r="B10" s="358" t="str">
        <f>_xlfn.TEXTJOIN(",",TRUE,IF(LEFT(Regions!$C$3,1)&lt;&gt;"*",Regions!$C$3,""),IF(LEFT(Regions!$D$3,1)&lt;&gt;"*",Regions!$D$3,""))</f>
        <v>IE,National</v>
      </c>
      <c r="C10" s="908" t="str">
        <f>COMM!E29</f>
        <v>RSDSO2N</v>
      </c>
      <c r="D10" s="917">
        <v>1.4999999999999998E-3</v>
      </c>
      <c r="E10" s="359">
        <v>1.4E-3</v>
      </c>
      <c r="F10" s="360">
        <v>1E-4</v>
      </c>
      <c r="G10" s="360">
        <v>5.9999999999999995E-4</v>
      </c>
      <c r="H10" s="360">
        <v>1E-4</v>
      </c>
      <c r="I10" s="359">
        <v>3.8999999999999998E-3</v>
      </c>
      <c r="J10" s="359">
        <v>5.9999999999999995E-4</v>
      </c>
      <c r="K10" s="918">
        <v>5.9999999999999995E-4</v>
      </c>
      <c r="M10"/>
      <c r="N10"/>
      <c r="O10"/>
    </row>
    <row r="11" spans="2:19">
      <c r="B11" s="283" t="str">
        <f>_xlfn.TEXTJOIN(",",TRUE,IF(LEFT(Regions!$C$3,1)&lt;&gt;"*",Regions!$C$3,""),IF(LEFT(Regions!$D$3,1)&lt;&gt;"*",Regions!$D$3,""))</f>
        <v>IE,National</v>
      </c>
      <c r="C11" s="907" t="str">
        <f>COMM!E30</f>
        <v>RSDPM10</v>
      </c>
      <c r="D11" s="290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919"/>
      <c r="M11"/>
      <c r="N11"/>
      <c r="O11"/>
    </row>
    <row r="12" spans="2:19" ht="13.5" thickBot="1">
      <c r="B12" s="285" t="str">
        <f>_xlfn.TEXTJOIN(",",TRUE,IF(LEFT(Regions!$C$3,1)&lt;&gt;"*",Regions!$C$3,""),IF(LEFT(Regions!$D$3,1)&lt;&gt;"*",Regions!$D$3,""))</f>
        <v>IE,National</v>
      </c>
      <c r="C12" s="909" t="str">
        <f>COMM!E31</f>
        <v>RSDPM25</v>
      </c>
      <c r="D12" s="920">
        <v>0.30918718935332451</v>
      </c>
      <c r="E12" s="291"/>
      <c r="F12" s="292">
        <v>3.609253890302349E-3</v>
      </c>
      <c r="G12" s="292">
        <v>3.1602980079786249E-3</v>
      </c>
      <c r="H12" s="292">
        <v>5.6935265820658805E-4</v>
      </c>
      <c r="I12" s="291">
        <v>0.5825145977400924</v>
      </c>
      <c r="J12" s="291"/>
      <c r="K12" s="921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B3" sqref="B3:G5"/>
    </sheetView>
  </sheetViews>
  <sheetFormatPr defaultColWidth="8.85546875" defaultRowHeight="12.75"/>
  <cols>
    <col min="1" max="1" width="3.28515625" customWidth="1"/>
    <col min="2" max="2" width="11.28515625" customWidth="1"/>
    <col min="3" max="3" width="15.85546875" bestFit="1" customWidth="1"/>
    <col min="4" max="4" width="24" bestFit="1" customWidth="1"/>
    <col min="5" max="5" width="12.85546875" bestFit="1" customWidth="1"/>
    <col min="6" max="6" width="7.85546875" bestFit="1" customWidth="1"/>
    <col min="7" max="7" width="13.28515625" bestFit="1" customWidth="1"/>
    <col min="8" max="8" width="3.7109375" customWidth="1"/>
    <col min="9" max="9" width="9.85546875" customWidth="1"/>
    <col min="10" max="10" width="10" bestFit="1" customWidth="1"/>
    <col min="11" max="11" width="15.7109375" bestFit="1" customWidth="1"/>
    <col min="12" max="12" width="44.85546875" bestFit="1" customWidth="1"/>
    <col min="13" max="13" width="6.140625" bestFit="1" customWidth="1"/>
    <col min="14" max="14" width="7" bestFit="1" customWidth="1"/>
    <col min="15" max="15" width="12.85546875" customWidth="1"/>
    <col min="16" max="16" width="13.28515625" customWidth="1"/>
    <col min="17" max="17" width="8" bestFit="1" customWidth="1"/>
  </cols>
  <sheetData>
    <row r="2" spans="1:17">
      <c r="E2" s="421" t="s">
        <v>770</v>
      </c>
      <c r="F2" s="421"/>
      <c r="I2" s="422" t="s">
        <v>769</v>
      </c>
      <c r="J2" s="422"/>
      <c r="K2" s="423"/>
      <c r="L2" s="423"/>
      <c r="M2" s="423"/>
      <c r="N2" s="423"/>
      <c r="O2" s="423"/>
      <c r="P2" s="423"/>
      <c r="Q2" s="423"/>
    </row>
    <row r="3" spans="1:17">
      <c r="B3" s="424" t="s">
        <v>766</v>
      </c>
      <c r="C3" s="424" t="s">
        <v>255</v>
      </c>
      <c r="D3" s="425" t="s">
        <v>257</v>
      </c>
      <c r="E3" s="424" t="s">
        <v>258</v>
      </c>
      <c r="F3" s="424" t="s">
        <v>259</v>
      </c>
      <c r="G3" s="426" t="s">
        <v>695</v>
      </c>
      <c r="I3" s="427" t="s">
        <v>261</v>
      </c>
      <c r="J3" s="427" t="s">
        <v>766</v>
      </c>
      <c r="K3" s="427" t="s">
        <v>255</v>
      </c>
      <c r="L3" s="427" t="s">
        <v>256</v>
      </c>
      <c r="M3" s="427" t="s">
        <v>262</v>
      </c>
      <c r="N3" s="427" t="s">
        <v>263</v>
      </c>
      <c r="O3" s="427" t="s">
        <v>264</v>
      </c>
      <c r="P3" s="427" t="s">
        <v>265</v>
      </c>
      <c r="Q3" s="427" t="s">
        <v>696</v>
      </c>
    </row>
    <row r="4" spans="1:17" ht="34.5" thickBot="1">
      <c r="B4" s="428" t="s">
        <v>767</v>
      </c>
      <c r="C4" s="428" t="s">
        <v>271</v>
      </c>
      <c r="D4" s="428" t="s">
        <v>273</v>
      </c>
      <c r="E4" s="428" t="s">
        <v>274</v>
      </c>
      <c r="F4" s="428" t="s">
        <v>697</v>
      </c>
      <c r="G4" s="428" t="s">
        <v>698</v>
      </c>
      <c r="I4" s="429" t="s">
        <v>699</v>
      </c>
      <c r="J4" s="429" t="s">
        <v>767</v>
      </c>
      <c r="K4" s="429" t="s">
        <v>700</v>
      </c>
      <c r="L4" s="429" t="s">
        <v>272</v>
      </c>
      <c r="M4" s="429" t="s">
        <v>701</v>
      </c>
      <c r="N4" s="429" t="s">
        <v>702</v>
      </c>
      <c r="O4" s="429" t="s">
        <v>703</v>
      </c>
      <c r="P4" s="429" t="s">
        <v>704</v>
      </c>
      <c r="Q4" s="429" t="s">
        <v>705</v>
      </c>
    </row>
    <row r="5" spans="1:17" ht="13.5" thickBot="1">
      <c r="B5" s="428"/>
      <c r="C5" s="428" t="s">
        <v>493</v>
      </c>
      <c r="D5" s="430"/>
      <c r="E5" s="430"/>
      <c r="F5" s="430"/>
      <c r="G5" s="430" t="s">
        <v>13</v>
      </c>
      <c r="I5" s="429" t="s">
        <v>254</v>
      </c>
      <c r="J5" s="429"/>
      <c r="K5" s="431"/>
      <c r="L5" s="431"/>
      <c r="M5" s="431"/>
      <c r="N5" s="431"/>
      <c r="O5" s="431"/>
      <c r="P5" s="431"/>
      <c r="Q5" s="431"/>
    </row>
    <row r="6" spans="1:17" s="433" customFormat="1">
      <c r="A6" s="433" t="str">
        <f>COMM!A6</f>
        <v/>
      </c>
      <c r="B6" s="432" t="str">
        <f>_xlfn.TEXTJOIN(",",TRUE,IF(LEFT(Regions!$C$3,1)&lt;&gt;"*",Regions!$C$3,""),IF(LEFT(Regions!$D$3,1)&lt;&gt;"*",Regions!$D$3,""))</f>
        <v>IE,National</v>
      </c>
      <c r="C6" s="432" t="str">
        <f>_xlfn.TEXTJOIN("-",TRUE,SETUP!$B$4,COMM!E6)</f>
        <v>FT-RSDCOA</v>
      </c>
      <c r="D6" s="58" t="s">
        <v>707</v>
      </c>
      <c r="E6" s="432" t="str">
        <f>COMM!E6</f>
        <v>RSDCOA</v>
      </c>
      <c r="F6" s="433">
        <v>1</v>
      </c>
      <c r="G6" s="514"/>
      <c r="I6" s="432" t="s">
        <v>266</v>
      </c>
      <c r="J6" s="432" t="str">
        <f>_xlfn.TEXTJOIN(",",TRUE,IF(LEFT(Regions!$C$3,1)&lt;&gt;"*",Regions!$C$3,""),IF(LEFT(Regions!$D$3,1)&lt;&gt;"*",Regions!$D$3,""))</f>
        <v>IE,National</v>
      </c>
      <c r="K6" s="434" t="str">
        <f t="shared" ref="K6:K17" si="0">C6</f>
        <v>FT-RSDCOA</v>
      </c>
      <c r="L6" s="435" t="str">
        <f>_xlfn.TEXTJOIN(" ",TRUE,SETUP!$B$3,COMM!F6)</f>
        <v>RSD Coal to Residential</v>
      </c>
      <c r="M6" s="434" t="s">
        <v>13</v>
      </c>
      <c r="N6" s="434" t="s">
        <v>694</v>
      </c>
      <c r="O6" s="434"/>
      <c r="P6" s="434"/>
      <c r="Q6" s="434"/>
    </row>
    <row r="7" spans="1:17" s="433" customFormat="1">
      <c r="A7" s="433" t="str">
        <f>COMM!A7</f>
        <v/>
      </c>
      <c r="B7" s="432" t="str">
        <f>_xlfn.TEXTJOIN(",",TRUE,IF(LEFT(Regions!$C$3,1)&lt;&gt;"*",Regions!$C$3,""),IF(LEFT(Regions!$D$3,1)&lt;&gt;"*",Regions!$D$3,""))</f>
        <v>IE,National</v>
      </c>
      <c r="C7" s="432" t="str">
        <f>_xlfn.TEXTJOIN("-",TRUE,SETUP!$B$4,COMM!E7)</f>
        <v>FT-RSDPEA</v>
      </c>
      <c r="D7" s="58" t="s">
        <v>200</v>
      </c>
      <c r="E7" s="432" t="str">
        <f>COMM!E7</f>
        <v>RSDPEA</v>
      </c>
      <c r="F7" s="433">
        <v>1</v>
      </c>
      <c r="I7" s="432"/>
      <c r="J7" s="432" t="str">
        <f>_xlfn.TEXTJOIN(",",TRUE,IF(LEFT(Regions!$C$3,1)&lt;&gt;"*",Regions!$C$3,""),IF(LEFT(Regions!$D$3,1)&lt;&gt;"*",Regions!$D$3,""))</f>
        <v>IE,National</v>
      </c>
      <c r="K7" s="434" t="str">
        <f t="shared" si="0"/>
        <v>FT-RSDPEA</v>
      </c>
      <c r="L7" s="435" t="str">
        <f>_xlfn.TEXTJOIN(" ",TRUE,SETUP!$B$3,COMM!F7)</f>
        <v>RSD Peat to Residential</v>
      </c>
      <c r="M7" s="434" t="s">
        <v>13</v>
      </c>
      <c r="N7" s="434" t="s">
        <v>694</v>
      </c>
    </row>
    <row r="8" spans="1:17" s="433" customFormat="1">
      <c r="A8" s="433" t="str">
        <f>COMM!A8</f>
        <v/>
      </c>
      <c r="B8" s="432" t="str">
        <f>_xlfn.TEXTJOIN(",",TRUE,IF(LEFT(Regions!$C$3,1)&lt;&gt;"*",Regions!$C$3,""),IF(LEFT(Regions!$D$3,1)&lt;&gt;"*",Regions!$D$3,""))</f>
        <v>IE,National</v>
      </c>
      <c r="C8" s="432" t="str">
        <f>_xlfn.TEXTJOIN("-",TRUE,SETUP!$B$4,COMM!E8)</f>
        <v>FT-RSDLPG</v>
      </c>
      <c r="D8" s="58" t="s">
        <v>201</v>
      </c>
      <c r="E8" s="432" t="str">
        <f>COMM!E8</f>
        <v>RSDLPG</v>
      </c>
      <c r="F8" s="433">
        <v>1</v>
      </c>
      <c r="I8" s="432"/>
      <c r="J8" s="432" t="str">
        <f>_xlfn.TEXTJOIN(",",TRUE,IF(LEFT(Regions!$C$3,1)&lt;&gt;"*",Regions!$C$3,""),IF(LEFT(Regions!$D$3,1)&lt;&gt;"*",Regions!$D$3,""))</f>
        <v>IE,National</v>
      </c>
      <c r="K8" s="434" t="str">
        <f t="shared" si="0"/>
        <v>FT-RSDLPG</v>
      </c>
      <c r="L8" s="435" t="str">
        <f>_xlfn.TEXTJOIN(" ",TRUE,SETUP!$B$3,COMM!F8)</f>
        <v>RSD LPG to Residential</v>
      </c>
      <c r="M8" s="434" t="s">
        <v>13</v>
      </c>
      <c r="N8" s="434" t="s">
        <v>694</v>
      </c>
    </row>
    <row r="9" spans="1:17" s="433" customFormat="1">
      <c r="A9" s="433" t="str">
        <f>COMM!A10</f>
        <v/>
      </c>
      <c r="B9" s="432" t="str">
        <f>_xlfn.TEXTJOIN(",",TRUE,IF(LEFT(Regions!$C$3,1)&lt;&gt;"*",Regions!$C$3,""),IF(LEFT(Regions!$D$3,1)&lt;&gt;"*",Regions!$D$3,""))</f>
        <v>IE,National</v>
      </c>
      <c r="C9" s="432" t="str">
        <f>_xlfn.TEXTJOIN("-",TRUE,SETUP!$B$4,COMM!E10)</f>
        <v>FT-RSDKER</v>
      </c>
      <c r="D9" s="58" t="s">
        <v>203</v>
      </c>
      <c r="E9" s="432" t="str">
        <f>COMM!E10</f>
        <v>RSDKER</v>
      </c>
      <c r="F9" s="433">
        <v>1</v>
      </c>
      <c r="I9" s="432"/>
      <c r="J9" s="432" t="str">
        <f>_xlfn.TEXTJOIN(",",TRUE,IF(LEFT(Regions!$C$3,1)&lt;&gt;"*",Regions!$C$3,""),IF(LEFT(Regions!$D$3,1)&lt;&gt;"*",Regions!$D$3,""))</f>
        <v>IE,National</v>
      </c>
      <c r="K9" s="434" t="str">
        <f t="shared" si="0"/>
        <v>FT-RSDKER</v>
      </c>
      <c r="L9" s="435" t="str">
        <f>_xlfn.TEXTJOIN(" ",TRUE,SETUP!$B$3,COMM!F10)</f>
        <v>RSD Kerosene to Residential</v>
      </c>
      <c r="M9" s="434" t="s">
        <v>13</v>
      </c>
      <c r="N9" s="434" t="s">
        <v>694</v>
      </c>
    </row>
    <row r="10" spans="1:17" s="433" customFormat="1">
      <c r="A10" s="433" t="str">
        <f>COMM!A14</f>
        <v/>
      </c>
      <c r="B10" s="432" t="str">
        <f>_xlfn.TEXTJOIN(",",TRUE,IF(LEFT(Regions!$C$3,1)&lt;&gt;"*",Regions!$C$3,""),IF(LEFT(Regions!$D$3,1)&lt;&gt;"*",Regions!$D$3,""))</f>
        <v>IE,National</v>
      </c>
      <c r="C10" s="432" t="str">
        <f>_xlfn.TEXTJOIN("-",TRUE,SETUP!$B$4,COMM!E14)</f>
        <v>FT-RSDGAS</v>
      </c>
      <c r="D10" s="58" t="s">
        <v>207</v>
      </c>
      <c r="E10" s="432" t="str">
        <f>COMM!E14</f>
        <v>RSDGAS</v>
      </c>
      <c r="F10" s="433">
        <v>1</v>
      </c>
      <c r="I10" s="432"/>
      <c r="J10" s="432" t="str">
        <f>_xlfn.TEXTJOIN(",",TRUE,IF(LEFT(Regions!$C$3,1)&lt;&gt;"*",Regions!$C$3,""),IF(LEFT(Regions!$D$3,1)&lt;&gt;"*",Regions!$D$3,""))</f>
        <v>IE,National</v>
      </c>
      <c r="K10" s="434" t="str">
        <f t="shared" si="0"/>
        <v>FT-RSDGAS</v>
      </c>
      <c r="L10" s="435" t="str">
        <f>_xlfn.TEXTJOIN(" ",TRUE,SETUP!$B$3,COMM!F14)</f>
        <v>RSD Natural Gas to Residential</v>
      </c>
      <c r="M10" s="434" t="s">
        <v>13</v>
      </c>
      <c r="N10" s="434" t="s">
        <v>694</v>
      </c>
    </row>
    <row r="11" spans="1:17" s="433" customFormat="1">
      <c r="B11" s="432" t="str">
        <f>_xlfn.TEXTJOIN(",",TRUE,IF(LEFT(Regions!$C$3,1)&lt;&gt;"*",Regions!$C$3,""),IF(LEFT(Regions!$D$3,1)&lt;&gt;"*",Regions!$D$3,""))</f>
        <v>IE,National</v>
      </c>
      <c r="C11" s="432" t="str">
        <f>_xlfn.TEXTJOIN("-",TRUE,SETUP!$B$4,COMM!E15)</f>
        <v>FT-RSDSOL</v>
      </c>
      <c r="D11" s="58" t="s">
        <v>208</v>
      </c>
      <c r="E11" s="432" t="str">
        <f>COMM!E15</f>
        <v>RSDSOL</v>
      </c>
      <c r="F11" s="433">
        <v>1</v>
      </c>
      <c r="I11" s="432"/>
      <c r="J11" s="432" t="str">
        <f>_xlfn.TEXTJOIN(",",TRUE,IF(LEFT(Regions!$C$3,1)&lt;&gt;"*",Regions!$C$3,""),IF(LEFT(Regions!$D$3,1)&lt;&gt;"*",Regions!$D$3,""))</f>
        <v>IE,National</v>
      </c>
      <c r="K11" s="434" t="str">
        <f t="shared" ref="K11" si="1">C11</f>
        <v>FT-RSDSOL</v>
      </c>
      <c r="L11" s="435" t="str">
        <f>_xlfn.TEXTJOIN(" ",TRUE,SETUP!$B$3,COMM!F15)</f>
        <v>RSD Solar Thermal to Residential</v>
      </c>
      <c r="M11" s="434" t="s">
        <v>13</v>
      </c>
      <c r="N11" s="434" t="s">
        <v>694</v>
      </c>
    </row>
    <row r="12" spans="1:17" s="433" customFormat="1">
      <c r="A12" s="433" t="str">
        <f>COMM!A16</f>
        <v/>
      </c>
      <c r="B12" s="432" t="str">
        <f>_xlfn.TEXTJOIN(",",TRUE,IF(LEFT(Regions!$C$3,1)&lt;&gt;"*",Regions!$C$3,""),IF(LEFT(Regions!$D$3,1)&lt;&gt;"*",Regions!$D$3,""))</f>
        <v>IE,National</v>
      </c>
      <c r="C12" s="432" t="str">
        <f>_xlfn.TEXTJOIN("-",TRUE,SETUP!$B$4,COMM!E16)</f>
        <v>FT-RSDWOO</v>
      </c>
      <c r="D12" s="58" t="s">
        <v>823</v>
      </c>
      <c r="E12" s="432" t="str">
        <f>COMM!E16</f>
        <v>RSDWOO</v>
      </c>
      <c r="F12" s="433">
        <v>1</v>
      </c>
      <c r="J12" s="432" t="str">
        <f>_xlfn.TEXTJOIN(",",TRUE,IF(LEFT(Regions!$C$3,1)&lt;&gt;"*",Regions!$C$3,""),IF(LEFT(Regions!$D$3,1)&lt;&gt;"*",Regions!$D$3,""))</f>
        <v>IE,National</v>
      </c>
      <c r="K12" s="434" t="str">
        <f t="shared" si="0"/>
        <v>FT-RSDWOO</v>
      </c>
      <c r="L12" s="435" t="str">
        <f>_xlfn.TEXTJOIN(" ",TRUE,SETUP!$B$3,COMM!F16)</f>
        <v>RSD Biomass to Residential</v>
      </c>
      <c r="M12" s="434" t="s">
        <v>13</v>
      </c>
      <c r="N12" s="434" t="s">
        <v>694</v>
      </c>
    </row>
    <row r="13" spans="1:17" s="433" customFormat="1">
      <c r="B13" s="432" t="str">
        <f>_xlfn.TEXTJOIN(",",TRUE,IF(LEFT(Regions!$C$3,1)&lt;&gt;"*",Regions!$C$3,""),IF(LEFT(Regions!$D$3,1)&lt;&gt;"*",Regions!$D$3,""))</f>
        <v>IE,National</v>
      </c>
      <c r="C13" s="432" t="str">
        <f>_xlfn.TEXTJOIN("-",TRUE,SETUP!$B$4,COMM!E19)</f>
        <v>FT-RSDAHT</v>
      </c>
      <c r="D13" s="58" t="s">
        <v>836</v>
      </c>
      <c r="E13" s="432" t="str">
        <f>COMM!E19</f>
        <v>RSDAHT</v>
      </c>
      <c r="F13" s="433">
        <v>1</v>
      </c>
      <c r="J13" s="432" t="str">
        <f>_xlfn.TEXTJOIN(",",TRUE,IF(LEFT(Regions!$C$3,1)&lt;&gt;"*",Regions!$C$3,""),IF(LEFT(Regions!$D$3,1)&lt;&gt;"*",Regions!$D$3,""))</f>
        <v>IE,National</v>
      </c>
      <c r="K13" s="434" t="str">
        <f t="shared" ref="K13" si="2">C13</f>
        <v>FT-RSDAHT</v>
      </c>
      <c r="L13" s="435" t="str">
        <f>_xlfn.TEXTJOIN(" ",TRUE,SETUP!$B$3,COMM!F19)</f>
        <v>RSD Ambient Heat to Residential</v>
      </c>
      <c r="M13" s="434" t="s">
        <v>13</v>
      </c>
      <c r="N13" s="434" t="s">
        <v>694</v>
      </c>
    </row>
    <row r="14" spans="1:17">
      <c r="A14" s="433" t="str">
        <f>COMM!A20</f>
        <v/>
      </c>
      <c r="B14" s="432" t="str">
        <f>_xlfn.TEXTJOIN(",",TRUE,IF(LEFT(Regions!$C$3,1)&lt;&gt;"*",Regions!$C$3,""),IF(LEFT(Regions!$D$3,1)&lt;&gt;"*",Regions!$D$3,""))</f>
        <v>IE,National</v>
      </c>
      <c r="C14" s="432" t="str">
        <f>_xlfn.TEXTJOIN("-",TRUE,SETUP!$B$4,COMM!E20)</f>
        <v>FT-RSDETH</v>
      </c>
      <c r="D14" s="58" t="s">
        <v>708</v>
      </c>
      <c r="E14" s="432" t="str">
        <f>COMM!E20</f>
        <v>RSDETH</v>
      </c>
      <c r="F14" s="433">
        <v>1</v>
      </c>
      <c r="G14" s="433"/>
      <c r="J14" s="432" t="str">
        <f>_xlfn.TEXTJOIN(",",TRUE,IF(LEFT(Regions!$C$3,1)&lt;&gt;"*",Regions!$C$3,""),IF(LEFT(Regions!$D$3,1)&lt;&gt;"*",Regions!$D$3,""))</f>
        <v>IE,National</v>
      </c>
      <c r="K14" s="434" t="str">
        <f t="shared" si="0"/>
        <v>FT-RSDETH</v>
      </c>
      <c r="L14" s="435" t="str">
        <f>_xlfn.TEXTJOIN(" ",TRUE,SETUP!$B$3,COMM!F20)</f>
        <v>RSD Ethanol to Residential</v>
      </c>
      <c r="M14" s="434" t="s">
        <v>13</v>
      </c>
      <c r="N14" s="434" t="s">
        <v>694</v>
      </c>
    </row>
    <row r="15" spans="1:17">
      <c r="A15" s="433" t="str">
        <f>COMM!A21</f>
        <v/>
      </c>
      <c r="B15" s="432" t="str">
        <f>_xlfn.TEXTJOIN(",",TRUE,IF(LEFT(Regions!$C$3,1)&lt;&gt;"*",Regions!$C$3,""),IF(LEFT(Regions!$D$3,1)&lt;&gt;"*",Regions!$D$3,""))</f>
        <v>IE,National</v>
      </c>
      <c r="C15" s="432" t="str">
        <f>_xlfn.TEXTJOIN("-",TRUE,SETUP!$B$4,COMM!E21)</f>
        <v>FT-RSDBDL</v>
      </c>
      <c r="D15" s="58" t="s">
        <v>709</v>
      </c>
      <c r="E15" s="432" t="str">
        <f>COMM!E21</f>
        <v>RSDBDL</v>
      </c>
      <c r="F15" s="433">
        <v>1</v>
      </c>
      <c r="G15" s="433"/>
      <c r="J15" s="432" t="str">
        <f>_xlfn.TEXTJOIN(",",TRUE,IF(LEFT(Regions!$C$3,1)&lt;&gt;"*",Regions!$C$3,""),IF(LEFT(Regions!$D$3,1)&lt;&gt;"*",Regions!$D$3,""))</f>
        <v>IE,National</v>
      </c>
      <c r="K15" s="434" t="str">
        <f t="shared" si="0"/>
        <v>FT-RSDBDL</v>
      </c>
      <c r="L15" s="435" t="str">
        <f>_xlfn.TEXTJOIN(" ",TRUE,SETUP!$B$3,COMM!F21)</f>
        <v>RSD Biodiesel to Residential</v>
      </c>
      <c r="M15" s="434" t="s">
        <v>13</v>
      </c>
      <c r="N15" s="434" t="s">
        <v>694</v>
      </c>
    </row>
    <row r="16" spans="1:17">
      <c r="A16" s="433"/>
      <c r="B16" s="432" t="str">
        <f>_xlfn.TEXTJOIN(",",TRUE,IF(LEFT(Regions!$C$3,1)&lt;&gt;"*",Regions!$C$3,""),IF(LEFT(Regions!$D$3,1)&lt;&gt;"*",Regions!$D$3,""))</f>
        <v>IE,National</v>
      </c>
      <c r="C16" s="432" t="str">
        <f>_xlfn.TEXTJOIN("-",TRUE,SETUP!$B$4,COMM!E24)</f>
        <v>FT-RSDELC</v>
      </c>
      <c r="D16" s="58" t="s">
        <v>822</v>
      </c>
      <c r="E16" s="432" t="str">
        <f>COMM!E24</f>
        <v>RSDELC</v>
      </c>
      <c r="F16" s="433">
        <v>1</v>
      </c>
      <c r="G16" s="433"/>
      <c r="J16" s="432" t="str">
        <f>_xlfn.TEXTJOIN(",",TRUE,IF(LEFT(Regions!$C$3,1)&lt;&gt;"*",Regions!$C$3,""),IF(LEFT(Regions!$D$3,1)&lt;&gt;"*",Regions!$D$3,""))</f>
        <v>IE,National</v>
      </c>
      <c r="K16" s="434" t="str">
        <f t="shared" si="0"/>
        <v>FT-RSDELC</v>
      </c>
      <c r="L16" s="435" t="str">
        <f>_xlfn.TEXTJOIN(" ",TRUE,SETUP!$B$3,COMM!F24)</f>
        <v>RSD Electricity to Residential</v>
      </c>
      <c r="M16" s="434" t="s">
        <v>13</v>
      </c>
      <c r="N16" s="434" t="s">
        <v>694</v>
      </c>
      <c r="O16" t="s">
        <v>862</v>
      </c>
    </row>
    <row r="17" spans="1:15">
      <c r="A17" s="433"/>
      <c r="B17" s="432" t="str">
        <f>_xlfn.TEXTJOIN(",",TRUE,IF(LEFT(Regions!$C$3,1)&lt;&gt;"*",Regions!$C$3,""),IF(LEFT(Regions!$D$3,1)&lt;&gt;"*",Regions!$D$3,""))</f>
        <v>IE,National</v>
      </c>
      <c r="C17" s="432" t="str">
        <f>_xlfn.TEXTJOIN("-",TRUE,SETUP!$B$4,COMM!E25)</f>
        <v>FT-RSDHET</v>
      </c>
      <c r="D17" s="58" t="s">
        <v>824</v>
      </c>
      <c r="E17" s="432" t="str">
        <f>COMM!E25</f>
        <v>RSDHET</v>
      </c>
      <c r="F17" s="433">
        <v>1</v>
      </c>
      <c r="G17" s="433"/>
      <c r="J17" s="432" t="str">
        <f>_xlfn.TEXTJOIN(",",TRUE,IF(LEFT(Regions!$C$3,1)&lt;&gt;"*",Regions!$C$3,""),IF(LEFT(Regions!$D$3,1)&lt;&gt;"*",Regions!$D$3,""))</f>
        <v>IE,National</v>
      </c>
      <c r="K17" s="434" t="str">
        <f t="shared" si="0"/>
        <v>FT-RSDHET</v>
      </c>
      <c r="L17" s="435" t="str">
        <f>_xlfn.TEXTJOIN(" ",TRUE,SETUP!$B$3,COMM!F25)</f>
        <v>RSD Heat to Residential</v>
      </c>
      <c r="M17" s="434" t="s">
        <v>13</v>
      </c>
      <c r="N17" s="434" t="s">
        <v>694</v>
      </c>
      <c r="O17" t="s">
        <v>862</v>
      </c>
    </row>
    <row r="18" spans="1:15">
      <c r="A18" s="433"/>
      <c r="B18" s="432" t="str">
        <f>_xlfn.TEXTJOIN(",",TRUE,IF(LEFT(Regions!$C$3,1)&lt;&gt;"*",Regions!$C$3,""),IF(LEFT(Regions!$D$3,1)&lt;&gt;"*",Regions!$D$3,""))</f>
        <v>IE,National</v>
      </c>
      <c r="C18" s="432" t="str">
        <f>_xlfn.TEXTJOIN("-",TRUE,SETUP!$B$4,COMM!E17)</f>
        <v>FT-RSDBGS</v>
      </c>
      <c r="D18" s="58" t="s">
        <v>897</v>
      </c>
      <c r="E18" t="s">
        <v>896</v>
      </c>
      <c r="F18" s="433">
        <v>1</v>
      </c>
      <c r="J18" s="432" t="str">
        <f>_xlfn.TEXTJOIN(",",TRUE,IF(LEFT(Regions!$C$3,1)&lt;&gt;"*",Regions!$C$3,""),IF(LEFT(Regions!$D$3,1)&lt;&gt;"*",Regions!$D$3,""))</f>
        <v>IE,National</v>
      </c>
      <c r="K18" s="434" t="str">
        <f t="shared" ref="K18" si="3">C18</f>
        <v>FT-RSDBGS</v>
      </c>
      <c r="L18" s="435" t="str">
        <f>_xlfn.TEXTJOIN(" ",TRUE,SETUP!$B$3,COMM!F17)</f>
        <v>RSD Biogas to Residential</v>
      </c>
      <c r="M18" s="434" t="s">
        <v>13</v>
      </c>
      <c r="N18" s="434" t="s">
        <v>694</v>
      </c>
    </row>
    <row r="19" spans="1:15">
      <c r="A19" s="433"/>
      <c r="B19" s="433"/>
      <c r="C19" s="432"/>
    </row>
    <row r="20" spans="1:15">
      <c r="A20" s="433"/>
      <c r="B20" s="433"/>
      <c r="C20" s="432"/>
    </row>
    <row r="21" spans="1:15">
      <c r="A21" s="433"/>
      <c r="B21" s="433"/>
      <c r="C21" s="432"/>
    </row>
    <row r="22" spans="1:15">
      <c r="A22" s="433"/>
      <c r="B22" s="433"/>
      <c r="C22" s="432"/>
    </row>
    <row r="23" spans="1:15">
      <c r="A23" s="433"/>
      <c r="B23" s="433"/>
      <c r="C23" s="432"/>
    </row>
    <row r="24" spans="1:15">
      <c r="A24" s="433"/>
      <c r="B24" s="433" t="s">
        <v>917</v>
      </c>
      <c r="C24" s="432"/>
    </row>
    <row r="25" spans="1:15">
      <c r="A25" s="433"/>
      <c r="B25" s="433"/>
      <c r="C25" s="432"/>
    </row>
    <row r="26" spans="1:15" ht="15.75" thickBot="1">
      <c r="A26" s="433"/>
      <c r="B26" s="985" t="s">
        <v>766</v>
      </c>
      <c r="C26" s="985" t="s">
        <v>255</v>
      </c>
      <c r="D26" s="985" t="s">
        <v>257</v>
      </c>
      <c r="E26" s="985" t="s">
        <v>258</v>
      </c>
      <c r="F26" s="985" t="s">
        <v>259</v>
      </c>
      <c r="G26" s="985" t="s">
        <v>911</v>
      </c>
      <c r="H26" s="985" t="s">
        <v>912</v>
      </c>
    </row>
    <row r="27" spans="1:15" ht="38.25">
      <c r="B27" s="986" t="s">
        <v>913</v>
      </c>
      <c r="C27" s="986" t="s">
        <v>913</v>
      </c>
      <c r="D27" s="986" t="s">
        <v>914</v>
      </c>
      <c r="E27" s="986" t="s">
        <v>915</v>
      </c>
      <c r="F27" s="987" t="s">
        <v>697</v>
      </c>
      <c r="G27" s="987" t="s">
        <v>916</v>
      </c>
      <c r="H27" s="987" t="s">
        <v>712</v>
      </c>
    </row>
    <row r="28" spans="1:15">
      <c r="B28" s="432" t="str">
        <f>_xlfn.TEXTJOIN(",",TRUE,IF(LEFT(Regions!$C$3,1)&lt;&gt;"*",Regions!$C$3,""),IF(LEFT(Regions!$D$3,1)&lt;&gt;"*",Regions!$D$3,""))</f>
        <v>IE,National</v>
      </c>
      <c r="C28" s="432" t="str">
        <f>_xlfn.TEXTJOIN("-",TRUE,SETUP!$B$4,COMM!E14)</f>
        <v>FT-RSDGAS</v>
      </c>
      <c r="D28" s="58" t="s">
        <v>207</v>
      </c>
      <c r="E28" s="432" t="str">
        <f>COMM!E14</f>
        <v>RSDGAS</v>
      </c>
      <c r="F28" s="433">
        <v>1</v>
      </c>
      <c r="G28" s="989">
        <v>0.8</v>
      </c>
      <c r="H28">
        <v>5</v>
      </c>
    </row>
    <row r="29" spans="1:15">
      <c r="B29" s="432" t="str">
        <f>_xlfn.TEXTJOIN(",",TRUE,IF(LEFT(Regions!$C$3,1)&lt;&gt;"*",Regions!$C$3,""),IF(LEFT(Regions!$D$3,1)&lt;&gt;"*",Regions!$D$3,""))</f>
        <v>IE,National</v>
      </c>
      <c r="C29" s="432"/>
      <c r="D29" s="58" t="s">
        <v>897</v>
      </c>
      <c r="F29" s="433">
        <v>1</v>
      </c>
      <c r="G29" s="988">
        <v>0.2</v>
      </c>
      <c r="H29">
        <v>5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CJ170"/>
  <sheetViews>
    <sheetView topLeftCell="A106" zoomScale="70" zoomScaleNormal="70" workbookViewId="0">
      <selection activeCell="F161" sqref="F161"/>
    </sheetView>
  </sheetViews>
  <sheetFormatPr defaultRowHeight="12.75"/>
  <cols>
    <col min="2" max="2" width="11" customWidth="1"/>
    <col min="3" max="3" width="15" bestFit="1" customWidth="1"/>
    <col min="4" max="4" width="32.5703125" bestFit="1" customWidth="1"/>
    <col min="5" max="5" width="17.140625" bestFit="1" customWidth="1"/>
    <col min="6" max="6" width="14.85546875" bestFit="1" customWidth="1"/>
    <col min="7" max="7" width="14.5703125" bestFit="1" customWidth="1"/>
    <col min="8" max="8" width="15" bestFit="1" customWidth="1"/>
    <col min="9" max="9" width="8.7109375" bestFit="1" customWidth="1"/>
    <col min="10" max="10" width="6.7109375" bestFit="1" customWidth="1"/>
    <col min="11" max="11" width="12.5703125" customWidth="1"/>
    <col min="12" max="12" width="11.28515625" bestFit="1" customWidth="1"/>
    <col min="13" max="13" width="11.28515625" customWidth="1"/>
    <col min="14" max="21" width="10.7109375" customWidth="1"/>
    <col min="22" max="22" width="12.42578125" customWidth="1"/>
    <col min="23" max="23" width="10.42578125" bestFit="1" customWidth="1"/>
    <col min="24" max="24" width="29.28515625" bestFit="1" customWidth="1"/>
    <col min="25" max="25" width="14.85546875" customWidth="1"/>
    <col min="26" max="26" width="32.140625" customWidth="1"/>
    <col min="27" max="27" width="8.28515625" customWidth="1"/>
    <col min="28" max="28" width="11" customWidth="1"/>
    <col min="29" max="31" width="10.42578125" customWidth="1"/>
    <col min="32" max="32" width="17.7109375" customWidth="1"/>
    <col min="33" max="33" width="10.42578125" customWidth="1"/>
    <col min="34" max="34" width="9" customWidth="1"/>
    <col min="35" max="35" width="10.42578125" customWidth="1"/>
    <col min="36" max="36" width="13.85546875" customWidth="1"/>
    <col min="37" max="38" width="10.42578125" customWidth="1"/>
    <col min="39" max="39" width="16" customWidth="1"/>
    <col min="40" max="40" width="39.7109375" customWidth="1"/>
    <col min="41" max="41" width="13" customWidth="1"/>
    <col min="42" max="42" width="15.42578125" customWidth="1"/>
    <col min="44" max="44" width="15" customWidth="1"/>
    <col min="45" max="45" width="12.42578125" customWidth="1"/>
    <col min="46" max="46" width="11.42578125" customWidth="1"/>
    <col min="55" max="55" width="3.140625" customWidth="1"/>
    <col min="56" max="56" width="5.7109375" customWidth="1"/>
    <col min="72" max="72" width="13.140625" customWidth="1"/>
  </cols>
  <sheetData>
    <row r="1" spans="2:88" ht="21">
      <c r="B1" s="49" t="s">
        <v>771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R1" s="58"/>
      <c r="AX1" s="58"/>
      <c r="AY1" s="58"/>
      <c r="AZ1" s="58"/>
      <c r="BA1" s="58"/>
      <c r="BB1" s="58"/>
      <c r="BC1" s="58"/>
    </row>
    <row r="2" spans="2:88" ht="12" customHeight="1" thickBot="1"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</row>
    <row r="3" spans="2:88" ht="21.75" thickBot="1">
      <c r="B3" s="49" t="s">
        <v>661</v>
      </c>
      <c r="C3" s="49"/>
      <c r="D3" s="49"/>
      <c r="E3" s="49"/>
      <c r="F3" s="964" t="s">
        <v>770</v>
      </c>
      <c r="G3" s="964"/>
      <c r="H3" s="964"/>
      <c r="I3" s="964"/>
      <c r="J3" s="964"/>
      <c r="K3" s="964"/>
      <c r="L3" s="964"/>
      <c r="N3" s="1124" t="s">
        <v>966</v>
      </c>
      <c r="O3" s="1125"/>
      <c r="P3" s="1124" t="s">
        <v>967</v>
      </c>
      <c r="Q3" s="1125"/>
      <c r="R3" s="1124" t="s">
        <v>968</v>
      </c>
      <c r="S3" s="1125"/>
      <c r="T3" s="1124" t="s">
        <v>969</v>
      </c>
      <c r="U3" s="1126"/>
      <c r="W3" s="19" t="s">
        <v>769</v>
      </c>
      <c r="X3" s="19"/>
      <c r="Y3" s="19"/>
      <c r="Z3" s="19"/>
      <c r="AA3" s="19"/>
      <c r="AB3" s="19"/>
      <c r="AC3" s="19"/>
      <c r="AD3" s="19"/>
      <c r="AE3" s="965"/>
      <c r="AF3" s="965"/>
      <c r="AG3" s="965"/>
      <c r="AH3" s="965"/>
      <c r="AI3" s="965"/>
      <c r="AJ3" s="965"/>
      <c r="AK3" s="965"/>
      <c r="AL3" s="965"/>
      <c r="AM3" s="965"/>
      <c r="AN3" s="965"/>
      <c r="AO3" s="965"/>
      <c r="AP3" s="965"/>
      <c r="AQ3" s="965"/>
      <c r="AR3" s="965"/>
      <c r="AS3" s="965"/>
      <c r="AT3" s="965"/>
      <c r="AU3" s="965"/>
      <c r="AV3" s="965"/>
      <c r="AW3" s="965"/>
      <c r="AX3" s="965"/>
      <c r="AY3" s="965"/>
      <c r="AZ3" s="965"/>
      <c r="BA3" s="965"/>
      <c r="BB3" s="965"/>
      <c r="BC3" s="965"/>
      <c r="BD3" s="965"/>
      <c r="BE3" s="965"/>
      <c r="BF3" s="965"/>
      <c r="BG3" s="965"/>
      <c r="BH3" s="965"/>
      <c r="BI3" s="965"/>
      <c r="BJ3" s="965"/>
      <c r="BK3" s="965"/>
      <c r="BL3" s="965"/>
      <c r="BM3" s="965"/>
      <c r="BN3" s="965"/>
      <c r="BO3" s="965"/>
      <c r="BP3" s="965"/>
      <c r="BQ3" s="965"/>
      <c r="BR3" s="965"/>
      <c r="BS3" s="965"/>
      <c r="BT3" s="965"/>
      <c r="BU3" s="965"/>
      <c r="BV3" s="965"/>
      <c r="BW3" s="965"/>
      <c r="BX3" s="965"/>
      <c r="BY3" s="965"/>
      <c r="BZ3" s="965"/>
      <c r="CA3" s="965"/>
      <c r="CB3" s="965"/>
      <c r="CC3" s="965"/>
      <c r="CD3" s="965"/>
      <c r="CE3" s="965"/>
      <c r="CF3" s="965"/>
      <c r="CG3" s="965"/>
      <c r="CH3" s="965"/>
      <c r="CI3" s="965"/>
      <c r="CJ3" s="965"/>
    </row>
    <row r="4" spans="2:88" ht="12" customHeight="1" thickBot="1">
      <c r="B4" s="21" t="s">
        <v>766</v>
      </c>
      <c r="C4" s="21" t="s">
        <v>255</v>
      </c>
      <c r="D4" s="21" t="s">
        <v>267</v>
      </c>
      <c r="E4" s="21" t="s">
        <v>257</v>
      </c>
      <c r="F4" s="21" t="s">
        <v>258</v>
      </c>
      <c r="G4" s="27" t="s">
        <v>972</v>
      </c>
      <c r="H4" s="27" t="s">
        <v>774</v>
      </c>
      <c r="I4" s="27" t="s">
        <v>825</v>
      </c>
      <c r="J4" s="27" t="s">
        <v>269</v>
      </c>
      <c r="K4" s="27" t="s">
        <v>270</v>
      </c>
      <c r="L4" s="27" t="s">
        <v>714</v>
      </c>
      <c r="N4" s="1053"/>
      <c r="O4" s="1054"/>
      <c r="P4" s="1055"/>
      <c r="Q4" s="1055"/>
      <c r="R4" s="1055"/>
      <c r="S4" s="1055"/>
      <c r="T4" s="1055"/>
      <c r="U4" s="1056"/>
      <c r="W4" s="21" t="s">
        <v>261</v>
      </c>
      <c r="X4" s="21" t="s">
        <v>766</v>
      </c>
      <c r="Y4" s="21" t="s">
        <v>255</v>
      </c>
      <c r="Z4" s="21" t="s">
        <v>256</v>
      </c>
      <c r="AA4" s="21" t="s">
        <v>262</v>
      </c>
      <c r="AB4" s="21" t="s">
        <v>263</v>
      </c>
      <c r="AC4" s="21" t="s">
        <v>264</v>
      </c>
      <c r="AD4" s="21" t="s">
        <v>265</v>
      </c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</row>
    <row r="5" spans="2:88" ht="26.25" thickBot="1">
      <c r="B5" s="853" t="s">
        <v>773</v>
      </c>
      <c r="C5" s="853" t="s">
        <v>271</v>
      </c>
      <c r="D5" s="853" t="s">
        <v>272</v>
      </c>
      <c r="E5" s="853" t="s">
        <v>273</v>
      </c>
      <c r="F5" s="853" t="s">
        <v>274</v>
      </c>
      <c r="G5" s="854" t="s">
        <v>275</v>
      </c>
      <c r="H5" s="854" t="s">
        <v>275</v>
      </c>
      <c r="I5" s="854"/>
      <c r="J5" s="855"/>
      <c r="K5" s="855"/>
      <c r="L5" s="855" t="s">
        <v>715</v>
      </c>
      <c r="N5" s="1057" t="s">
        <v>960</v>
      </c>
      <c r="O5" s="1058" t="s">
        <v>218</v>
      </c>
      <c r="P5" s="1057" t="s">
        <v>960</v>
      </c>
      <c r="Q5" s="1059" t="s">
        <v>218</v>
      </c>
      <c r="R5" s="1058" t="s">
        <v>960</v>
      </c>
      <c r="S5" s="1059" t="s">
        <v>218</v>
      </c>
      <c r="T5" s="1058" t="s">
        <v>960</v>
      </c>
      <c r="U5" s="1059" t="s">
        <v>218</v>
      </c>
      <c r="W5" s="23" t="s">
        <v>254</v>
      </c>
      <c r="X5" s="23"/>
      <c r="Y5" s="23"/>
      <c r="Z5" s="22"/>
      <c r="AA5" s="23"/>
      <c r="AB5" s="23"/>
      <c r="AC5" s="23"/>
      <c r="AD5" s="23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</row>
    <row r="6" spans="2:88" ht="15" customHeight="1" thickBot="1">
      <c r="B6" s="856" t="str">
        <f>_xlfn.TEXTJOIN(",",TRUE,IF(LEFT(Regions!$C$3,1)&lt;&gt;"*",Regions!$C$3,""),IF(LEFT(Regions!$D$3,1)&lt;&gt;"*",Regions!$D$3,""))</f>
        <v>IE,National</v>
      </c>
      <c r="C6" s="857" t="str">
        <f>Y6</f>
        <v>R-BLD_Att_A</v>
      </c>
      <c r="D6" s="858" t="str">
        <f>Z6</f>
        <v>Residential Building Attached _ A</v>
      </c>
      <c r="E6" s="858" t="str">
        <f>COMM!$O$10</f>
        <v>RSDSH_Att-AB</v>
      </c>
      <c r="F6" s="858" t="str">
        <f>COMM!$O$7</f>
        <v>RSD_Att</v>
      </c>
      <c r="G6" s="860">
        <f>AH8/1000</f>
        <v>37.185073727176743</v>
      </c>
      <c r="H6" s="860">
        <f>G6*$AH$26</f>
        <v>30.986321936856381</v>
      </c>
      <c r="I6" s="860">
        <v>1</v>
      </c>
      <c r="J6" s="858">
        <v>100</v>
      </c>
      <c r="K6" s="858">
        <v>1</v>
      </c>
      <c r="L6" s="966">
        <f>N6</f>
        <v>1.6091636703289762E-3</v>
      </c>
      <c r="N6" s="1060">
        <f>AR48*DwellingStocks!P18*(1+O53)</f>
        <v>1.6091636703289762E-3</v>
      </c>
      <c r="O6" s="1061">
        <f>N6*G6</f>
        <v>5.9836869720277311E-2</v>
      </c>
      <c r="P6" s="1062"/>
      <c r="Q6" s="1063"/>
      <c r="R6" s="1062"/>
      <c r="S6" s="1063"/>
      <c r="T6" s="1061"/>
      <c r="U6" s="1063"/>
      <c r="W6" s="379" t="s">
        <v>276</v>
      </c>
      <c r="X6" s="379" t="str">
        <f>_xlfn.TEXTJOIN(",",TRUE,IF(LEFT(Regions!$C$3,1)&lt;&gt;"*",Regions!$C$3,""),IF(LEFT(Regions!$D$3,1)&lt;&gt;"*",Regions!$D$3,""))</f>
        <v>IE,National</v>
      </c>
      <c r="Y6" s="379" t="str">
        <f>_xlfn.TEXTJOIN("",TRUE,LEFT(SETUP!B$3,1),"-",SETUP!B$85,"_",SETUP!B$37,"_",SETUP!B40)</f>
        <v>R-BLD_Att_A</v>
      </c>
      <c r="Z6" s="379" t="str">
        <f>_xlfn.TEXTJOIN(" ",TRUE,SETUP!C$3,SETUP!C$85,SETUP!C$37,"_",SETUP!B40)</f>
        <v>Residential Building Attached _ A</v>
      </c>
      <c r="AA6" s="379" t="s">
        <v>275</v>
      </c>
      <c r="AB6" s="967" t="s">
        <v>275</v>
      </c>
      <c r="AC6" s="379"/>
      <c r="AD6" s="379"/>
      <c r="AE6" s="25"/>
      <c r="AF6" s="1034" t="s">
        <v>572</v>
      </c>
      <c r="AG6" s="1034"/>
      <c r="AH6" s="1034"/>
      <c r="AI6" s="1034"/>
      <c r="AJ6" s="1034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</row>
    <row r="7" spans="2:88" ht="12" customHeight="1" thickBot="1">
      <c r="B7" s="861" t="str">
        <f>_xlfn.TEXTJOIN(",",TRUE,IF(LEFT(Regions!$C$3,1)&lt;&gt;"*",Regions!$C$3,""),IF(LEFT(Regions!$D$3,1)&lt;&gt;"*",Regions!$D$3,""))</f>
        <v>IE,National</v>
      </c>
      <c r="C7" s="449"/>
      <c r="D7" s="448"/>
      <c r="E7" s="448" t="str">
        <f>COMM!$O$28</f>
        <v>RSDSC_Att</v>
      </c>
      <c r="F7" s="448"/>
      <c r="G7" s="968"/>
      <c r="H7" s="968"/>
      <c r="I7" s="968"/>
      <c r="J7" s="448"/>
      <c r="K7" s="448"/>
      <c r="L7" s="969"/>
      <c r="N7" s="1042"/>
      <c r="O7" s="1035"/>
      <c r="P7" s="1046"/>
      <c r="Q7" s="1043"/>
      <c r="R7" s="1046"/>
      <c r="S7" s="1043"/>
      <c r="T7" s="1035"/>
      <c r="U7" s="1043"/>
      <c r="W7" s="970" t="s">
        <v>276</v>
      </c>
      <c r="X7" s="970" t="str">
        <f>_xlfn.TEXTJOIN(",",TRUE,IF(LEFT(Regions!$C$3,1)&lt;&gt;"*",Regions!$C$3,""),IF(LEFT(Regions!$D$3,1)&lt;&gt;"*",Regions!$D$3,""))</f>
        <v>IE,National</v>
      </c>
      <c r="Y7" s="970" t="str">
        <f>_xlfn.TEXTJOIN("",TRUE,LEFT(SETUP!B$3,1),"-",SETUP!B$85,"_",SETUP!B$37,"_",SETUP!B41)</f>
        <v>R-BLD_Att_B1</v>
      </c>
      <c r="Z7" s="970" t="str">
        <f>_xlfn.TEXTJOIN(" ",TRUE,SETUP!C$3,SETUP!C$85,SETUP!C$37,"_",SETUP!B41)</f>
        <v>Residential Building Attached _ B1</v>
      </c>
      <c r="AA7" s="971" t="s">
        <v>275</v>
      </c>
      <c r="AB7" s="970" t="s">
        <v>275</v>
      </c>
      <c r="AC7" s="971"/>
      <c r="AD7" s="970"/>
      <c r="AE7" s="25"/>
      <c r="AF7" s="223" t="s">
        <v>287</v>
      </c>
      <c r="AG7" s="224" t="s">
        <v>42</v>
      </c>
      <c r="AH7" s="224" t="s">
        <v>44</v>
      </c>
      <c r="AI7" s="224" t="s">
        <v>46</v>
      </c>
      <c r="AJ7" s="225" t="s">
        <v>285</v>
      </c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</row>
    <row r="8" spans="2:88" ht="12" customHeight="1">
      <c r="B8" s="862" t="str">
        <f>_xlfn.TEXTJOIN(",",TRUE,IF(LEFT(Regions!$C$3,1)&lt;&gt;"*",Regions!$C$3,""),IF(LEFT(Regions!$D$3,1)&lt;&gt;"*",Regions!$D$3,""))</f>
        <v>IE,National</v>
      </c>
      <c r="C8" s="293"/>
      <c r="D8" s="293"/>
      <c r="E8" s="293" t="str">
        <f>COMM!$O$31</f>
        <v>RSDWH_Att</v>
      </c>
      <c r="F8" s="293"/>
      <c r="G8" s="972"/>
      <c r="H8" s="972"/>
      <c r="I8" s="972"/>
      <c r="J8" s="293"/>
      <c r="K8" s="293"/>
      <c r="L8" s="973">
        <f>P8</f>
        <v>5.7786168730819204E-3</v>
      </c>
      <c r="N8" s="1042"/>
      <c r="O8" s="1035"/>
      <c r="P8" s="1046">
        <f>AS48*(1+Q53)</f>
        <v>5.7786168730819204E-3</v>
      </c>
      <c r="Q8" s="1043">
        <f>P8*G6</f>
        <v>0.21487829446665874</v>
      </c>
      <c r="R8" s="1046"/>
      <c r="S8" s="1043"/>
      <c r="T8" s="1035"/>
      <c r="U8" s="1043"/>
      <c r="W8" s="379" t="s">
        <v>276</v>
      </c>
      <c r="X8" s="379" t="str">
        <f>_xlfn.TEXTJOIN(",",TRUE,IF(LEFT(Regions!$C$3,1)&lt;&gt;"*",Regions!$C$3,""),IF(LEFT(Regions!$D$3,1)&lt;&gt;"*",Regions!$D$3,""))</f>
        <v>IE,National</v>
      </c>
      <c r="Y8" s="379" t="str">
        <f>_xlfn.TEXTJOIN("",TRUE,LEFT(SETUP!B$3,1),"-",SETUP!B$85,"_",SETUP!B$37,"_",SETUP!B42)</f>
        <v>R-BLD_Att_B2</v>
      </c>
      <c r="Z8" s="379" t="str">
        <f>_xlfn.TEXTJOIN(" ",TRUE,SETUP!C$3,SETUP!C$85,SETUP!C$37,"_",SETUP!B42)</f>
        <v>Residential Building Attached _ B2</v>
      </c>
      <c r="AA8" s="379" t="s">
        <v>275</v>
      </c>
      <c r="AB8" s="967" t="s">
        <v>275</v>
      </c>
      <c r="AC8" s="379"/>
      <c r="AD8" s="379"/>
      <c r="AE8" s="25"/>
      <c r="AF8" s="213" t="s">
        <v>48</v>
      </c>
      <c r="AG8" s="310">
        <v>14439.898856806734</v>
      </c>
      <c r="AH8" s="310">
        <v>37185.073727176743</v>
      </c>
      <c r="AI8" s="1028">
        <v>31355.706337556119</v>
      </c>
      <c r="AJ8" s="1033">
        <f>SUM(AG8:AI8)</f>
        <v>82980.678921539598</v>
      </c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</row>
    <row r="9" spans="2:88" ht="12" customHeight="1">
      <c r="B9" s="861" t="str">
        <f>_xlfn.TEXTJOIN(",",TRUE,IF(LEFT(Regions!$C$3,1)&lt;&gt;"*",Regions!$C$3,""),IF(LEFT(Regions!$D$3,1)&lt;&gt;"*",Regions!$D$3,""))</f>
        <v>IE,National</v>
      </c>
      <c r="C9" s="449"/>
      <c r="D9" s="448"/>
      <c r="E9" s="448" t="str">
        <f>COMM!$O$34</f>
        <v>RSDLT_Att</v>
      </c>
      <c r="F9" s="448"/>
      <c r="G9" s="968"/>
      <c r="H9" s="968"/>
      <c r="I9" s="968"/>
      <c r="J9" s="448"/>
      <c r="K9" s="448"/>
      <c r="L9" s="969">
        <f>R9</f>
        <v>1.8560424678794151E-3</v>
      </c>
      <c r="N9" s="1042"/>
      <c r="O9" s="1035"/>
      <c r="P9" s="1046"/>
      <c r="Q9" s="1043"/>
      <c r="R9" s="1046">
        <f>AT48*(1+S53)</f>
        <v>1.8560424678794151E-3</v>
      </c>
      <c r="S9" s="1043">
        <f>R9*G6</f>
        <v>6.9017076008867126E-2</v>
      </c>
      <c r="T9" s="1067"/>
      <c r="U9" s="1043"/>
      <c r="W9" s="970" t="s">
        <v>276</v>
      </c>
      <c r="X9" s="970" t="str">
        <f>_xlfn.TEXTJOIN(",",TRUE,IF(LEFT(Regions!$C$3,1)&lt;&gt;"*",Regions!$C$3,""),IF(LEFT(Regions!$D$3,1)&lt;&gt;"*",Regions!$D$3,""))</f>
        <v>IE,National</v>
      </c>
      <c r="Y9" s="970" t="str">
        <f>_xlfn.TEXTJOIN("",TRUE,LEFT(SETUP!B$3,1),"-",SETUP!B$85,"_",SETUP!B$37,"_",SETUP!B43)</f>
        <v>R-BLD_Att_B3</v>
      </c>
      <c r="Z9" s="970" t="str">
        <f>_xlfn.TEXTJOIN(" ",TRUE,SETUP!C$3,SETUP!C$85,SETUP!C$37,"_",SETUP!B43)</f>
        <v>Residential Building Attached _ B3</v>
      </c>
      <c r="AA9" s="971" t="s">
        <v>275</v>
      </c>
      <c r="AB9" s="970" t="s">
        <v>275</v>
      </c>
      <c r="AC9" s="971"/>
      <c r="AD9" s="970"/>
      <c r="AE9" s="25"/>
      <c r="AF9" s="210" t="s">
        <v>50</v>
      </c>
      <c r="AG9" s="312">
        <v>7459.2913438514906</v>
      </c>
      <c r="AH9" s="312">
        <v>9537.7783975583752</v>
      </c>
      <c r="AI9" s="1029">
        <v>9433.9012004747347</v>
      </c>
      <c r="AJ9" s="1033">
        <f t="shared" ref="AJ9:AJ16" si="0">SUM(AG9:AI9)</f>
        <v>26430.9709418846</v>
      </c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</row>
    <row r="10" spans="2:88" ht="12" customHeight="1" thickBot="1">
      <c r="B10" s="863" t="str">
        <f>_xlfn.TEXTJOIN(",",TRUE,IF(LEFT(Regions!$C$3,1)&lt;&gt;"*",Regions!$C$3,""),IF(LEFT(Regions!$D$3,1)&lt;&gt;"*",Regions!$D$3,""))</f>
        <v>IE,National</v>
      </c>
      <c r="C10" s="864"/>
      <c r="D10" s="864"/>
      <c r="E10" s="864" t="str">
        <f>COMM!$O$37</f>
        <v>RSDPF_Att</v>
      </c>
      <c r="F10" s="864"/>
      <c r="G10" s="865"/>
      <c r="H10" s="865"/>
      <c r="I10" s="865"/>
      <c r="J10" s="864"/>
      <c r="K10" s="864"/>
      <c r="L10" s="976">
        <f>T10</f>
        <v>1.1622050236225537E-3</v>
      </c>
      <c r="N10" s="1064"/>
      <c r="O10" s="1044"/>
      <c r="P10" s="1065"/>
      <c r="Q10" s="1045"/>
      <c r="R10" s="1065"/>
      <c r="S10" s="1045"/>
      <c r="T10" s="1066">
        <f>AU48*(1+$U$53)</f>
        <v>1.1622050236225537E-3</v>
      </c>
      <c r="U10" s="1045">
        <f>T10*G6</f>
        <v>4.3216679489499844E-2</v>
      </c>
      <c r="W10" s="379" t="s">
        <v>276</v>
      </c>
      <c r="X10" s="379" t="str">
        <f>_xlfn.TEXTJOIN(",",TRUE,IF(LEFT(Regions!$C$3,1)&lt;&gt;"*",Regions!$C$3,""),IF(LEFT(Regions!$D$3,1)&lt;&gt;"*",Regions!$D$3,""))</f>
        <v>IE,National</v>
      </c>
      <c r="Y10" s="379" t="str">
        <f>_xlfn.TEXTJOIN("",TRUE,LEFT(SETUP!B$3,1),"-",SETUP!B$85,"_",SETUP!B$37,"_",SETUP!B44)</f>
        <v>R-BLD_Att_C</v>
      </c>
      <c r="Z10" s="379" t="str">
        <f>_xlfn.TEXTJOIN(" ",TRUE,SETUP!C$3,SETUP!C$85,SETUP!C$37,"_",SETUP!B44)</f>
        <v>Residential Building Attached _ C</v>
      </c>
      <c r="AA10" s="379" t="s">
        <v>275</v>
      </c>
      <c r="AB10" s="967" t="s">
        <v>275</v>
      </c>
      <c r="AC10" s="379"/>
      <c r="AD10" s="379"/>
      <c r="AE10" s="25"/>
      <c r="AF10" s="214" t="s">
        <v>52</v>
      </c>
      <c r="AG10" s="314">
        <v>14041.847426430093</v>
      </c>
      <c r="AH10" s="314">
        <v>17545.09295382088</v>
      </c>
      <c r="AI10" s="1030">
        <v>20090.949195825138</v>
      </c>
      <c r="AJ10" s="1033">
        <f t="shared" si="0"/>
        <v>51677.889576076108</v>
      </c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</row>
    <row r="11" spans="2:88" ht="12" customHeight="1">
      <c r="B11" s="856" t="str">
        <f>_xlfn.TEXTJOIN(",",TRUE,IF(LEFT(Regions!$C$3,1)&lt;&gt;"*",Regions!$C$3,""),IF(LEFT(Regions!$D$3,1)&lt;&gt;"*",Regions!$D$3,""))</f>
        <v>IE,National</v>
      </c>
      <c r="C11" s="857" t="str">
        <f>Y7</f>
        <v>R-BLD_Att_B1</v>
      </c>
      <c r="D11" s="858" t="str">
        <f>Z7</f>
        <v>Residential Building Attached _ B1</v>
      </c>
      <c r="E11" s="858" t="str">
        <f>COMM!$O$10</f>
        <v>RSDSH_Att-AB</v>
      </c>
      <c r="F11" s="858" t="str">
        <f>COMM!$O$7</f>
        <v>RSD_Att</v>
      </c>
      <c r="G11" s="860">
        <f>AH9/1000</f>
        <v>9.537778397558375</v>
      </c>
      <c r="H11" s="860">
        <f>G11*$AH$26</f>
        <v>7.9478307386853944</v>
      </c>
      <c r="I11" s="860">
        <v>1</v>
      </c>
      <c r="J11" s="858">
        <v>100</v>
      </c>
      <c r="K11" s="858">
        <v>1</v>
      </c>
      <c r="L11" s="966">
        <f>N11</f>
        <v>1.2603603215973543E-2</v>
      </c>
      <c r="N11" s="1042">
        <f>AR49*DwellingStocks!P19*(1+O53)</f>
        <v>1.2603603215973543E-2</v>
      </c>
      <c r="O11" s="1035">
        <f>N11*G11</f>
        <v>0.12021037448470971</v>
      </c>
      <c r="P11" s="1046"/>
      <c r="Q11" s="1043"/>
      <c r="R11" s="1035"/>
      <c r="S11" s="1043"/>
      <c r="T11" s="1067"/>
      <c r="U11" s="1043"/>
      <c r="W11" s="970" t="s">
        <v>276</v>
      </c>
      <c r="X11" s="970" t="str">
        <f>_xlfn.TEXTJOIN(",",TRUE,IF(LEFT(Regions!$C$3,1)&lt;&gt;"*",Regions!$C$3,""),IF(LEFT(Regions!$D$3,1)&lt;&gt;"*",Regions!$D$3,""))</f>
        <v>IE,National</v>
      </c>
      <c r="Y11" s="970" t="str">
        <f>_xlfn.TEXTJOIN("",TRUE,LEFT(SETUP!B$3,1),"-",SETUP!B$85,"_",SETUP!B$37,"_",SETUP!B45)</f>
        <v>R-BLD_Att_D</v>
      </c>
      <c r="Z11" s="970" t="str">
        <f>_xlfn.TEXTJOIN(" ",TRUE,SETUP!C$3,SETUP!C$85,SETUP!C$37,"_",SETUP!B45)</f>
        <v>Residential Building Attached _ D</v>
      </c>
      <c r="AA11" s="971" t="s">
        <v>275</v>
      </c>
      <c r="AB11" s="970" t="s">
        <v>275</v>
      </c>
      <c r="AC11" s="971"/>
      <c r="AD11" s="970"/>
      <c r="AE11" s="25"/>
      <c r="AF11" s="210" t="s">
        <v>54</v>
      </c>
      <c r="AG11" s="312">
        <v>19924.480375055824</v>
      </c>
      <c r="AH11" s="312">
        <v>49768.849685929476</v>
      </c>
      <c r="AI11" s="1029">
        <v>53466.210043981671</v>
      </c>
      <c r="AJ11" s="1033">
        <f t="shared" si="0"/>
        <v>123159.54010496697</v>
      </c>
      <c r="AK11" s="25"/>
      <c r="AL11" s="25"/>
      <c r="AM11" s="25"/>
      <c r="AN11" s="25"/>
      <c r="AO11" s="25"/>
      <c r="AP11" s="834"/>
      <c r="AQ11" s="834"/>
      <c r="AR11" s="834"/>
      <c r="AS11" s="834"/>
      <c r="AT11" s="834"/>
      <c r="AU11" s="834"/>
      <c r="AV11" s="834"/>
      <c r="AW11" s="834"/>
      <c r="AX11" s="834"/>
      <c r="AY11" s="834"/>
      <c r="AZ11" s="834"/>
      <c r="BA11" s="834"/>
      <c r="BB11" s="834"/>
      <c r="BC11" s="834"/>
      <c r="BD11" s="834"/>
      <c r="BE11" s="834"/>
      <c r="BF11" s="834"/>
      <c r="BG11" s="834"/>
      <c r="BH11" s="834"/>
      <c r="BI11" s="834"/>
      <c r="BJ11" s="834"/>
      <c r="BK11" s="834"/>
      <c r="BL11" s="834"/>
      <c r="BM11" s="834"/>
      <c r="BN11" s="834"/>
      <c r="BO11" s="834"/>
      <c r="BP11" s="834"/>
      <c r="BQ11" s="834"/>
      <c r="BR11" s="834"/>
      <c r="BS11" s="834"/>
      <c r="BT11" s="834"/>
      <c r="BU11" s="834"/>
      <c r="BV11" s="834"/>
      <c r="BW11" s="834"/>
      <c r="BX11" s="834"/>
      <c r="BY11" s="834"/>
      <c r="BZ11" s="834"/>
      <c r="CA11" s="834"/>
      <c r="CB11" s="834"/>
      <c r="CC11" s="834"/>
      <c r="CD11" s="834"/>
      <c r="CE11" s="834"/>
      <c r="CF11" s="834"/>
      <c r="CG11" s="834"/>
      <c r="CH11" s="834"/>
      <c r="CI11" s="834"/>
      <c r="CJ11" s="834"/>
    </row>
    <row r="12" spans="2:88" ht="12" customHeight="1">
      <c r="B12" s="861" t="str">
        <f>_xlfn.TEXTJOIN(",",TRUE,IF(LEFT(Regions!$C$3,1)&lt;&gt;"*",Regions!$C$3,""),IF(LEFT(Regions!$D$3,1)&lt;&gt;"*",Regions!$D$3,""))</f>
        <v>IE,National</v>
      </c>
      <c r="C12" s="449"/>
      <c r="D12" s="448"/>
      <c r="E12" s="448" t="str">
        <f>COMM!$O$28</f>
        <v>RSDSC_Att</v>
      </c>
      <c r="F12" s="448"/>
      <c r="G12" s="968"/>
      <c r="H12" s="968"/>
      <c r="I12" s="968"/>
      <c r="J12" s="448"/>
      <c r="K12" s="448"/>
      <c r="L12" s="969"/>
      <c r="N12" s="1042"/>
      <c r="O12" s="1035"/>
      <c r="P12" s="1046"/>
      <c r="Q12" s="1043"/>
      <c r="R12" s="1035"/>
      <c r="S12" s="1043"/>
      <c r="T12" s="1067"/>
      <c r="U12" s="1043"/>
      <c r="W12" s="379" t="s">
        <v>276</v>
      </c>
      <c r="X12" s="379" t="str">
        <f>_xlfn.TEXTJOIN(",",TRUE,IF(LEFT(Regions!$C$3,1)&lt;&gt;"*",Regions!$C$3,""),IF(LEFT(Regions!$D$3,1)&lt;&gt;"*",Regions!$D$3,""))</f>
        <v>IE,National</v>
      </c>
      <c r="Y12" s="379" t="str">
        <f>_xlfn.TEXTJOIN("",TRUE,LEFT(SETUP!B$3,1),"-",SETUP!B$85,"_",SETUP!B$37,"_",SETUP!B46)</f>
        <v>R-BLD_Att_E</v>
      </c>
      <c r="Z12" s="379" t="str">
        <f>_xlfn.TEXTJOIN(" ",TRUE,SETUP!C$3,SETUP!C$85,SETUP!C$37,"_",SETUP!B46)</f>
        <v>Residential Building Attached _ E</v>
      </c>
      <c r="AA12" s="379" t="s">
        <v>275</v>
      </c>
      <c r="AB12" s="967" t="s">
        <v>275</v>
      </c>
      <c r="AC12" s="379"/>
      <c r="AD12" s="379"/>
      <c r="AE12" s="25"/>
      <c r="AF12" s="214" t="s">
        <v>56</v>
      </c>
      <c r="AG12" s="314">
        <v>58904.8034364337</v>
      </c>
      <c r="AH12" s="314">
        <v>282151.52747564798</v>
      </c>
      <c r="AI12" s="1030">
        <v>251318.93361374349</v>
      </c>
      <c r="AJ12" s="1033">
        <f t="shared" si="0"/>
        <v>592375.26452582516</v>
      </c>
      <c r="AK12" s="25"/>
      <c r="AL12" s="25"/>
      <c r="AM12" s="25"/>
      <c r="AN12" s="25"/>
      <c r="AO12" s="25"/>
      <c r="AP12" s="834"/>
      <c r="AQ12" s="834"/>
      <c r="AR12" s="834"/>
      <c r="AS12" s="834"/>
      <c r="AT12" s="834"/>
      <c r="AU12" s="834"/>
      <c r="AV12" s="834"/>
      <c r="AW12" s="834"/>
      <c r="AX12" s="834"/>
      <c r="AY12" s="834"/>
      <c r="AZ12" s="834"/>
      <c r="BA12" s="834"/>
      <c r="BB12" s="834"/>
      <c r="BC12" s="834"/>
      <c r="BD12" s="834"/>
      <c r="BE12" s="834"/>
      <c r="BF12" s="834"/>
      <c r="BG12" s="834"/>
      <c r="BH12" s="834"/>
      <c r="BI12" s="834"/>
      <c r="BJ12" s="834"/>
      <c r="BK12" s="834"/>
      <c r="BL12" s="834"/>
      <c r="BM12" s="834"/>
      <c r="BN12" s="834"/>
      <c r="BO12" s="834"/>
      <c r="BP12" s="834"/>
      <c r="BQ12" s="834"/>
      <c r="BR12" s="834"/>
      <c r="BS12" s="834"/>
      <c r="BT12" s="834"/>
      <c r="BU12" s="834"/>
      <c r="BV12" s="834"/>
      <c r="BW12" s="834"/>
      <c r="BX12" s="834"/>
      <c r="BY12" s="834"/>
      <c r="BZ12" s="834"/>
      <c r="CA12" s="834"/>
      <c r="CB12" s="834"/>
      <c r="CC12" s="834"/>
      <c r="CD12" s="834"/>
      <c r="CE12" s="834"/>
      <c r="CF12" s="834"/>
      <c r="CG12" s="834"/>
      <c r="CH12" s="834"/>
      <c r="CI12" s="834"/>
      <c r="CJ12" s="834"/>
    </row>
    <row r="13" spans="2:88" ht="12" customHeight="1">
      <c r="B13" s="862" t="str">
        <f>_xlfn.TEXTJOIN(",",TRUE,IF(LEFT(Regions!$C$3,1)&lt;&gt;"*",Regions!$C$3,""),IF(LEFT(Regions!$D$3,1)&lt;&gt;"*",Regions!$D$3,""))</f>
        <v>IE,National</v>
      </c>
      <c r="C13" s="293"/>
      <c r="D13" s="293"/>
      <c r="E13" s="293" t="str">
        <f>COMM!$O$31</f>
        <v>RSDWH_Att</v>
      </c>
      <c r="F13" s="293"/>
      <c r="G13" s="972"/>
      <c r="H13" s="972"/>
      <c r="I13" s="972"/>
      <c r="J13" s="293"/>
      <c r="K13" s="293"/>
      <c r="L13" s="973">
        <f>P13</f>
        <v>5.3948468322694218E-3</v>
      </c>
      <c r="N13" s="1042"/>
      <c r="O13" s="1035"/>
      <c r="P13" s="1046">
        <f>AS49*(1+Q53)</f>
        <v>5.3948468322694218E-3</v>
      </c>
      <c r="Q13" s="1043">
        <f>P13*G11</f>
        <v>5.1454853574955522E-2</v>
      </c>
      <c r="R13" s="1035"/>
      <c r="S13" s="1043"/>
      <c r="T13" s="1067"/>
      <c r="U13" s="1043"/>
      <c r="W13" s="970" t="s">
        <v>276</v>
      </c>
      <c r="X13" s="970" t="str">
        <f>_xlfn.TEXTJOIN(",",TRUE,IF(LEFT(Regions!$C$3,1)&lt;&gt;"*",Regions!$C$3,""),IF(LEFT(Regions!$D$3,1)&lt;&gt;"*",Regions!$D$3,""))</f>
        <v>IE,National</v>
      </c>
      <c r="Y13" s="970" t="str">
        <f>_xlfn.TEXTJOIN("",TRUE,LEFT(SETUP!B$3,1),"-",SETUP!B$85,"_",SETUP!B$37,"_",SETUP!B47)</f>
        <v>R-BLD_Att_F</v>
      </c>
      <c r="Z13" s="970" t="str">
        <f>_xlfn.TEXTJOIN(" ",TRUE,SETUP!C$3,SETUP!C$85,SETUP!C$37,"_",SETUP!B47)</f>
        <v>Residential Building Attached _ F</v>
      </c>
      <c r="AA13" s="971" t="s">
        <v>275</v>
      </c>
      <c r="AB13" s="970" t="s">
        <v>275</v>
      </c>
      <c r="AC13" s="971"/>
      <c r="AD13" s="970"/>
      <c r="AF13" s="210" t="s">
        <v>58</v>
      </c>
      <c r="AG13" s="312">
        <v>43739.341649106158</v>
      </c>
      <c r="AH13" s="312">
        <v>187627.02237661046</v>
      </c>
      <c r="AI13" s="1029">
        <v>166667.79141279124</v>
      </c>
      <c r="AJ13" s="1033">
        <f t="shared" si="0"/>
        <v>398034.15543850785</v>
      </c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</row>
    <row r="14" spans="2:88" ht="12" customHeight="1" thickBot="1">
      <c r="B14" s="861" t="str">
        <f>_xlfn.TEXTJOIN(",",TRUE,IF(LEFT(Regions!$C$3,1)&lt;&gt;"*",Regions!$C$3,""),IF(LEFT(Regions!$D$3,1)&lt;&gt;"*",Regions!$D$3,""))</f>
        <v>IE,National</v>
      </c>
      <c r="C14" s="449"/>
      <c r="D14" s="448"/>
      <c r="E14" s="448" t="str">
        <f>COMM!$O$34</f>
        <v>RSDLT_Att</v>
      </c>
      <c r="F14" s="448"/>
      <c r="G14" s="968"/>
      <c r="H14" s="968"/>
      <c r="I14" s="968"/>
      <c r="J14" s="448"/>
      <c r="K14" s="448"/>
      <c r="L14" s="969">
        <f>R14</f>
        <v>1.9485140020392242E-3</v>
      </c>
      <c r="N14" s="1042"/>
      <c r="O14" s="1035"/>
      <c r="P14" s="1046"/>
      <c r="Q14" s="1043"/>
      <c r="R14" s="1035">
        <f>AT49*(1+S53)</f>
        <v>1.9485140020392242E-3</v>
      </c>
      <c r="S14" s="1043">
        <f>R14*G11</f>
        <v>1.8584494755989729E-2</v>
      </c>
      <c r="T14" s="1067"/>
      <c r="U14" s="1043"/>
      <c r="W14" s="978" t="s">
        <v>276</v>
      </c>
      <c r="X14" s="978" t="str">
        <f>_xlfn.TEXTJOIN(",",TRUE,IF(LEFT(Regions!$C$3,1)&lt;&gt;"*",Regions!$C$3,""),IF(LEFT(Regions!$D$3,1)&lt;&gt;"*",Regions!$D$3,""))</f>
        <v>IE,National</v>
      </c>
      <c r="Y14" s="978" t="str">
        <f>_xlfn.TEXTJOIN("",TRUE,LEFT(SETUP!B$3,1),"-",SETUP!B$85,"_",SETUP!B$37,"_",SETUP!B48)</f>
        <v>R-BLD_Att_G</v>
      </c>
      <c r="Z14" s="978" t="str">
        <f>_xlfn.TEXTJOIN(" ",TRUE,SETUP!C$3,SETUP!C$85,SETUP!C$37,"_",SETUP!B48)</f>
        <v>Residential Building Attached _ G</v>
      </c>
      <c r="AA14" s="978" t="s">
        <v>275</v>
      </c>
      <c r="AB14" s="979" t="s">
        <v>275</v>
      </c>
      <c r="AC14" s="978"/>
      <c r="AD14" s="978"/>
      <c r="AE14" s="25"/>
      <c r="AF14" s="214" t="s">
        <v>60</v>
      </c>
      <c r="AG14" s="314">
        <v>25767.876472761334</v>
      </c>
      <c r="AH14" s="314">
        <v>101418.89596184672</v>
      </c>
      <c r="AI14" s="1030">
        <v>81396.697989555512</v>
      </c>
      <c r="AJ14" s="1033">
        <f t="shared" si="0"/>
        <v>208583.47042416356</v>
      </c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</row>
    <row r="15" spans="2:88" ht="12" customHeight="1" thickBot="1">
      <c r="B15" s="863" t="str">
        <f>_xlfn.TEXTJOIN(",",TRUE,IF(LEFT(Regions!$C$3,1)&lt;&gt;"*",Regions!$C$3,""),IF(LEFT(Regions!$D$3,1)&lt;&gt;"*",Regions!$D$3,""))</f>
        <v>IE,National</v>
      </c>
      <c r="C15" s="864"/>
      <c r="D15" s="864"/>
      <c r="E15" s="864" t="str">
        <f>COMM!$O$37</f>
        <v>RSDPF_Att</v>
      </c>
      <c r="F15" s="864"/>
      <c r="G15" s="865"/>
      <c r="H15" s="865"/>
      <c r="I15" s="865"/>
      <c r="J15" s="864"/>
      <c r="K15" s="864"/>
      <c r="L15" s="976">
        <f>T15</f>
        <v>7.1027322323221514E-4</v>
      </c>
      <c r="N15" s="1042"/>
      <c r="O15" s="1035"/>
      <c r="P15" s="1046"/>
      <c r="Q15" s="1043"/>
      <c r="R15" s="1035"/>
      <c r="S15" s="1043"/>
      <c r="T15" s="1067">
        <f>AU49*(1+$U$53)</f>
        <v>7.1027322323221514E-4</v>
      </c>
      <c r="U15" s="1043">
        <f>T15*G11</f>
        <v>6.7744286049083785E-3</v>
      </c>
      <c r="W15" s="970" t="s">
        <v>276</v>
      </c>
      <c r="X15" s="970" t="str">
        <f>_xlfn.TEXTJOIN(",",TRUE,IF(LEFT(Regions!$C$3,1)&lt;&gt;"*",Regions!$C$3,""),IF(LEFT(Regions!$D$3,1)&lt;&gt;"*",Regions!$D$3,""))</f>
        <v>IE,National</v>
      </c>
      <c r="Y15" s="970" t="str">
        <f>_xlfn.TEXTJOIN("",TRUE,LEFT(SETUP!B$3,1),"-",SETUP!B$85,"_",SETUP!B$36,"_",SETUP!B40)</f>
        <v>R-BLD_Apt_A</v>
      </c>
      <c r="Z15" s="970" t="str">
        <f>_xlfn.TEXTJOIN(" ",TRUE,SETUP!C$3,SETUP!C$85,SETUP!C$36,"_",SETUP!B40)</f>
        <v>Residential Building Apartment _ A</v>
      </c>
      <c r="AA15" s="971" t="s">
        <v>275</v>
      </c>
      <c r="AB15" s="970" t="s">
        <v>275</v>
      </c>
      <c r="AC15" s="971"/>
      <c r="AD15" s="970"/>
      <c r="AE15" s="25"/>
      <c r="AF15" s="210" t="s">
        <v>62</v>
      </c>
      <c r="AG15" s="312">
        <v>12331.173226884033</v>
      </c>
      <c r="AH15" s="312">
        <v>50123.806027321167</v>
      </c>
      <c r="AI15" s="1029">
        <v>43241.005762967114</v>
      </c>
      <c r="AJ15" s="1033">
        <f t="shared" si="0"/>
        <v>105695.98501717232</v>
      </c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</row>
    <row r="16" spans="2:88" ht="12" customHeight="1" thickBot="1">
      <c r="B16" s="856" t="str">
        <f>_xlfn.TEXTJOIN(",",TRUE,IF(LEFT(Regions!$C$3,1)&lt;&gt;"*",Regions!$C$3,""),IF(LEFT(Regions!$D$3,1)&lt;&gt;"*",Regions!$D$3,""))</f>
        <v>IE,National</v>
      </c>
      <c r="C16" s="857" t="str">
        <f>Y8</f>
        <v>R-BLD_Att_B2</v>
      </c>
      <c r="D16" s="858" t="str">
        <f>Z8</f>
        <v>Residential Building Attached _ B2</v>
      </c>
      <c r="E16" s="858" t="str">
        <f>COMM!$O$10</f>
        <v>RSDSH_Att-AB</v>
      </c>
      <c r="F16" s="858" t="str">
        <f>COMM!$O$7</f>
        <v>RSD_Att</v>
      </c>
      <c r="G16" s="860">
        <f>AH10/1000</f>
        <v>17.54509295382088</v>
      </c>
      <c r="H16" s="860">
        <f>G16*$AH$26</f>
        <v>14.62032595841894</v>
      </c>
      <c r="I16" s="860">
        <v>1</v>
      </c>
      <c r="J16" s="858">
        <v>100</v>
      </c>
      <c r="K16" s="858">
        <v>1</v>
      </c>
      <c r="L16" s="966">
        <f>N16</f>
        <v>1.9962815705499223E-2</v>
      </c>
      <c r="N16" s="1060">
        <f>AR50*DwellingStocks!P20*(1+O53)</f>
        <v>1.9962815705499223E-2</v>
      </c>
      <c r="O16" s="1061">
        <f>N16*G16</f>
        <v>0.35024945717297923</v>
      </c>
      <c r="P16" s="1062"/>
      <c r="Q16" s="1063"/>
      <c r="R16" s="1061"/>
      <c r="S16" s="1063"/>
      <c r="T16" s="1068"/>
      <c r="U16" s="1063"/>
      <c r="W16" s="379" t="s">
        <v>276</v>
      </c>
      <c r="X16" s="379" t="str">
        <f>_xlfn.TEXTJOIN(",",TRUE,IF(LEFT(Regions!$C$3,1)&lt;&gt;"*",Regions!$C$3,""),IF(LEFT(Regions!$D$3,1)&lt;&gt;"*",Regions!$D$3,""))</f>
        <v>IE,National</v>
      </c>
      <c r="Y16" s="379" t="str">
        <f>_xlfn.TEXTJOIN("",TRUE,LEFT(SETUP!B$3,1),"-",SETUP!B$85,"_",SETUP!B$36,"_",SETUP!B41)</f>
        <v>R-BLD_Apt_B1</v>
      </c>
      <c r="Z16" s="379" t="str">
        <f>_xlfn.TEXTJOIN(" ",TRUE,SETUP!C$3,SETUP!C$85,SETUP!C$36,"_",SETUP!B41)</f>
        <v>Residential Building Apartment _ B1</v>
      </c>
      <c r="AA16" s="379" t="s">
        <v>275</v>
      </c>
      <c r="AB16" s="967" t="s">
        <v>275</v>
      </c>
      <c r="AC16" s="379"/>
      <c r="AD16" s="379"/>
      <c r="AE16" s="25"/>
      <c r="AF16" s="226" t="s">
        <v>64</v>
      </c>
      <c r="AG16" s="316">
        <v>15211.172212670604</v>
      </c>
      <c r="AH16" s="316">
        <v>52706.674394088106</v>
      </c>
      <c r="AI16" s="1031">
        <v>78435.533443104825</v>
      </c>
      <c r="AJ16" s="1033">
        <f t="shared" si="0"/>
        <v>146353.38004986354</v>
      </c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</row>
    <row r="17" spans="2:88" ht="12" customHeight="1" thickBot="1">
      <c r="B17" s="861" t="str">
        <f>_xlfn.TEXTJOIN(",",TRUE,IF(LEFT(Regions!$C$3,1)&lt;&gt;"*",Regions!$C$3,""),IF(LEFT(Regions!$D$3,1)&lt;&gt;"*",Regions!$D$3,""))</f>
        <v>IE,National</v>
      </c>
      <c r="C17" s="449"/>
      <c r="D17" s="448"/>
      <c r="E17" s="448" t="str">
        <f>COMM!$O$28</f>
        <v>RSDSC_Att</v>
      </c>
      <c r="F17" s="448"/>
      <c r="G17" s="968"/>
      <c r="H17" s="968"/>
      <c r="I17" s="968"/>
      <c r="J17" s="448"/>
      <c r="K17" s="448"/>
      <c r="L17" s="969"/>
      <c r="N17" s="1042"/>
      <c r="O17" s="1035"/>
      <c r="P17" s="1046"/>
      <c r="Q17" s="1043"/>
      <c r="R17" s="1035"/>
      <c r="S17" s="1043"/>
      <c r="T17" s="1067"/>
      <c r="U17" s="1043"/>
      <c r="W17" s="970" t="s">
        <v>276</v>
      </c>
      <c r="X17" s="970" t="str">
        <f>_xlfn.TEXTJOIN(",",TRUE,IF(LEFT(Regions!$C$3,1)&lt;&gt;"*",Regions!$C$3,""),IF(LEFT(Regions!$D$3,1)&lt;&gt;"*",Regions!$D$3,""))</f>
        <v>IE,National</v>
      </c>
      <c r="Y17" s="970" t="str">
        <f>_xlfn.TEXTJOIN("",TRUE,LEFT(SETUP!B$3,1),"-",SETUP!B$85,"_",SETUP!B$36,"_",SETUP!B42)</f>
        <v>R-BLD_Apt_B2</v>
      </c>
      <c r="Z17" s="970" t="str">
        <f>_xlfn.TEXTJOIN(" ",TRUE,SETUP!C$3,SETUP!C$85,SETUP!C$36,"_",SETUP!B42)</f>
        <v>Residential Building Apartment _ B2</v>
      </c>
      <c r="AA17" s="971" t="s">
        <v>275</v>
      </c>
      <c r="AB17" s="970" t="s">
        <v>275</v>
      </c>
      <c r="AC17" s="971"/>
      <c r="AD17" s="970"/>
      <c r="AE17" s="25"/>
      <c r="AF17" s="227" t="s">
        <v>218</v>
      </c>
      <c r="AG17" s="317">
        <v>211920.88499999998</v>
      </c>
      <c r="AH17" s="317">
        <v>788103.72099999979</v>
      </c>
      <c r="AI17" s="317">
        <v>735438.72899999993</v>
      </c>
      <c r="AJ17" s="1032">
        <f>SUM(AG17:AI17)</f>
        <v>1735463.3349999997</v>
      </c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</row>
    <row r="18" spans="2:88" ht="12" customHeight="1" thickBot="1">
      <c r="B18" s="862" t="str">
        <f>_xlfn.TEXTJOIN(",",TRUE,IF(LEFT(Regions!$C$3,1)&lt;&gt;"*",Regions!$C$3,""),IF(LEFT(Regions!$D$3,1)&lt;&gt;"*",Regions!$D$3,""))</f>
        <v>IE,National</v>
      </c>
      <c r="C18" s="293"/>
      <c r="D18" s="293"/>
      <c r="E18" s="293" t="str">
        <f>COMM!$O$31</f>
        <v>RSDWH_Att</v>
      </c>
      <c r="F18" s="293"/>
      <c r="G18" s="972"/>
      <c r="H18" s="972"/>
      <c r="I18" s="972"/>
      <c r="J18" s="293"/>
      <c r="K18" s="293"/>
      <c r="L18" s="973">
        <f>P18</f>
        <v>7.9920668210354071E-3</v>
      </c>
      <c r="N18" s="1042"/>
      <c r="O18" s="1035"/>
      <c r="P18" s="1046">
        <f>AS50*(1+Q53)</f>
        <v>7.9920668210354071E-3</v>
      </c>
      <c r="Q18" s="1043">
        <f>P18*G16</f>
        <v>0.14022155526821398</v>
      </c>
      <c r="R18" s="1035"/>
      <c r="S18" s="1043"/>
      <c r="T18" s="1067"/>
      <c r="U18" s="1043"/>
      <c r="W18" s="379" t="s">
        <v>276</v>
      </c>
      <c r="X18" s="379" t="str">
        <f>_xlfn.TEXTJOIN(",",TRUE,IF(LEFT(Regions!$C$3,1)&lt;&gt;"*",Regions!$C$3,""),IF(LEFT(Regions!$D$3,1)&lt;&gt;"*",Regions!$D$3,""))</f>
        <v>IE,National</v>
      </c>
      <c r="Y18" s="379" t="str">
        <f>_xlfn.TEXTJOIN("",TRUE,LEFT(SETUP!B$3,1),"-",SETUP!B$85,"_",SETUP!B$36,"_",SETUP!B43)</f>
        <v>R-BLD_Apt_B3</v>
      </c>
      <c r="Z18" s="379" t="str">
        <f>_xlfn.TEXTJOIN(" ",TRUE,SETUP!C$3,SETUP!C$85,SETUP!C$36,"_",SETUP!B43)</f>
        <v>Residential Building Apartment _ B3</v>
      </c>
      <c r="AA18" s="379" t="s">
        <v>275</v>
      </c>
      <c r="AB18" s="967" t="s">
        <v>275</v>
      </c>
      <c r="AC18" s="379"/>
      <c r="AD18" s="379"/>
      <c r="AE18" s="25"/>
      <c r="AF18" s="982" t="s">
        <v>898</v>
      </c>
      <c r="AG18" s="378">
        <v>0.74286208971025169</v>
      </c>
      <c r="AH18" s="378">
        <v>0.69963472197389465</v>
      </c>
      <c r="AI18" s="378">
        <v>0.71303848954914961</v>
      </c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</row>
    <row r="19" spans="2:88" ht="12" customHeight="1">
      <c r="B19" s="861" t="str">
        <f>_xlfn.TEXTJOIN(",",TRUE,IF(LEFT(Regions!$C$3,1)&lt;&gt;"*",Regions!$C$3,""),IF(LEFT(Regions!$D$3,1)&lt;&gt;"*",Regions!$D$3,""))</f>
        <v>IE,National</v>
      </c>
      <c r="C19" s="449"/>
      <c r="D19" s="448"/>
      <c r="E19" s="448" t="str">
        <f>COMM!$O$34</f>
        <v>RSDLT_Att</v>
      </c>
      <c r="F19" s="448"/>
      <c r="G19" s="968"/>
      <c r="H19" s="968"/>
      <c r="I19" s="968"/>
      <c r="J19" s="448"/>
      <c r="K19" s="448"/>
      <c r="L19" s="969">
        <f>R19</f>
        <v>2.3372037057235689E-3</v>
      </c>
      <c r="N19" s="1042"/>
      <c r="O19" s="1035"/>
      <c r="P19" s="1046"/>
      <c r="Q19" s="1043"/>
      <c r="R19" s="1035">
        <f>AT50*(1+S53)</f>
        <v>2.3372037057235689E-3</v>
      </c>
      <c r="S19" s="1043">
        <f>R19*G16</f>
        <v>4.1006456268934642E-2</v>
      </c>
      <c r="T19" s="1067"/>
      <c r="U19" s="1043"/>
      <c r="W19" s="970" t="s">
        <v>276</v>
      </c>
      <c r="X19" s="970" t="str">
        <f>_xlfn.TEXTJOIN(",",TRUE,IF(LEFT(Regions!$C$3,1)&lt;&gt;"*",Regions!$C$3,""),IF(LEFT(Regions!$D$3,1)&lt;&gt;"*",Regions!$D$3,""))</f>
        <v>IE,National</v>
      </c>
      <c r="Y19" s="970" t="str">
        <f>_xlfn.TEXTJOIN("",TRUE,LEFT(SETUP!B$3,1),"-",SETUP!B$85,"_",SETUP!B$36,"_",SETUP!B44)</f>
        <v>R-BLD_Apt_C</v>
      </c>
      <c r="Z19" s="970" t="str">
        <f>_xlfn.TEXTJOIN(" ",TRUE,SETUP!C$3,SETUP!C$85,SETUP!C$36,"_",SETUP!B44)</f>
        <v>Residential Building Apartment _ C</v>
      </c>
      <c r="AA19" s="971" t="s">
        <v>275</v>
      </c>
      <c r="AB19" s="970" t="s">
        <v>275</v>
      </c>
      <c r="AC19" s="971"/>
      <c r="AD19" s="970"/>
      <c r="AE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</row>
    <row r="20" spans="2:88" ht="12" customHeight="1" thickBot="1">
      <c r="B20" s="863" t="str">
        <f>_xlfn.TEXTJOIN(",",TRUE,IF(LEFT(Regions!$C$3,1)&lt;&gt;"*",Regions!$C$3,""),IF(LEFT(Regions!$D$3,1)&lt;&gt;"*",Regions!$D$3,""))</f>
        <v>IE,National</v>
      </c>
      <c r="C20" s="864"/>
      <c r="D20" s="864"/>
      <c r="E20" s="864" t="str">
        <f>COMM!$O$37</f>
        <v>RSDPF_Att</v>
      </c>
      <c r="F20" s="864"/>
      <c r="G20" s="865"/>
      <c r="H20" s="865"/>
      <c r="I20" s="865"/>
      <c r="J20" s="864"/>
      <c r="K20" s="864"/>
      <c r="L20" s="976">
        <f>T20</f>
        <v>6.778385309697862E-4</v>
      </c>
      <c r="N20" s="1064"/>
      <c r="O20" s="1044"/>
      <c r="P20" s="1065"/>
      <c r="Q20" s="1045"/>
      <c r="R20" s="1044"/>
      <c r="S20" s="1045"/>
      <c r="T20" s="1066">
        <f>AU50*(1+$U$53)</f>
        <v>6.778385309697862E-4</v>
      </c>
      <c r="U20" s="1045">
        <f>T20*G16</f>
        <v>1.1892740033546293E-2</v>
      </c>
      <c r="W20" s="379" t="s">
        <v>276</v>
      </c>
      <c r="X20" s="379" t="str">
        <f>_xlfn.TEXTJOIN(",",TRUE,IF(LEFT(Regions!$C$3,1)&lt;&gt;"*",Regions!$C$3,""),IF(LEFT(Regions!$D$3,1)&lt;&gt;"*",Regions!$D$3,""))</f>
        <v>IE,National</v>
      </c>
      <c r="Y20" s="379" t="str">
        <f>_xlfn.TEXTJOIN("",TRUE,LEFT(SETUP!B$3,1),"-",SETUP!B$85,"_",SETUP!B$36,"_",SETUP!B45)</f>
        <v>R-BLD_Apt_D</v>
      </c>
      <c r="Z20" s="379" t="str">
        <f>_xlfn.TEXTJOIN(" ",TRUE,SETUP!C$3,SETUP!C$85,SETUP!C$36,"_",SETUP!B45)</f>
        <v>Residential Building Apartment _ D</v>
      </c>
      <c r="AA20" s="379" t="s">
        <v>275</v>
      </c>
      <c r="AB20" s="967" t="s">
        <v>275</v>
      </c>
      <c r="AC20" s="379"/>
      <c r="AD20" s="379"/>
      <c r="AE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</row>
    <row r="21" spans="2:88" ht="12" customHeight="1">
      <c r="B21" s="856" t="str">
        <f>_xlfn.TEXTJOIN(",",TRUE,IF(LEFT(Regions!$C$3,1)&lt;&gt;"*",Regions!$C$3,""),IF(LEFT(Regions!$D$3,1)&lt;&gt;"*",Regions!$D$3,""))</f>
        <v>IE,National</v>
      </c>
      <c r="C21" s="857" t="str">
        <f>Y9</f>
        <v>R-BLD_Att_B3</v>
      </c>
      <c r="D21" s="858" t="str">
        <f>Z9</f>
        <v>Residential Building Attached _ B3</v>
      </c>
      <c r="E21" s="858" t="str">
        <f>COMM!$O$10</f>
        <v>RSDSH_Att-AB</v>
      </c>
      <c r="F21" s="858" t="str">
        <f>COMM!$O$7</f>
        <v>RSD_Att</v>
      </c>
      <c r="G21" s="860">
        <f>AH11/1000</f>
        <v>49.768849685929474</v>
      </c>
      <c r="H21" s="860">
        <f>G21*$AH$26</f>
        <v>41.472382443285035</v>
      </c>
      <c r="I21" s="860">
        <v>1</v>
      </c>
      <c r="J21" s="858">
        <v>100</v>
      </c>
      <c r="K21" s="858">
        <v>1</v>
      </c>
      <c r="L21" s="966">
        <f>N21</f>
        <v>2.3880087312967643E-2</v>
      </c>
      <c r="N21" s="1042">
        <f>AR51*DwellingStocks!P21*(1+O53)</f>
        <v>2.3880087312967643E-2</v>
      </c>
      <c r="O21" s="1035">
        <f>N21*G21</f>
        <v>1.1884844759659581</v>
      </c>
      <c r="P21" s="1046"/>
      <c r="Q21" s="1043"/>
      <c r="R21" s="1035"/>
      <c r="S21" s="1043"/>
      <c r="T21" s="1067"/>
      <c r="U21" s="1043"/>
      <c r="W21" s="970" t="s">
        <v>276</v>
      </c>
      <c r="X21" s="970" t="str">
        <f>_xlfn.TEXTJOIN(",",TRUE,IF(LEFT(Regions!$C$3,1)&lt;&gt;"*",Regions!$C$3,""),IF(LEFT(Regions!$D$3,1)&lt;&gt;"*",Regions!$D$3,""))</f>
        <v>IE,National</v>
      </c>
      <c r="Y21" s="970" t="str">
        <f>_xlfn.TEXTJOIN("",TRUE,LEFT(SETUP!B$3,1),"-",SETUP!B$85,"_",SETUP!B$36,"_",SETUP!B46)</f>
        <v>R-BLD_Apt_E</v>
      </c>
      <c r="Z21" s="970" t="str">
        <f>_xlfn.TEXTJOIN(" ",TRUE,SETUP!C$3,SETUP!C$85,SETUP!C$36,"_",SETUP!B46)</f>
        <v>Residential Building Apartment _ E</v>
      </c>
      <c r="AA21" s="971" t="s">
        <v>275</v>
      </c>
      <c r="AB21" s="970" t="s">
        <v>275</v>
      </c>
      <c r="AC21" s="971"/>
      <c r="AD21" s="970"/>
      <c r="AE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</row>
    <row r="22" spans="2:88" ht="12" customHeight="1">
      <c r="B22" s="861" t="str">
        <f>_xlfn.TEXTJOIN(",",TRUE,IF(LEFT(Regions!$C$3,1)&lt;&gt;"*",Regions!$C$3,""),IF(LEFT(Regions!$D$3,1)&lt;&gt;"*",Regions!$D$3,""))</f>
        <v>IE,National</v>
      </c>
      <c r="C22" s="449"/>
      <c r="D22" s="448"/>
      <c r="E22" s="448" t="str">
        <f>COMM!$O$28</f>
        <v>RSDSC_Att</v>
      </c>
      <c r="F22" s="448"/>
      <c r="G22" s="968"/>
      <c r="H22" s="968"/>
      <c r="I22" s="968"/>
      <c r="J22" s="448"/>
      <c r="K22" s="448"/>
      <c r="L22" s="969"/>
      <c r="N22" s="1042"/>
      <c r="O22" s="1035"/>
      <c r="P22" s="1046"/>
      <c r="Q22" s="1043"/>
      <c r="R22" s="1035"/>
      <c r="S22" s="1043"/>
      <c r="T22" s="1067"/>
      <c r="U22" s="1043"/>
      <c r="W22" s="379" t="s">
        <v>276</v>
      </c>
      <c r="X22" s="379" t="str">
        <f>_xlfn.TEXTJOIN(",",TRUE,IF(LEFT(Regions!$C$3,1)&lt;&gt;"*",Regions!$C$3,""),IF(LEFT(Regions!$D$3,1)&lt;&gt;"*",Regions!$D$3,""))</f>
        <v>IE,National</v>
      </c>
      <c r="Y22" s="379" t="str">
        <f>_xlfn.TEXTJOIN("",TRUE,LEFT(SETUP!B$3,1),"-",SETUP!B$85,"_",SETUP!B$36,"_",SETUP!B47)</f>
        <v>R-BLD_Apt_F</v>
      </c>
      <c r="Z22" s="379" t="str">
        <f>_xlfn.TEXTJOIN(" ",TRUE,SETUP!C$3,SETUP!C$85,SETUP!C$36,"_",SETUP!B47)</f>
        <v>Residential Building Apartment _ F</v>
      </c>
      <c r="AA22" s="379" t="s">
        <v>275</v>
      </c>
      <c r="AB22" s="967" t="s">
        <v>275</v>
      </c>
      <c r="AC22" s="379"/>
      <c r="AD22" s="379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</row>
    <row r="23" spans="2:88" ht="12" customHeight="1" thickBot="1">
      <c r="B23" s="862" t="str">
        <f>_xlfn.TEXTJOIN(",",TRUE,IF(LEFT(Regions!$C$3,1)&lt;&gt;"*",Regions!$C$3,""),IF(LEFT(Regions!$D$3,1)&lt;&gt;"*",Regions!$D$3,""))</f>
        <v>IE,National</v>
      </c>
      <c r="C23" s="293"/>
      <c r="D23" s="293"/>
      <c r="E23" s="293" t="str">
        <f>COMM!$O$31</f>
        <v>RSDWH_Att</v>
      </c>
      <c r="F23" s="293"/>
      <c r="G23" s="972"/>
      <c r="H23" s="972"/>
      <c r="I23" s="972"/>
      <c r="J23" s="293"/>
      <c r="K23" s="293"/>
      <c r="L23" s="973">
        <f>P23</f>
        <v>8.9012862565573808E-3</v>
      </c>
      <c r="N23" s="1042"/>
      <c r="O23" s="1035"/>
      <c r="P23" s="1046">
        <f>AS51*(1+Q53)</f>
        <v>8.9012862565573808E-3</v>
      </c>
      <c r="Q23" s="1043">
        <f>P23*G21</f>
        <v>0.44300677771403413</v>
      </c>
      <c r="R23" s="1035"/>
      <c r="S23" s="1043"/>
      <c r="T23" s="1067"/>
      <c r="U23" s="1043"/>
      <c r="W23" s="983" t="s">
        <v>276</v>
      </c>
      <c r="X23" s="983" t="str">
        <f>_xlfn.TEXTJOIN(",",TRUE,IF(LEFT(Regions!$C$3,1)&lt;&gt;"*",Regions!$C$3,""),IF(LEFT(Regions!$D$3,1)&lt;&gt;"*",Regions!$D$3,""))</f>
        <v>IE,National</v>
      </c>
      <c r="Y23" s="983" t="str">
        <f>_xlfn.TEXTJOIN("",TRUE,LEFT(SETUP!B$3,1),"-",SETUP!B$85,"_",SETUP!B$36,"_",SETUP!B48)</f>
        <v>R-BLD_Apt_G</v>
      </c>
      <c r="Z23" s="983" t="str">
        <f>_xlfn.TEXTJOIN(" ",TRUE,SETUP!C$3,SETUP!C$85,SETUP!C$36,"_",SETUP!B48)</f>
        <v>Residential Building Apartment _ G</v>
      </c>
      <c r="AA23" s="984" t="s">
        <v>275</v>
      </c>
      <c r="AB23" s="983" t="s">
        <v>275</v>
      </c>
      <c r="AC23" s="984"/>
      <c r="AD23" s="983"/>
      <c r="AE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</row>
    <row r="24" spans="2:88" ht="17.25" customHeight="1" thickBot="1">
      <c r="B24" s="861" t="str">
        <f>_xlfn.TEXTJOIN(",",TRUE,IF(LEFT(Regions!$C$3,1)&lt;&gt;"*",Regions!$C$3,""),IF(LEFT(Regions!$D$3,1)&lt;&gt;"*",Regions!$D$3,""))</f>
        <v>IE,National</v>
      </c>
      <c r="C24" s="449"/>
      <c r="D24" s="448"/>
      <c r="E24" s="448" t="str">
        <f>COMM!$O$34</f>
        <v>RSDLT_Att</v>
      </c>
      <c r="F24" s="448"/>
      <c r="G24" s="968"/>
      <c r="H24" s="968"/>
      <c r="I24" s="968"/>
      <c r="J24" s="448"/>
      <c r="K24" s="448"/>
      <c r="L24" s="969">
        <f>R24</f>
        <v>2.3984460022487644E-3</v>
      </c>
      <c r="N24" s="1042"/>
      <c r="O24" s="1035"/>
      <c r="P24" s="1046"/>
      <c r="Q24" s="1043"/>
      <c r="R24" s="1035">
        <f>AT51*(1+S53)</f>
        <v>2.3984460022487644E-3</v>
      </c>
      <c r="S24" s="1043">
        <f>R24*G21</f>
        <v>0.11936789856573722</v>
      </c>
      <c r="T24" s="1067"/>
      <c r="U24" s="1043"/>
      <c r="W24" s="379" t="s">
        <v>276</v>
      </c>
      <c r="X24" s="379" t="str">
        <f>_xlfn.TEXTJOIN(",",TRUE,IF(LEFT(Regions!$C$3,1)&lt;&gt;"*",Regions!$C$3,""),IF(LEFT(Regions!$D$3,1)&lt;&gt;"*",Regions!$D$3,""))</f>
        <v>IE,National</v>
      </c>
      <c r="Y24" s="379" t="str">
        <f>_xlfn.TEXTJOIN("",TRUE,LEFT(SETUP!B$3,1),"-",SETUP!B$85,"_",SETUP!B$38,"_",SETUP!B40)</f>
        <v>R-BLD_Det_A</v>
      </c>
      <c r="Z24" s="379" t="str">
        <f>_xlfn.TEXTJOIN(" ",TRUE,SETUP!C$3,SETUP!C$85,SETUP!C$38,"_",SETUP!B40)</f>
        <v>Residential Building Detached _ A</v>
      </c>
      <c r="AA24" s="379" t="s">
        <v>275</v>
      </c>
      <c r="AB24" s="967" t="s">
        <v>275</v>
      </c>
      <c r="AC24" s="379"/>
      <c r="AD24" s="379"/>
      <c r="AE24" s="25"/>
      <c r="AF24" s="1114" t="s">
        <v>899</v>
      </c>
      <c r="AG24" s="1115"/>
      <c r="AH24" s="1115"/>
      <c r="AI24" s="1115"/>
      <c r="AJ24" s="1116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</row>
    <row r="25" spans="2:88" ht="15.75" thickBot="1">
      <c r="B25" s="863" t="str">
        <f>_xlfn.TEXTJOIN(",",TRUE,IF(LEFT(Regions!$C$3,1)&lt;&gt;"*",Regions!$C$3,""),IF(LEFT(Regions!$D$3,1)&lt;&gt;"*",Regions!$D$3,""))</f>
        <v>IE,National</v>
      </c>
      <c r="C25" s="864"/>
      <c r="D25" s="864"/>
      <c r="E25" s="864" t="str">
        <f>COMM!$O$37</f>
        <v>RSDPF_Att</v>
      </c>
      <c r="F25" s="864"/>
      <c r="G25" s="865"/>
      <c r="H25" s="865"/>
      <c r="I25" s="865"/>
      <c r="J25" s="864"/>
      <c r="K25" s="864"/>
      <c r="L25" s="976">
        <f>T25</f>
        <v>6.6242891453733731E-4</v>
      </c>
      <c r="N25" s="1042"/>
      <c r="O25" s="1035"/>
      <c r="P25" s="1046"/>
      <c r="Q25" s="1043"/>
      <c r="R25" s="1035"/>
      <c r="S25" s="1043"/>
      <c r="T25" s="1067">
        <f>AU51*(1+$U$53)</f>
        <v>6.6242891453733731E-4</v>
      </c>
      <c r="U25" s="1043">
        <f>T25*G21</f>
        <v>3.2968325075222162E-2</v>
      </c>
      <c r="W25" s="970" t="s">
        <v>276</v>
      </c>
      <c r="X25" s="970" t="str">
        <f>_xlfn.TEXTJOIN(",",TRUE,IF(LEFT(Regions!$C$3,1)&lt;&gt;"*",Regions!$C$3,""),IF(LEFT(Regions!$D$3,1)&lt;&gt;"*",Regions!$D$3,""))</f>
        <v>IE,National</v>
      </c>
      <c r="Y25" s="970" t="str">
        <f>_xlfn.TEXTJOIN("",TRUE,LEFT(SETUP!B$3,1),"-",SETUP!B$85,"_",SETUP!B$38,"_",SETUP!B41)</f>
        <v>R-BLD_Det_B1</v>
      </c>
      <c r="Z25" s="970" t="str">
        <f>_xlfn.TEXTJOIN(" ",TRUE,SETUP!C$3,SETUP!C$85,SETUP!C$38,"_",SETUP!B41)</f>
        <v>Residential Building Detached _ B1</v>
      </c>
      <c r="AA25" s="971" t="s">
        <v>275</v>
      </c>
      <c r="AB25" s="970" t="s">
        <v>275</v>
      </c>
      <c r="AC25" s="971"/>
      <c r="AD25" s="970"/>
      <c r="AE25" s="25"/>
      <c r="AF25" s="1117" t="s">
        <v>900</v>
      </c>
      <c r="AG25" s="1118"/>
      <c r="AH25" s="1117" t="s">
        <v>901</v>
      </c>
      <c r="AI25" s="1118"/>
      <c r="AJ25" s="1119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</row>
    <row r="26" spans="2:88" ht="13.5" thickBot="1">
      <c r="B26" s="856" t="str">
        <f>_xlfn.TEXTJOIN(",",TRUE,IF(LEFT(Regions!$C$3,1)&lt;&gt;"*",Regions!$C$3,""),IF(LEFT(Regions!$D$3,1)&lt;&gt;"*",Regions!$D$3,""))</f>
        <v>IE,National</v>
      </c>
      <c r="C26" s="857" t="str">
        <f>Y10</f>
        <v>R-BLD_Att_C</v>
      </c>
      <c r="D26" s="858" t="str">
        <f>Z10</f>
        <v>Residential Building Attached _ C</v>
      </c>
      <c r="E26" s="858" t="str">
        <f>COMM!$O$13</f>
        <v>RSDSH_Att-C</v>
      </c>
      <c r="F26" s="858" t="str">
        <f>COMM!$O$7</f>
        <v>RSD_Att</v>
      </c>
      <c r="G26" s="860">
        <f>AH12/1000</f>
        <v>282.15152747564798</v>
      </c>
      <c r="H26" s="860">
        <f>G26*$AH$26</f>
        <v>235.11686784545748</v>
      </c>
      <c r="I26" s="860">
        <v>1</v>
      </c>
      <c r="J26" s="858">
        <v>100</v>
      </c>
      <c r="K26" s="858">
        <v>1</v>
      </c>
      <c r="L26" s="966">
        <f>N26</f>
        <v>2.0324283757671095E-2</v>
      </c>
      <c r="N26" s="1060">
        <f>AR52*DwellingStocks!P22*(1+O53)</f>
        <v>2.0324283757671095E-2</v>
      </c>
      <c r="O26" s="1061">
        <f>N26*G26</f>
        <v>5.7345277070754017</v>
      </c>
      <c r="P26" s="1062"/>
      <c r="Q26" s="1063"/>
      <c r="R26" s="1061"/>
      <c r="S26" s="1063"/>
      <c r="T26" s="1068"/>
      <c r="U26" s="1063"/>
      <c r="W26" s="379" t="s">
        <v>276</v>
      </c>
      <c r="X26" s="379" t="str">
        <f>_xlfn.TEXTJOIN(",",TRUE,IF(LEFT(Regions!$C$3,1)&lt;&gt;"*",Regions!$C$3,""),IF(LEFT(Regions!$D$3,1)&lt;&gt;"*",Regions!$D$3,""))</f>
        <v>IE,National</v>
      </c>
      <c r="Y26" s="379" t="str">
        <f>_xlfn.TEXTJOIN("",TRUE,LEFT(SETUP!B$3,1),"-",SETUP!B$85,"_",SETUP!B$38,"_",SETUP!B42)</f>
        <v>R-BLD_Det_B2</v>
      </c>
      <c r="Z26" s="379" t="str">
        <f>_xlfn.TEXTJOIN(" ",TRUE,SETUP!C$3,SETUP!C$85,SETUP!C$38,"_",SETUP!B42)</f>
        <v>Residential Building Detached _ B2</v>
      </c>
      <c r="AA26" s="379" t="s">
        <v>275</v>
      </c>
      <c r="AB26" s="967" t="s">
        <v>275</v>
      </c>
      <c r="AC26" s="379"/>
      <c r="AD26" s="379"/>
      <c r="AF26" s="1120">
        <v>3.5000000000000001E-3</v>
      </c>
      <c r="AG26" s="1121"/>
      <c r="AH26" s="1120">
        <v>0.83330000000000004</v>
      </c>
      <c r="AI26" s="1122"/>
      <c r="AJ26" s="1123"/>
    </row>
    <row r="27" spans="2:88">
      <c r="B27" s="861" t="str">
        <f>_xlfn.TEXTJOIN(",",TRUE,IF(LEFT(Regions!$C$3,1)&lt;&gt;"*",Regions!$C$3,""),IF(LEFT(Regions!$D$3,1)&lt;&gt;"*",Regions!$D$3,""))</f>
        <v>IE,National</v>
      </c>
      <c r="C27" s="449"/>
      <c r="D27" s="448"/>
      <c r="E27" s="448" t="str">
        <f>COMM!$O$28</f>
        <v>RSDSC_Att</v>
      </c>
      <c r="F27" s="448"/>
      <c r="G27" s="968"/>
      <c r="H27" s="968"/>
      <c r="I27" s="968"/>
      <c r="J27" s="448"/>
      <c r="K27" s="448"/>
      <c r="L27" s="969"/>
      <c r="N27" s="1042"/>
      <c r="O27" s="1035"/>
      <c r="P27" s="1046"/>
      <c r="Q27" s="1043"/>
      <c r="R27" s="1035"/>
      <c r="S27" s="1043"/>
      <c r="T27" s="1067"/>
      <c r="U27" s="1043"/>
      <c r="W27" s="970" t="s">
        <v>276</v>
      </c>
      <c r="X27" s="970" t="str">
        <f>_xlfn.TEXTJOIN(",",TRUE,IF(LEFT(Regions!$C$3,1)&lt;&gt;"*",Regions!$C$3,""),IF(LEFT(Regions!$D$3,1)&lt;&gt;"*",Regions!$D$3,""))</f>
        <v>IE,National</v>
      </c>
      <c r="Y27" s="970" t="str">
        <f>_xlfn.TEXTJOIN("",TRUE,LEFT(SETUP!B$3,1),"-",SETUP!B$85,"_",SETUP!B$38,"_",SETUP!B43)</f>
        <v>R-BLD_Det_B3</v>
      </c>
      <c r="Z27" s="970" t="str">
        <f>_xlfn.TEXTJOIN(" ",TRUE,SETUP!C$3,SETUP!C$85,SETUP!C$38,"_",SETUP!B43)</f>
        <v>Residential Building Detached _ B3</v>
      </c>
      <c r="AA27" s="971" t="s">
        <v>275</v>
      </c>
      <c r="AB27" s="970" t="s">
        <v>275</v>
      </c>
      <c r="AC27" s="971"/>
      <c r="AD27" s="970"/>
    </row>
    <row r="28" spans="2:88">
      <c r="B28" s="862" t="str">
        <f>_xlfn.TEXTJOIN(",",TRUE,IF(LEFT(Regions!$C$3,1)&lt;&gt;"*",Regions!$C$3,""),IF(LEFT(Regions!$D$3,1)&lt;&gt;"*",Regions!$D$3,""))</f>
        <v>IE,National</v>
      </c>
      <c r="C28" s="293"/>
      <c r="D28" s="293"/>
      <c r="E28" s="293" t="str">
        <f>COMM!$O$31</f>
        <v>RSDWH_Att</v>
      </c>
      <c r="F28" s="293"/>
      <c r="G28" s="972"/>
      <c r="H28" s="972"/>
      <c r="I28" s="972"/>
      <c r="J28" s="293"/>
      <c r="K28" s="293"/>
      <c r="L28" s="973">
        <f>P28</f>
        <v>9.9971612245433501E-3</v>
      </c>
      <c r="N28" s="1042"/>
      <c r="O28" s="1035"/>
      <c r="P28" s="1046">
        <f>AS52*(1+Q53)</f>
        <v>9.9971612245433501E-3</v>
      </c>
      <c r="Q28" s="1043">
        <f>P28*G26</f>
        <v>2.8207143099252256</v>
      </c>
      <c r="R28" s="1035"/>
      <c r="S28" s="1043"/>
      <c r="T28" s="1067"/>
      <c r="U28" s="1043"/>
      <c r="W28" s="379" t="s">
        <v>276</v>
      </c>
      <c r="X28" s="379" t="str">
        <f>_xlfn.TEXTJOIN(",",TRUE,IF(LEFT(Regions!$C$3,1)&lt;&gt;"*",Regions!$C$3,""),IF(LEFT(Regions!$D$3,1)&lt;&gt;"*",Regions!$D$3,""))</f>
        <v>IE,National</v>
      </c>
      <c r="Y28" s="379" t="str">
        <f>_xlfn.TEXTJOIN("",TRUE,LEFT(SETUP!B$3,1),"-",SETUP!B$85,"_",SETUP!B$38,"_",SETUP!B44)</f>
        <v>R-BLD_Det_C</v>
      </c>
      <c r="Z28" s="379" t="str">
        <f>_xlfn.TEXTJOIN(" ",TRUE,SETUP!C$3,SETUP!C$85,SETUP!C$38,"_",SETUP!B44)</f>
        <v>Residential Building Detached _ C</v>
      </c>
      <c r="AA28" s="379" t="s">
        <v>275</v>
      </c>
      <c r="AB28" s="967" t="s">
        <v>275</v>
      </c>
      <c r="AC28" s="379"/>
      <c r="AD28" s="379"/>
    </row>
    <row r="29" spans="2:88">
      <c r="B29" s="861" t="str">
        <f>_xlfn.TEXTJOIN(",",TRUE,IF(LEFT(Regions!$C$3,1)&lt;&gt;"*",Regions!$C$3,""),IF(LEFT(Regions!$D$3,1)&lt;&gt;"*",Regions!$D$3,""))</f>
        <v>IE,National</v>
      </c>
      <c r="C29" s="449"/>
      <c r="D29" s="448"/>
      <c r="E29" s="448" t="str">
        <f>COMM!$O$34</f>
        <v>RSDLT_Att</v>
      </c>
      <c r="F29" s="448"/>
      <c r="G29" s="968"/>
      <c r="H29" s="968"/>
      <c r="I29" s="968"/>
      <c r="J29" s="448"/>
      <c r="K29" s="448"/>
      <c r="L29" s="969">
        <f>R29</f>
        <v>2.3745776193680786E-3</v>
      </c>
      <c r="N29" s="1042"/>
      <c r="O29" s="1035"/>
      <c r="P29" s="1046"/>
      <c r="Q29" s="1043"/>
      <c r="R29" s="1035">
        <f>AT52*(1+S53)</f>
        <v>2.3745776193680786E-3</v>
      </c>
      <c r="S29" s="1043">
        <f>R29*G26</f>
        <v>0.66999070241419123</v>
      </c>
      <c r="T29" s="1067"/>
      <c r="U29" s="1043"/>
      <c r="W29" s="970" t="s">
        <v>276</v>
      </c>
      <c r="X29" s="970" t="str">
        <f>_xlfn.TEXTJOIN(",",TRUE,IF(LEFT(Regions!$C$3,1)&lt;&gt;"*",Regions!$C$3,""),IF(LEFT(Regions!$D$3,1)&lt;&gt;"*",Regions!$D$3,""))</f>
        <v>IE,National</v>
      </c>
      <c r="Y29" s="970" t="str">
        <f>_xlfn.TEXTJOIN("",TRUE,LEFT(SETUP!B$3,1),"-",SETUP!B$85,"_",SETUP!B$38,"_",SETUP!B45)</f>
        <v>R-BLD_Det_D</v>
      </c>
      <c r="Z29" s="970" t="str">
        <f>_xlfn.TEXTJOIN(" ",TRUE,SETUP!C$3,SETUP!C$85,SETUP!C$38,"_",SETUP!B45)</f>
        <v>Residential Building Detached _ D</v>
      </c>
      <c r="AA29" s="971" t="s">
        <v>275</v>
      </c>
      <c r="AB29" s="970" t="s">
        <v>275</v>
      </c>
      <c r="AC29" s="971"/>
      <c r="AD29" s="970"/>
    </row>
    <row r="30" spans="2:88" ht="13.5" thickBot="1">
      <c r="B30" s="863" t="str">
        <f>_xlfn.TEXTJOIN(",",TRUE,IF(LEFT(Regions!$C$3,1)&lt;&gt;"*",Regions!$C$3,""),IF(LEFT(Regions!$D$3,1)&lt;&gt;"*",Regions!$D$3,""))</f>
        <v>IE,National</v>
      </c>
      <c r="C30" s="864"/>
      <c r="D30" s="864"/>
      <c r="E30" s="864" t="str">
        <f>COMM!$O$37</f>
        <v>RSDPF_Att</v>
      </c>
      <c r="F30" s="864"/>
      <c r="G30" s="865"/>
      <c r="H30" s="865"/>
      <c r="I30" s="865"/>
      <c r="J30" s="864"/>
      <c r="K30" s="864"/>
      <c r="L30" s="976">
        <f>T30</f>
        <v>6.5812169784384067E-4</v>
      </c>
      <c r="N30" s="1064"/>
      <c r="O30" s="1044"/>
      <c r="P30" s="1065"/>
      <c r="Q30" s="1045"/>
      <c r="R30" s="1044"/>
      <c r="S30" s="1045"/>
      <c r="T30" s="1066">
        <f>AU52*(1+$U$53)</f>
        <v>6.5812169784384067E-4</v>
      </c>
      <c r="U30" s="1045">
        <f>T30*G26</f>
        <v>0.18569004231150651</v>
      </c>
      <c r="W30" s="379" t="s">
        <v>276</v>
      </c>
      <c r="X30" s="379" t="str">
        <f>_xlfn.TEXTJOIN(",",TRUE,IF(LEFT(Regions!$C$3,1)&lt;&gt;"*",Regions!$C$3,""),IF(LEFT(Regions!$D$3,1)&lt;&gt;"*",Regions!$D$3,""))</f>
        <v>IE,National</v>
      </c>
      <c r="Y30" s="379" t="str">
        <f>_xlfn.TEXTJOIN("",TRUE,LEFT(SETUP!B$3,1),"-",SETUP!B$85,"_",SETUP!B$38,"_",SETUP!B46)</f>
        <v>R-BLD_Det_E</v>
      </c>
      <c r="Z30" s="379" t="str">
        <f>_xlfn.TEXTJOIN(" ",TRUE,SETUP!C$3,SETUP!C$85,SETUP!C$38,"_",SETUP!B46)</f>
        <v>Residential Building Detached _ E</v>
      </c>
      <c r="AA30" s="379" t="s">
        <v>275</v>
      </c>
      <c r="AB30" s="967" t="s">
        <v>275</v>
      </c>
      <c r="AC30" s="379"/>
      <c r="AD30" s="379"/>
    </row>
    <row r="31" spans="2:88">
      <c r="B31" s="856" t="str">
        <f>_xlfn.TEXTJOIN(",",TRUE,IF(LEFT(Regions!$C$3,1)&lt;&gt;"*",Regions!$C$3,""),IF(LEFT(Regions!$D$3,1)&lt;&gt;"*",Regions!$D$3,""))</f>
        <v>IE,National</v>
      </c>
      <c r="C31" s="857" t="str">
        <f>Y11</f>
        <v>R-BLD_Att_D</v>
      </c>
      <c r="D31" s="858" t="str">
        <f>Z11</f>
        <v>Residential Building Attached _ D</v>
      </c>
      <c r="E31" s="858" t="str">
        <f>COMM!$O$16</f>
        <v>RSDSH_Att-D</v>
      </c>
      <c r="F31" s="858" t="str">
        <f>COMM!$O$7</f>
        <v>RSD_Att</v>
      </c>
      <c r="G31" s="860">
        <f>AH13/1000</f>
        <v>187.62702237661046</v>
      </c>
      <c r="H31" s="860">
        <f>G31*$AH$26</f>
        <v>156.34959774642951</v>
      </c>
      <c r="I31" s="860">
        <v>1</v>
      </c>
      <c r="J31" s="858">
        <v>100</v>
      </c>
      <c r="K31" s="858">
        <v>1</v>
      </c>
      <c r="L31" s="966">
        <f>N31</f>
        <v>2.8990562100458198E-2</v>
      </c>
      <c r="N31" s="1042">
        <f>AR53*DwellingStocks!P23*(1+O53)</f>
        <v>2.8990562100458198E-2</v>
      </c>
      <c r="O31" s="1035">
        <f>N31*G31</f>
        <v>5.4394128439331855</v>
      </c>
      <c r="P31" s="1046"/>
      <c r="Q31" s="1043"/>
      <c r="R31" s="1035"/>
      <c r="S31" s="1043"/>
      <c r="T31" s="1067"/>
      <c r="U31" s="1043"/>
      <c r="W31" s="970" t="s">
        <v>276</v>
      </c>
      <c r="X31" s="970" t="str">
        <f>_xlfn.TEXTJOIN(",",TRUE,IF(LEFT(Regions!$C$3,1)&lt;&gt;"*",Regions!$C$3,""),IF(LEFT(Regions!$D$3,1)&lt;&gt;"*",Regions!$D$3,""))</f>
        <v>IE,National</v>
      </c>
      <c r="Y31" s="970" t="str">
        <f>_xlfn.TEXTJOIN("",TRUE,LEFT(SETUP!B$3,1),"-",SETUP!B$85,"_",SETUP!B$38,"_",SETUP!B47)</f>
        <v>R-BLD_Det_F</v>
      </c>
      <c r="Z31" s="970" t="str">
        <f>_xlfn.TEXTJOIN(" ",TRUE,SETUP!C$3,SETUP!C$85,SETUP!C$38,"_",SETUP!B47)</f>
        <v>Residential Building Detached _ F</v>
      </c>
      <c r="AA31" s="971" t="s">
        <v>275</v>
      </c>
      <c r="AB31" s="970" t="s">
        <v>275</v>
      </c>
      <c r="AC31" s="971"/>
      <c r="AD31" s="970"/>
      <c r="AE31" s="25"/>
      <c r="AH31" t="s">
        <v>297</v>
      </c>
      <c r="AI31" t="s">
        <v>297</v>
      </c>
      <c r="AJ31" t="s">
        <v>297</v>
      </c>
      <c r="AK31" t="s">
        <v>297</v>
      </c>
      <c r="AL31" t="s">
        <v>297</v>
      </c>
      <c r="AM31" t="s">
        <v>297</v>
      </c>
      <c r="AN31" t="s">
        <v>297</v>
      </c>
      <c r="AO31" t="s">
        <v>297</v>
      </c>
      <c r="AP31" t="s">
        <v>297</v>
      </c>
      <c r="AQ31" t="s">
        <v>297</v>
      </c>
      <c r="AR31" t="s">
        <v>219</v>
      </c>
      <c r="AS31" s="58" t="s">
        <v>902</v>
      </c>
      <c r="AT31" s="58" t="s">
        <v>221</v>
      </c>
      <c r="AU31" t="s">
        <v>903</v>
      </c>
      <c r="AV31" t="s">
        <v>904</v>
      </c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</row>
    <row r="32" spans="2:88" ht="13.5" thickBot="1">
      <c r="B32" s="861" t="str">
        <f>_xlfn.TEXTJOIN(",",TRUE,IF(LEFT(Regions!$C$3,1)&lt;&gt;"*",Regions!$C$3,""),IF(LEFT(Regions!$D$3,1)&lt;&gt;"*",Regions!$D$3,""))</f>
        <v>IE,National</v>
      </c>
      <c r="C32" s="449"/>
      <c r="D32" s="448"/>
      <c r="E32" s="448" t="str">
        <f>COMM!$O$28</f>
        <v>RSDSC_Att</v>
      </c>
      <c r="F32" s="448"/>
      <c r="G32" s="968"/>
      <c r="H32" s="968"/>
      <c r="I32" s="968"/>
      <c r="J32" s="448"/>
      <c r="K32" s="448"/>
      <c r="L32" s="969"/>
      <c r="N32" s="1042"/>
      <c r="O32" s="1035"/>
      <c r="P32" s="1046"/>
      <c r="Q32" s="1043"/>
      <c r="R32" s="1035"/>
      <c r="S32" s="1043"/>
      <c r="T32" s="1067"/>
      <c r="U32" s="1043"/>
      <c r="W32" s="379" t="s">
        <v>276</v>
      </c>
      <c r="X32" s="379" t="str">
        <f>_xlfn.TEXTJOIN(",",TRUE,IF(LEFT(Regions!$C$3,1)&lt;&gt;"*",Regions!$C$3,""),IF(LEFT(Regions!$D$3,1)&lt;&gt;"*",Regions!$D$3,""))</f>
        <v>IE,National</v>
      </c>
      <c r="Y32" s="379" t="str">
        <f>_xlfn.TEXTJOIN("",TRUE,LEFT(SETUP!B$3,1),"-",SETUP!B$85,"_",SETUP!B$38,"_",SETUP!B48)</f>
        <v>R-BLD_Det_G</v>
      </c>
      <c r="Z32" s="379" t="str">
        <f>_xlfn.TEXTJOIN(" ",TRUE,SETUP!C$3,SETUP!C$85,SETUP!C$38,"_",SETUP!B48)</f>
        <v>Residential Building Detached _ G</v>
      </c>
      <c r="AA32" s="379" t="s">
        <v>275</v>
      </c>
      <c r="AB32" s="967" t="s">
        <v>275</v>
      </c>
      <c r="AC32" s="379"/>
      <c r="AD32" s="379"/>
      <c r="AE32" s="25"/>
      <c r="AG32" t="s">
        <v>288</v>
      </c>
      <c r="AH32" t="s">
        <v>398</v>
      </c>
      <c r="AI32" t="s">
        <v>399</v>
      </c>
      <c r="AJ32" t="s">
        <v>905</v>
      </c>
      <c r="AK32" t="s">
        <v>906</v>
      </c>
      <c r="AL32" t="s">
        <v>907</v>
      </c>
      <c r="AM32" s="58" t="s">
        <v>417</v>
      </c>
      <c r="AN32" s="58" t="s">
        <v>903</v>
      </c>
      <c r="AO32" t="s">
        <v>908</v>
      </c>
      <c r="AP32" t="s">
        <v>909</v>
      </c>
      <c r="AQ32" t="s">
        <v>218</v>
      </c>
      <c r="AR32" t="s">
        <v>910</v>
      </c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</row>
    <row r="33" spans="2:88" ht="15">
      <c r="B33" s="862" t="str">
        <f>_xlfn.TEXTJOIN(",",TRUE,IF(LEFT(Regions!$C$3,1)&lt;&gt;"*",Regions!$C$3,""),IF(LEFT(Regions!$D$3,1)&lt;&gt;"*",Regions!$D$3,""))</f>
        <v>IE,National</v>
      </c>
      <c r="C33" s="293"/>
      <c r="D33" s="293"/>
      <c r="E33" s="293" t="str">
        <f>COMM!$O$31</f>
        <v>RSDWH_Att</v>
      </c>
      <c r="F33" s="293"/>
      <c r="G33" s="972"/>
      <c r="H33" s="972"/>
      <c r="I33" s="972"/>
      <c r="J33" s="293"/>
      <c r="K33" s="293"/>
      <c r="L33" s="973">
        <f>P33</f>
        <v>1.0609760525938133E-2</v>
      </c>
      <c r="N33" s="1042"/>
      <c r="O33" s="1035"/>
      <c r="P33" s="1046">
        <f>AS53*(1+Q53)</f>
        <v>1.0609760525938133E-2</v>
      </c>
      <c r="Q33" s="1043">
        <f>P33*G31</f>
        <v>1.9906777756106724</v>
      </c>
      <c r="R33" s="1035"/>
      <c r="S33" s="1043"/>
      <c r="T33" s="1067"/>
      <c r="U33" s="1043"/>
      <c r="W33" s="25"/>
      <c r="X33" s="25"/>
      <c r="Y33" s="25"/>
      <c r="Z33" s="25"/>
      <c r="AA33" s="25"/>
      <c r="AB33" s="25"/>
      <c r="AC33" s="25"/>
      <c r="AD33" s="25"/>
      <c r="AE33" s="25"/>
      <c r="AF33" t="s">
        <v>48</v>
      </c>
      <c r="AG33" s="122">
        <v>6419</v>
      </c>
      <c r="AH33" s="122">
        <v>535137</v>
      </c>
      <c r="AI33">
        <v>52</v>
      </c>
      <c r="AJ33" s="122">
        <v>-505747</v>
      </c>
      <c r="AK33" s="122">
        <v>11249</v>
      </c>
      <c r="AL33" s="122">
        <v>2509515</v>
      </c>
      <c r="AM33" s="122">
        <v>1893006</v>
      </c>
      <c r="AN33" s="122">
        <v>5793778</v>
      </c>
      <c r="AO33" s="122">
        <v>31852</v>
      </c>
      <c r="AP33" s="122">
        <v>9733652</v>
      </c>
      <c r="AQ33" s="974">
        <v>9418.8988568067343</v>
      </c>
      <c r="AR33">
        <f t="shared" ref="AR33:AR41" si="1">((AQ33/AG33)*$AG$18*(AJ33+AK33)*0.0000000036)/(AQ33/1000)</f>
        <v>-2.0601927769047266E-4</v>
      </c>
      <c r="AS33">
        <f>((AQ33/AG33)*(AN33+AO33)*0.0000000036)/(AQ33/1000)</f>
        <v>3.2672173235706492E-3</v>
      </c>
      <c r="AT33">
        <f>((AQ33/AG33)*(AL33)*0.0000000036)/(AQ33/1000)</f>
        <v>1.4074238978033962E-3</v>
      </c>
      <c r="AU33">
        <f>((AQ33/AG33)*(AM33)*0.0000000036)/(AQ33/1000)</f>
        <v>1.0616640598224022E-3</v>
      </c>
      <c r="AV33">
        <f>ABS(((AQ33/AG33)*$AC$12*(AJ33+AK33)*0.0000000036)/1000)</f>
        <v>0</v>
      </c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</row>
    <row r="34" spans="2:88" ht="15">
      <c r="B34" s="861" t="str">
        <f>_xlfn.TEXTJOIN(",",TRUE,IF(LEFT(Regions!$C$3,1)&lt;&gt;"*",Regions!$C$3,""),IF(LEFT(Regions!$D$3,1)&lt;&gt;"*",Regions!$D$3,""))</f>
        <v>IE,National</v>
      </c>
      <c r="C34" s="449"/>
      <c r="D34" s="448"/>
      <c r="E34" s="448" t="str">
        <f>COMM!$O$34</f>
        <v>RSDLT_Att</v>
      </c>
      <c r="F34" s="448"/>
      <c r="G34" s="968"/>
      <c r="H34" s="968"/>
      <c r="I34" s="968"/>
      <c r="J34" s="448"/>
      <c r="K34" s="448"/>
      <c r="L34" s="969">
        <f>R34</f>
        <v>2.317768631715178E-3</v>
      </c>
      <c r="N34" s="1042"/>
      <c r="O34" s="1035"/>
      <c r="P34" s="1046"/>
      <c r="Q34" s="1043"/>
      <c r="R34" s="1035">
        <f>AT53*(1+S53)</f>
        <v>2.317768631715178E-3</v>
      </c>
      <c r="S34" s="1043">
        <f>R34*G31</f>
        <v>0.43487602692662952</v>
      </c>
      <c r="T34" s="1067"/>
      <c r="U34" s="1043"/>
      <c r="AD34" s="25"/>
      <c r="AE34" s="25"/>
      <c r="AF34" t="s">
        <v>50</v>
      </c>
      <c r="AG34" s="122">
        <v>3209</v>
      </c>
      <c r="AH34" s="122">
        <v>264012</v>
      </c>
      <c r="AI34">
        <v>91</v>
      </c>
      <c r="AJ34" s="122">
        <v>5149071</v>
      </c>
      <c r="AK34" s="122">
        <v>157450</v>
      </c>
      <c r="AL34" s="122">
        <v>1694468</v>
      </c>
      <c r="AM34" s="122">
        <v>638663</v>
      </c>
      <c r="AN34" s="122">
        <v>6968385</v>
      </c>
      <c r="AO34" s="122">
        <v>83330</v>
      </c>
      <c r="AP34" s="122">
        <v>14691367</v>
      </c>
      <c r="AQ34" s="975">
        <v>7459.2913438514906</v>
      </c>
      <c r="AR34">
        <f t="shared" si="1"/>
        <v>4.4223271439528837E-3</v>
      </c>
      <c r="AS34">
        <f t="shared" ref="AS34:AS41" si="2">((AQ34/AG34)*(AN34+AO34)*0.0000000036)/(AQ34/1000)</f>
        <v>7.9109298846992832E-3</v>
      </c>
      <c r="AT34">
        <f t="shared" ref="AT34:AT41" si="3">((AQ34/AG34)*(AL34)*0.0000000036)/(AQ34/1000)</f>
        <v>1.90093013399813E-3</v>
      </c>
      <c r="AU34">
        <f t="shared" ref="AU34:AU41" si="4">((AQ34/AG34)*(AM34)*0.0000000036)/(AQ34/1000)</f>
        <v>7.1648077282642571E-4</v>
      </c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</row>
    <row r="35" spans="2:88" ht="15.75" thickBot="1">
      <c r="B35" s="863" t="str">
        <f>_xlfn.TEXTJOIN(",",TRUE,IF(LEFT(Regions!$C$3,1)&lt;&gt;"*",Regions!$C$3,""),IF(LEFT(Regions!$D$3,1)&lt;&gt;"*",Regions!$D$3,""))</f>
        <v>IE,National</v>
      </c>
      <c r="C35" s="864"/>
      <c r="D35" s="864"/>
      <c r="E35" s="864" t="str">
        <f>COMM!$O$37</f>
        <v>RSDPF_Att</v>
      </c>
      <c r="F35" s="864"/>
      <c r="G35" s="865"/>
      <c r="H35" s="865"/>
      <c r="I35" s="865"/>
      <c r="J35" s="864"/>
      <c r="K35" s="864"/>
      <c r="L35" s="976">
        <f>T35</f>
        <v>6.1382324933037004E-4</v>
      </c>
      <c r="N35" s="1042"/>
      <c r="O35" s="1035"/>
      <c r="P35" s="1046"/>
      <c r="Q35" s="1043"/>
      <c r="R35" s="1035"/>
      <c r="S35" s="1043"/>
      <c r="T35" s="1067">
        <f>AU53*(1+$U$53)</f>
        <v>6.1382324933037004E-4</v>
      </c>
      <c r="U35" s="1043">
        <f>T35*G31</f>
        <v>0.11516982853739308</v>
      </c>
      <c r="AD35" s="25"/>
      <c r="AE35" s="25"/>
      <c r="AF35" t="s">
        <v>52</v>
      </c>
      <c r="AG35" s="122">
        <v>8665</v>
      </c>
      <c r="AH35" s="122">
        <v>712223</v>
      </c>
      <c r="AI35">
        <v>114</v>
      </c>
      <c r="AJ35" s="122">
        <v>24443713</v>
      </c>
      <c r="AK35" s="122">
        <v>1103093</v>
      </c>
      <c r="AL35" s="122">
        <v>5068146</v>
      </c>
      <c r="AM35" s="122">
        <v>1589124</v>
      </c>
      <c r="AN35" s="122">
        <v>23824149</v>
      </c>
      <c r="AO35" s="122">
        <v>271620</v>
      </c>
      <c r="AP35" s="122">
        <v>56299844</v>
      </c>
      <c r="AQ35" s="977">
        <v>14041.847426430093</v>
      </c>
      <c r="AR35">
        <f t="shared" si="1"/>
        <v>7.8845831836233844E-3</v>
      </c>
      <c r="AS35">
        <f t="shared" si="2"/>
        <v>1.00109369186382E-2</v>
      </c>
      <c r="AT35">
        <f t="shared" si="3"/>
        <v>2.1056348066935951E-3</v>
      </c>
      <c r="AU35">
        <f t="shared" si="4"/>
        <v>6.6022462781304097E-4</v>
      </c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</row>
    <row r="36" spans="2:88" ht="15">
      <c r="B36" s="856" t="str">
        <f>_xlfn.TEXTJOIN(",",TRUE,IF(LEFT(Regions!$C$3,1)&lt;&gt;"*",Regions!$C$3,""),IF(LEFT(Regions!$D$3,1)&lt;&gt;"*",Regions!$D$3,""))</f>
        <v>IE,National</v>
      </c>
      <c r="C36" s="857" t="str">
        <f>Y12</f>
        <v>R-BLD_Att_E</v>
      </c>
      <c r="D36" s="858" t="str">
        <f>Z12</f>
        <v>Residential Building Attached _ E</v>
      </c>
      <c r="E36" s="858" t="str">
        <f>COMM!$O$19</f>
        <v>RSDSH_Att-E</v>
      </c>
      <c r="F36" s="858" t="str">
        <f>COMM!$O$7</f>
        <v>RSD_Att</v>
      </c>
      <c r="G36" s="860">
        <f>AH14/1000</f>
        <v>101.41889596184672</v>
      </c>
      <c r="H36" s="860">
        <f>G36*$AH$26</f>
        <v>84.512366005006868</v>
      </c>
      <c r="I36" s="860">
        <v>1</v>
      </c>
      <c r="J36" s="858">
        <v>100</v>
      </c>
      <c r="K36" s="858">
        <v>1</v>
      </c>
      <c r="L36" s="966">
        <f>N36</f>
        <v>3.9529383884159067E-2</v>
      </c>
      <c r="N36" s="1060">
        <f>AR54*DwellingStocks!P24*(1+O53)</f>
        <v>3.9529383884159067E-2</v>
      </c>
      <c r="O36" s="1061">
        <f>N36*G36</f>
        <v>4.0090264715834287</v>
      </c>
      <c r="P36" s="1062"/>
      <c r="Q36" s="1063"/>
      <c r="R36" s="1061"/>
      <c r="S36" s="1063"/>
      <c r="T36" s="1068"/>
      <c r="U36" s="1063"/>
      <c r="AD36" s="25"/>
      <c r="AE36" s="25"/>
      <c r="AF36" t="s">
        <v>54</v>
      </c>
      <c r="AG36" s="122">
        <v>13570</v>
      </c>
      <c r="AH36" s="122">
        <v>1073828</v>
      </c>
      <c r="AI36">
        <v>138</v>
      </c>
      <c r="AJ36" s="122">
        <v>50858810</v>
      </c>
      <c r="AK36" s="122">
        <v>3129098</v>
      </c>
      <c r="AL36" s="122">
        <v>7944420</v>
      </c>
      <c r="AM36" s="122">
        <v>2305495</v>
      </c>
      <c r="AN36" s="122">
        <v>41205233</v>
      </c>
      <c r="AO36" s="122">
        <v>896605</v>
      </c>
      <c r="AP36" s="122">
        <v>106339660</v>
      </c>
      <c r="AQ36" s="975">
        <v>19924.480375055824</v>
      </c>
      <c r="AR36">
        <f>((AQ36/AG36)*$AG$18*(AJ36+AK36)*0.0000000036)/(AQ36/1000)</f>
        <v>1.0639650151914025E-2</v>
      </c>
      <c r="AS36">
        <f t="shared" si="2"/>
        <v>1.1169242210759026E-2</v>
      </c>
      <c r="AT36">
        <f t="shared" si="3"/>
        <v>2.1075837877671333E-3</v>
      </c>
      <c r="AU36">
        <f t="shared" si="4"/>
        <v>6.1162726602800291E-4</v>
      </c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</row>
    <row r="37" spans="2:88" ht="15">
      <c r="B37" s="861" t="str">
        <f>_xlfn.TEXTJOIN(",",TRUE,IF(LEFT(Regions!$C$3,1)&lt;&gt;"*",Regions!$C$3,""),IF(LEFT(Regions!$D$3,1)&lt;&gt;"*",Regions!$D$3,""))</f>
        <v>IE,National</v>
      </c>
      <c r="C37" s="449"/>
      <c r="D37" s="448"/>
      <c r="E37" s="448" t="str">
        <f>COMM!$O$28</f>
        <v>RSDSC_Att</v>
      </c>
      <c r="F37" s="448"/>
      <c r="G37" s="968"/>
      <c r="H37" s="968"/>
      <c r="I37" s="968"/>
      <c r="J37" s="448"/>
      <c r="K37" s="448"/>
      <c r="L37" s="969"/>
      <c r="N37" s="1042"/>
      <c r="O37" s="1035"/>
      <c r="P37" s="1046"/>
      <c r="Q37" s="1043"/>
      <c r="R37" s="1035"/>
      <c r="S37" s="1043"/>
      <c r="T37" s="1067"/>
      <c r="U37" s="1043"/>
      <c r="AD37" s="25"/>
      <c r="AE37" s="25"/>
      <c r="AF37" t="s">
        <v>56</v>
      </c>
      <c r="AG37" s="122">
        <v>45566</v>
      </c>
      <c r="AH37" s="122">
        <v>3308771</v>
      </c>
      <c r="AI37">
        <v>187</v>
      </c>
      <c r="AJ37" s="122">
        <v>191371995</v>
      </c>
      <c r="AK37" s="122">
        <v>20181333</v>
      </c>
      <c r="AL37" s="122">
        <v>24809831</v>
      </c>
      <c r="AM37" s="122">
        <v>5185837</v>
      </c>
      <c r="AN37" s="122">
        <v>135290780</v>
      </c>
      <c r="AO37" s="122">
        <v>5131131</v>
      </c>
      <c r="AP37" s="122">
        <v>381970906</v>
      </c>
      <c r="AQ37" s="977">
        <v>58904.8034364337</v>
      </c>
      <c r="AR37">
        <f t="shared" si="1"/>
        <v>1.2416227238810909E-2</v>
      </c>
      <c r="AS37">
        <f t="shared" si="2"/>
        <v>1.1094212342536101E-2</v>
      </c>
      <c r="AT37">
        <f t="shared" si="3"/>
        <v>1.9601323706272223E-3</v>
      </c>
      <c r="AU37">
        <f t="shared" si="4"/>
        <v>4.097136724750911E-4</v>
      </c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</row>
    <row r="38" spans="2:88" ht="15.75" thickBot="1">
      <c r="B38" s="862" t="str">
        <f>_xlfn.TEXTJOIN(",",TRUE,IF(LEFT(Regions!$C$3,1)&lt;&gt;"*",Regions!$C$3,""),IF(LEFT(Regions!$D$3,1)&lt;&gt;"*",Regions!$D$3,""))</f>
        <v>IE,National</v>
      </c>
      <c r="C38" s="293"/>
      <c r="D38" s="293"/>
      <c r="E38" s="293" t="str">
        <f>COMM!$O$31</f>
        <v>RSDWH_Att</v>
      </c>
      <c r="F38" s="293"/>
      <c r="G38" s="972"/>
      <c r="H38" s="972"/>
      <c r="I38" s="972"/>
      <c r="J38" s="293"/>
      <c r="K38" s="293"/>
      <c r="L38" s="973">
        <f>P38</f>
        <v>1.1065162721274389E-2</v>
      </c>
      <c r="N38" s="1042"/>
      <c r="O38" s="1035"/>
      <c r="P38" s="1046">
        <f>AS54*(1+Q53)</f>
        <v>1.1065162721274389E-2</v>
      </c>
      <c r="Q38" s="1043">
        <f>P38*G36</f>
        <v>1.1222165868298319</v>
      </c>
      <c r="R38" s="1035"/>
      <c r="S38" s="1043"/>
      <c r="T38" s="1067"/>
      <c r="U38" s="1043"/>
      <c r="AD38" s="25"/>
      <c r="AE38" s="25"/>
      <c r="AF38" t="s">
        <v>58</v>
      </c>
      <c r="AG38" s="122">
        <v>30979</v>
      </c>
      <c r="AH38" s="122">
        <v>2017902</v>
      </c>
      <c r="AI38">
        <v>261</v>
      </c>
      <c r="AJ38" s="122">
        <v>133224360</v>
      </c>
      <c r="AK38" s="122">
        <v>19396995</v>
      </c>
      <c r="AL38" s="122">
        <v>15123200</v>
      </c>
      <c r="AM38" s="122">
        <v>1533922</v>
      </c>
      <c r="AN38" s="122">
        <v>78676858</v>
      </c>
      <c r="AO38" s="122">
        <v>2505229</v>
      </c>
      <c r="AP38" s="122">
        <v>250460563</v>
      </c>
      <c r="AQ38" s="975">
        <v>43739.341649106158</v>
      </c>
      <c r="AR38">
        <f t="shared" si="1"/>
        <v>1.3175242175504588E-2</v>
      </c>
      <c r="AS38">
        <f t="shared" si="2"/>
        <v>9.4339879660415103E-3</v>
      </c>
      <c r="AT38">
        <f t="shared" si="3"/>
        <v>1.7574330998418282E-3</v>
      </c>
      <c r="AU38">
        <f t="shared" si="4"/>
        <v>1.7825362987830464E-4</v>
      </c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</row>
    <row r="39" spans="2:88" ht="16.5" thickBot="1">
      <c r="B39" s="861" t="str">
        <f>_xlfn.TEXTJOIN(",",TRUE,IF(LEFT(Regions!$C$3,1)&lt;&gt;"*",Regions!$C$3,""),IF(LEFT(Regions!$D$3,1)&lt;&gt;"*",Regions!$D$3,""))</f>
        <v>IE,National</v>
      </c>
      <c r="C39" s="449"/>
      <c r="D39" s="448"/>
      <c r="E39" s="448" t="str">
        <f>COMM!$O$34</f>
        <v>RSDLT_Att</v>
      </c>
      <c r="F39" s="448"/>
      <c r="G39" s="968"/>
      <c r="H39" s="968"/>
      <c r="I39" s="968"/>
      <c r="J39" s="448"/>
      <c r="K39" s="448"/>
      <c r="L39" s="969">
        <f>R39</f>
        <v>2.2467833084478901E-3</v>
      </c>
      <c r="N39" s="1042"/>
      <c r="O39" s="1035"/>
      <c r="P39" s="1046"/>
      <c r="Q39" s="1043"/>
      <c r="R39" s="1035">
        <f>AT54*(1+S53)</f>
        <v>2.2467833084478901E-3</v>
      </c>
      <c r="S39" s="1043">
        <f>R39*G36</f>
        <v>0.22786628260829031</v>
      </c>
      <c r="T39" s="1067"/>
      <c r="U39" s="1043"/>
      <c r="X39" s="1127" t="s">
        <v>607</v>
      </c>
      <c r="Y39" s="1128"/>
      <c r="Z39" s="1128"/>
      <c r="AA39" s="1128"/>
      <c r="AB39" s="1129"/>
      <c r="AC39" s="25"/>
      <c r="AE39" s="25"/>
      <c r="AF39" t="s">
        <v>60</v>
      </c>
      <c r="AG39" s="122">
        <v>15595</v>
      </c>
      <c r="AH39" s="122">
        <v>931541</v>
      </c>
      <c r="AI39">
        <v>337</v>
      </c>
      <c r="AJ39" s="122">
        <v>83766308</v>
      </c>
      <c r="AK39" s="122">
        <v>16239436</v>
      </c>
      <c r="AL39" s="122">
        <v>7086953</v>
      </c>
      <c r="AM39" s="122">
        <v>575189</v>
      </c>
      <c r="AN39" s="122">
        <v>37375430</v>
      </c>
      <c r="AO39" s="122">
        <v>1099500</v>
      </c>
      <c r="AP39" s="122">
        <v>146142817</v>
      </c>
      <c r="AQ39" s="977">
        <v>25767.876472761334</v>
      </c>
      <c r="AR39">
        <f t="shared" si="1"/>
        <v>1.7149452612704487E-2</v>
      </c>
      <c r="AS39">
        <f t="shared" si="2"/>
        <v>8.8816766912471947E-3</v>
      </c>
      <c r="AT39">
        <f t="shared" si="3"/>
        <v>1.6359750432831035E-3</v>
      </c>
      <c r="AU39">
        <f t="shared" si="4"/>
        <v>1.3277848028214173E-4</v>
      </c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</row>
    <row r="40" spans="2:88" ht="15.75" thickBot="1">
      <c r="B40" s="863" t="str">
        <f>_xlfn.TEXTJOIN(",",TRUE,IF(LEFT(Regions!$C$3,1)&lt;&gt;"*",Regions!$C$3,""),IF(LEFT(Regions!$D$3,1)&lt;&gt;"*",Regions!$D$3,""))</f>
        <v>IE,National</v>
      </c>
      <c r="C40" s="864"/>
      <c r="D40" s="864"/>
      <c r="E40" s="864" t="str">
        <f>COMM!$O$37</f>
        <v>RSDPF_Att</v>
      </c>
      <c r="F40" s="864"/>
      <c r="G40" s="865"/>
      <c r="H40" s="865"/>
      <c r="I40" s="865"/>
      <c r="J40" s="864"/>
      <c r="K40" s="864"/>
      <c r="L40" s="976">
        <f>T40</f>
        <v>5.5866051950544712E-4</v>
      </c>
      <c r="N40" s="1064"/>
      <c r="O40" s="1044"/>
      <c r="P40" s="1065"/>
      <c r="Q40" s="1045"/>
      <c r="R40" s="1044"/>
      <c r="S40" s="1045"/>
      <c r="T40" s="1066">
        <f>AU54*(1+$U$53)</f>
        <v>5.5866051950544712E-4</v>
      </c>
      <c r="U40" s="1045">
        <f>T40*G36</f>
        <v>5.6658733105714176E-2</v>
      </c>
      <c r="X40" s="835"/>
      <c r="Y40" s="836" t="s">
        <v>840</v>
      </c>
      <c r="Z40" s="836" t="s">
        <v>839</v>
      </c>
      <c r="AA40" s="837" t="s">
        <v>841</v>
      </c>
      <c r="AB40" s="835" t="s">
        <v>842</v>
      </c>
      <c r="AC40" s="25"/>
      <c r="AD40" s="25"/>
      <c r="AE40" s="25"/>
      <c r="AF40" t="s">
        <v>62</v>
      </c>
      <c r="AG40" s="122">
        <v>5191</v>
      </c>
      <c r="AH40" s="122">
        <v>290189</v>
      </c>
      <c r="AI40">
        <v>413</v>
      </c>
      <c r="AJ40" s="122">
        <v>36993288</v>
      </c>
      <c r="AK40" s="122">
        <v>7041768</v>
      </c>
      <c r="AL40" s="122">
        <v>2218849</v>
      </c>
      <c r="AM40" s="122">
        <v>235069</v>
      </c>
      <c r="AN40" s="122">
        <v>12463794</v>
      </c>
      <c r="AO40" s="122">
        <v>507628</v>
      </c>
      <c r="AP40" s="122">
        <v>59460396</v>
      </c>
      <c r="AQ40" s="975">
        <v>12331.173226884033</v>
      </c>
      <c r="AR40">
        <f>((AQ40/AG40)*$AG$18*(AJ40+AK40)*0.0000000036)/(AQ40/1000)</f>
        <v>2.2686015294626209E-2</v>
      </c>
      <c r="AS40">
        <f t="shared" si="2"/>
        <v>8.995784858408783E-3</v>
      </c>
      <c r="AT40">
        <f t="shared" si="3"/>
        <v>1.5387895203236371E-3</v>
      </c>
      <c r="AU40">
        <f t="shared" si="4"/>
        <v>1.6302223078404931E-4</v>
      </c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</row>
    <row r="41" spans="2:88" ht="15.75" thickBot="1">
      <c r="B41" s="856" t="str">
        <f>_xlfn.TEXTJOIN(",",TRUE,IF(LEFT(Regions!$C$3,1)&lt;&gt;"*",Regions!$C$3,""),IF(LEFT(Regions!$D$3,1)&lt;&gt;"*",Regions!$D$3,""))</f>
        <v>IE,National</v>
      </c>
      <c r="C41" s="857" t="str">
        <f>Y13</f>
        <v>R-BLD_Att_F</v>
      </c>
      <c r="D41" s="858" t="str">
        <f>Z13</f>
        <v>Residential Building Attached _ F</v>
      </c>
      <c r="E41" s="858" t="str">
        <f>COMM!$O$22</f>
        <v>RSDSH_Att-F</v>
      </c>
      <c r="F41" s="858" t="str">
        <f>COMM!$O$7</f>
        <v>RSD_Att</v>
      </c>
      <c r="G41" s="860">
        <f>AH15/1000</f>
        <v>50.123806027321166</v>
      </c>
      <c r="H41" s="860">
        <f>G41*$AH$26</f>
        <v>41.768167562566731</v>
      </c>
      <c r="I41" s="860">
        <v>1</v>
      </c>
      <c r="J41" s="858">
        <v>100</v>
      </c>
      <c r="K41" s="858">
        <v>1</v>
      </c>
      <c r="L41" s="966">
        <f>N41</f>
        <v>5.0493263338740123E-2</v>
      </c>
      <c r="N41" s="1042">
        <f>AR55*DwellingStocks!P25*(1+O53)</f>
        <v>5.0493263338740123E-2</v>
      </c>
      <c r="O41" s="1035">
        <f>N41*G41</f>
        <v>2.5309145372774569</v>
      </c>
      <c r="P41" s="1046"/>
      <c r="Q41" s="1043"/>
      <c r="R41" s="1035"/>
      <c r="S41" s="1043"/>
      <c r="T41" s="1067"/>
      <c r="U41" s="1043"/>
      <c r="X41" s="838" t="s">
        <v>42</v>
      </c>
      <c r="Y41" s="847">
        <f>'SHWLP-Apt'!E25</f>
        <v>37772</v>
      </c>
      <c r="Z41" s="839">
        <f>Y41/SUM(Y41+AA41)</f>
        <v>0.58696834548025667</v>
      </c>
      <c r="AA41" s="847">
        <f>'SHWLP-Apt'!E12</f>
        <v>26579</v>
      </c>
      <c r="AB41" s="840">
        <f>AA41/SUM(Y41+AA41)</f>
        <v>0.41303165451974327</v>
      </c>
      <c r="AC41" s="25"/>
      <c r="AD41" s="25"/>
      <c r="AE41" s="25"/>
      <c r="AF41" t="s">
        <v>64</v>
      </c>
      <c r="AG41" s="122">
        <v>5603</v>
      </c>
      <c r="AH41" s="122">
        <v>294590</v>
      </c>
      <c r="AI41">
        <v>602</v>
      </c>
      <c r="AJ41" s="122">
        <v>59600854</v>
      </c>
      <c r="AK41" s="122">
        <v>9624009</v>
      </c>
      <c r="AL41" s="122">
        <v>2310613</v>
      </c>
      <c r="AM41" s="122">
        <v>213528</v>
      </c>
      <c r="AN41" s="122">
        <v>12820227</v>
      </c>
      <c r="AO41" s="122">
        <v>550098</v>
      </c>
      <c r="AP41" s="122">
        <v>85119330</v>
      </c>
      <c r="AQ41" s="980">
        <v>15211.172212670604</v>
      </c>
      <c r="AR41">
        <f t="shared" si="1"/>
        <v>3.304092361183459E-2</v>
      </c>
      <c r="AS41">
        <f t="shared" si="2"/>
        <v>8.5906068177761911E-3</v>
      </c>
      <c r="AT41">
        <f t="shared" si="3"/>
        <v>1.4845987506692845E-3</v>
      </c>
      <c r="AU41">
        <f t="shared" si="4"/>
        <v>1.3719450294485098E-4</v>
      </c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</row>
    <row r="42" spans="2:88" ht="15.75" thickBot="1">
      <c r="B42" s="861" t="str">
        <f>_xlfn.TEXTJOIN(",",TRUE,IF(LEFT(Regions!$C$3,1)&lt;&gt;"*",Regions!$C$3,""),IF(LEFT(Regions!$D$3,1)&lt;&gt;"*",Regions!$D$3,""))</f>
        <v>IE,National</v>
      </c>
      <c r="C42" s="449"/>
      <c r="D42" s="448"/>
      <c r="E42" s="448" t="str">
        <f>COMM!$O$28</f>
        <v>RSDSC_Att</v>
      </c>
      <c r="F42" s="448"/>
      <c r="G42" s="968"/>
      <c r="H42" s="968"/>
      <c r="I42" s="968"/>
      <c r="J42" s="448"/>
      <c r="K42" s="448"/>
      <c r="L42" s="969"/>
      <c r="N42" s="1042"/>
      <c r="O42" s="1035"/>
      <c r="P42" s="1046"/>
      <c r="Q42" s="1043"/>
      <c r="R42" s="1035"/>
      <c r="S42" s="1043"/>
      <c r="T42" s="1067"/>
      <c r="U42" s="1043"/>
      <c r="X42" s="841" t="s">
        <v>44</v>
      </c>
      <c r="Y42" s="848">
        <f>'SHWLP-Att'!E25</f>
        <v>12745</v>
      </c>
      <c r="Z42" s="842">
        <f t="shared" ref="Z42:Z43" si="5">Y42/SUM(Y42+AA42)</f>
        <v>0.36680481206469812</v>
      </c>
      <c r="AA42" s="848">
        <f>'SHWLP-Att'!E12</f>
        <v>22001</v>
      </c>
      <c r="AB42" s="843">
        <f t="shared" ref="AB42:AB43" si="6">AA42/SUM(Y42+AA42)</f>
        <v>0.63319518793530194</v>
      </c>
      <c r="AC42" s="25"/>
      <c r="AD42" s="25"/>
      <c r="AE42" s="25"/>
      <c r="AQ42" s="981">
        <v>206798.88499999998</v>
      </c>
      <c r="AR42" s="122">
        <f>AVERAGE(AR33:AR41)</f>
        <v>1.3467600237253401E-2</v>
      </c>
      <c r="AS42">
        <f t="shared" ref="AS42:AV42" si="7">AVERAGE(AS33:AS41)</f>
        <v>8.8171772237418834E-3</v>
      </c>
      <c r="AT42">
        <f>AVERAGE(AT33:AT41)</f>
        <v>1.7665001567785923E-3</v>
      </c>
      <c r="AU42">
        <f t="shared" si="7"/>
        <v>4.5232880476158994E-4</v>
      </c>
      <c r="AV42">
        <f t="shared" si="7"/>
        <v>0</v>
      </c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</row>
    <row r="43" spans="2:88">
      <c r="B43" s="862" t="str">
        <f>_xlfn.TEXTJOIN(",",TRUE,IF(LEFT(Regions!$C$3,1)&lt;&gt;"*",Regions!$C$3,""),IF(LEFT(Regions!$D$3,1)&lt;&gt;"*",Regions!$D$3,""))</f>
        <v>IE,National</v>
      </c>
      <c r="C43" s="293"/>
      <c r="D43" s="293"/>
      <c r="E43" s="293" t="str">
        <f>COMM!$O$31</f>
        <v>RSDWH_Att</v>
      </c>
      <c r="F43" s="293"/>
      <c r="G43" s="972"/>
      <c r="H43" s="972"/>
      <c r="I43" s="972"/>
      <c r="J43" s="293"/>
      <c r="K43" s="293"/>
      <c r="L43" s="973">
        <f>P43</f>
        <v>1.1487461088193429E-2</v>
      </c>
      <c r="N43" s="1042"/>
      <c r="O43" s="1035"/>
      <c r="P43" s="1046">
        <f>AS55*(1+Q53)</f>
        <v>1.1487461088193429E-2</v>
      </c>
      <c r="Q43" s="1043">
        <f>P43*G41</f>
        <v>0.57579527133100716</v>
      </c>
      <c r="R43" s="1035"/>
      <c r="S43" s="1043"/>
      <c r="T43" s="1067"/>
      <c r="U43" s="1043"/>
      <c r="X43" s="844" t="s">
        <v>46</v>
      </c>
      <c r="Y43" s="849">
        <f>'SHWLP-Det'!E25</f>
        <v>6299</v>
      </c>
      <c r="Z43" s="845">
        <f t="shared" si="5"/>
        <v>0.35199776473875383</v>
      </c>
      <c r="AA43" s="849">
        <f>'SHWLP-Det'!E12</f>
        <v>11596</v>
      </c>
      <c r="AB43" s="846">
        <f t="shared" si="6"/>
        <v>0.64800223526124612</v>
      </c>
      <c r="AC43" s="25"/>
      <c r="AD43" s="25"/>
      <c r="AE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</row>
    <row r="44" spans="2:88">
      <c r="B44" s="861" t="str">
        <f>_xlfn.TEXTJOIN(",",TRUE,IF(LEFT(Regions!$C$3,1)&lt;&gt;"*",Regions!$C$3,""),IF(LEFT(Regions!$D$3,1)&lt;&gt;"*",Regions!$D$3,""))</f>
        <v>IE,National</v>
      </c>
      <c r="C44" s="449"/>
      <c r="D44" s="448"/>
      <c r="E44" s="448" t="str">
        <f>COMM!$O$34</f>
        <v>RSDLT_Att</v>
      </c>
      <c r="F44" s="448"/>
      <c r="G44" s="968"/>
      <c r="H44" s="968"/>
      <c r="I44" s="968"/>
      <c r="J44" s="448"/>
      <c r="K44" s="448"/>
      <c r="L44" s="969">
        <f>R44</f>
        <v>2.24793331851144E-3</v>
      </c>
      <c r="N44" s="1042"/>
      <c r="O44" s="1035"/>
      <c r="P44" s="1046"/>
      <c r="Q44" s="1043"/>
      <c r="R44" s="1035">
        <f>AT55*(1+S53)</f>
        <v>2.24793331851144E-3</v>
      </c>
      <c r="S44" s="1043">
        <f>R44*G41</f>
        <v>0.11267497361941979</v>
      </c>
      <c r="T44" s="1067"/>
      <c r="U44" s="1043"/>
      <c r="X44" s="25"/>
      <c r="Y44" s="25"/>
      <c r="Z44" s="25"/>
      <c r="AA44" s="25"/>
      <c r="AB44" s="25"/>
      <c r="AC44" s="25"/>
      <c r="AD44" s="25"/>
      <c r="AE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</row>
    <row r="45" spans="2:88" ht="13.5" thickBot="1">
      <c r="B45" s="863" t="str">
        <f>_xlfn.TEXTJOIN(",",TRUE,IF(LEFT(Regions!$C$3,1)&lt;&gt;"*",Regions!$C$3,""),IF(LEFT(Regions!$D$3,1)&lt;&gt;"*",Regions!$D$3,""))</f>
        <v>IE,National</v>
      </c>
      <c r="C45" s="864"/>
      <c r="D45" s="864"/>
      <c r="E45" s="864" t="str">
        <f>COMM!$O$37</f>
        <v>RSDPF_Att</v>
      </c>
      <c r="F45" s="864"/>
      <c r="G45" s="865"/>
      <c r="H45" s="865"/>
      <c r="I45" s="865"/>
      <c r="J45" s="864"/>
      <c r="K45" s="864"/>
      <c r="L45" s="976">
        <f>T45</f>
        <v>5.5144228737370857E-4</v>
      </c>
      <c r="N45" s="1042"/>
      <c r="O45" s="1035"/>
      <c r="P45" s="1046"/>
      <c r="Q45" s="1043"/>
      <c r="R45" s="1035"/>
      <c r="S45" s="1043"/>
      <c r="T45" s="1067">
        <f>AU55*(1+$U$53)</f>
        <v>5.5144228737370857E-4</v>
      </c>
      <c r="U45" s="1043">
        <f>T45*G41</f>
        <v>2.7640386247582065E-2</v>
      </c>
      <c r="X45" s="25"/>
      <c r="Y45" s="25"/>
      <c r="Z45" s="25"/>
      <c r="AA45" s="25"/>
      <c r="AB45" s="25"/>
      <c r="AC45" s="25"/>
      <c r="AD45" s="25"/>
      <c r="AE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</row>
    <row r="46" spans="2:88">
      <c r="B46" s="856" t="str">
        <f>_xlfn.TEXTJOIN(",",TRUE,IF(LEFT(Regions!$C$3,1)&lt;&gt;"*",Regions!$C$3,""),IF(LEFT(Regions!$D$3,1)&lt;&gt;"*",Regions!$D$3,""))</f>
        <v>IE,National</v>
      </c>
      <c r="C46" s="857" t="str">
        <f>Y14</f>
        <v>R-BLD_Att_G</v>
      </c>
      <c r="D46" s="858" t="str">
        <f>Z14</f>
        <v>Residential Building Attached _ G</v>
      </c>
      <c r="E46" s="858" t="str">
        <f>COMM!$O$25</f>
        <v>RSDSH_Att-G</v>
      </c>
      <c r="F46" s="858" t="str">
        <f>COMM!$O$7</f>
        <v>RSD_Att</v>
      </c>
      <c r="G46" s="860">
        <f>AH16/1000</f>
        <v>52.706674394088104</v>
      </c>
      <c r="H46" s="860">
        <f>G46*$AH$26</f>
        <v>43.920471772593622</v>
      </c>
      <c r="I46" s="860">
        <v>1</v>
      </c>
      <c r="J46" s="858">
        <v>100</v>
      </c>
      <c r="K46" s="858">
        <v>1</v>
      </c>
      <c r="L46" s="966">
        <f>N46</f>
        <v>5.2195880415110009E-2</v>
      </c>
      <c r="N46" s="1060">
        <f>AR56*DwellingStocks!P26*(1+O53)</f>
        <v>5.2195880415110009E-2</v>
      </c>
      <c r="O46" s="1061">
        <f>N46*G46</f>
        <v>2.7510712737519634</v>
      </c>
      <c r="P46" s="1062"/>
      <c r="Q46" s="1063"/>
      <c r="R46" s="1061"/>
      <c r="S46" s="1063"/>
      <c r="T46" s="1068"/>
      <c r="U46" s="1063"/>
      <c r="X46" s="25"/>
      <c r="Y46" s="25"/>
      <c r="Z46" s="25"/>
      <c r="AA46" s="25"/>
      <c r="AB46" s="25"/>
      <c r="AC46" s="25"/>
      <c r="AD46" s="25"/>
      <c r="AE46" s="25"/>
      <c r="AG46" t="s">
        <v>44</v>
      </c>
      <c r="AH46" t="s">
        <v>44</v>
      </c>
      <c r="AI46" t="s">
        <v>44</v>
      </c>
      <c r="AJ46" t="s">
        <v>44</v>
      </c>
      <c r="AK46" t="s">
        <v>44</v>
      </c>
      <c r="AL46" t="s">
        <v>44</v>
      </c>
      <c r="AM46" t="s">
        <v>44</v>
      </c>
      <c r="AN46" t="s">
        <v>44</v>
      </c>
      <c r="AO46" t="s">
        <v>44</v>
      </c>
      <c r="AP46" t="s">
        <v>44</v>
      </c>
      <c r="AR46" t="s">
        <v>219</v>
      </c>
      <c r="AS46" s="58" t="s">
        <v>902</v>
      </c>
      <c r="AT46" s="58" t="s">
        <v>221</v>
      </c>
      <c r="AU46" t="s">
        <v>903</v>
      </c>
      <c r="AV46" t="s">
        <v>904</v>
      </c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</row>
    <row r="47" spans="2:88" ht="13.5" thickBot="1">
      <c r="B47" s="861" t="str">
        <f>_xlfn.TEXTJOIN(",",TRUE,IF(LEFT(Regions!$C$3,1)&lt;&gt;"*",Regions!$C$3,""),IF(LEFT(Regions!$D$3,1)&lt;&gt;"*",Regions!$D$3,""))</f>
        <v>IE,National</v>
      </c>
      <c r="C47" s="449"/>
      <c r="D47" s="448"/>
      <c r="E47" s="448" t="str">
        <f>COMM!$O$28</f>
        <v>RSDSC_Att</v>
      </c>
      <c r="F47" s="448"/>
      <c r="G47" s="968"/>
      <c r="H47" s="968"/>
      <c r="I47" s="968"/>
      <c r="J47" s="448"/>
      <c r="K47" s="448"/>
      <c r="L47" s="969"/>
      <c r="N47" s="320"/>
      <c r="P47" s="320"/>
      <c r="Q47" s="339"/>
      <c r="R47" s="1035"/>
      <c r="S47" s="1043"/>
      <c r="T47" s="1067"/>
      <c r="U47" s="339"/>
      <c r="W47" s="25"/>
      <c r="X47" s="25"/>
      <c r="Y47" s="25"/>
      <c r="Z47" s="25"/>
      <c r="AA47" s="25"/>
      <c r="AB47" s="25"/>
      <c r="AC47" s="25"/>
      <c r="AD47" s="25"/>
      <c r="AE47" s="25"/>
      <c r="AF47" t="s">
        <v>288</v>
      </c>
      <c r="AG47" t="s">
        <v>398</v>
      </c>
      <c r="AH47" t="s">
        <v>399</v>
      </c>
      <c r="AI47" t="s">
        <v>905</v>
      </c>
      <c r="AJ47" t="s">
        <v>906</v>
      </c>
      <c r="AK47" t="s">
        <v>907</v>
      </c>
      <c r="AL47" s="58" t="s">
        <v>417</v>
      </c>
      <c r="AM47" s="58" t="s">
        <v>903</v>
      </c>
      <c r="AN47" t="s">
        <v>908</v>
      </c>
      <c r="AO47" t="s">
        <v>909</v>
      </c>
      <c r="AP47" t="s">
        <v>218</v>
      </c>
      <c r="AR47" t="s">
        <v>910</v>
      </c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</row>
    <row r="48" spans="2:88" ht="15.75" thickBot="1">
      <c r="B48" s="862" t="str">
        <f>_xlfn.TEXTJOIN(",",TRUE,IF(LEFT(Regions!$C$3,1)&lt;&gt;"*",Regions!$C$3,""),IF(LEFT(Regions!$D$3,1)&lt;&gt;"*",Regions!$D$3,""))</f>
        <v>IE,National</v>
      </c>
      <c r="C48" s="293"/>
      <c r="D48" s="293"/>
      <c r="E48" s="293" t="str">
        <f>COMM!$O$31</f>
        <v>RSDWH_Att</v>
      </c>
      <c r="F48" s="293"/>
      <c r="G48" s="972"/>
      <c r="H48" s="972"/>
      <c r="I48" s="972"/>
      <c r="J48" s="293"/>
      <c r="K48" s="293"/>
      <c r="L48" s="973">
        <f>P48</f>
        <v>1.0435965823233093E-2</v>
      </c>
      <c r="N48" s="320"/>
      <c r="P48" s="1046">
        <f>AS56*(1+Q53)</f>
        <v>1.0435965823233093E-2</v>
      </c>
      <c r="Q48" s="1043">
        <f>P48*G46</f>
        <v>0.5500450526329782</v>
      </c>
      <c r="R48" s="1035"/>
      <c r="S48" s="1043"/>
      <c r="T48" s="1067"/>
      <c r="U48" s="339"/>
      <c r="W48" s="25"/>
      <c r="X48" s="25" t="s">
        <v>843</v>
      </c>
      <c r="Z48" s="25"/>
      <c r="AA48" s="25"/>
      <c r="AB48" s="25"/>
      <c r="AC48" s="25"/>
      <c r="AD48" s="25"/>
      <c r="AE48" s="25"/>
      <c r="AF48" t="s">
        <v>48</v>
      </c>
      <c r="AG48" s="122">
        <v>30917</v>
      </c>
      <c r="AH48" s="122">
        <v>3791316</v>
      </c>
      <c r="AI48">
        <v>54</v>
      </c>
      <c r="AJ48" s="122">
        <v>10485360</v>
      </c>
      <c r="AK48" s="122">
        <v>1188542</v>
      </c>
      <c r="AL48" s="122">
        <v>17730384</v>
      </c>
      <c r="AM48" s="122">
        <v>10718118</v>
      </c>
      <c r="AN48" s="122">
        <v>77836062</v>
      </c>
      <c r="AO48" s="122">
        <v>4686</v>
      </c>
      <c r="AP48" s="122">
        <v>117963152</v>
      </c>
      <c r="AQ48" s="974">
        <v>15472.073727176739</v>
      </c>
      <c r="AR48">
        <f>((AQ48/AG48)*$AH$18*(AJ48+AK48)*0.0000000036)/(AQ48/1000)</f>
        <v>9.510263559994104E-4</v>
      </c>
      <c r="AS48">
        <f>((AQ48/AG48)*(AN48+AO48)*0.0000000036)/(AQ48/1000)</f>
        <v>9.0638384319306538E-3</v>
      </c>
      <c r="AT48">
        <f>((AQ48/AG48)*(AL48)*0.0000000036)/(AQ48/1000)</f>
        <v>2.0645399747711616E-3</v>
      </c>
      <c r="AU48">
        <f>((AQ48/AG48)*(AM48)*0.0000000036)/(AQ48/1000)</f>
        <v>1.2480261603648479E-3</v>
      </c>
    </row>
    <row r="49" spans="2:48" ht="15.75" thickBot="1">
      <c r="B49" s="861" t="str">
        <f>_xlfn.TEXTJOIN(",",TRUE,IF(LEFT(Regions!$C$3,1)&lt;&gt;"*",Regions!$C$3,""),IF(LEFT(Regions!$D$3,1)&lt;&gt;"*",Regions!$D$3,""))</f>
        <v>IE,National</v>
      </c>
      <c r="C49" s="449"/>
      <c r="D49" s="448"/>
      <c r="E49" s="448" t="str">
        <f>COMM!$O$34</f>
        <v>RSDLT_Att</v>
      </c>
      <c r="F49" s="448"/>
      <c r="G49" s="968"/>
      <c r="H49" s="968"/>
      <c r="I49" s="968"/>
      <c r="J49" s="448"/>
      <c r="K49" s="448"/>
      <c r="L49" s="969">
        <f>R49</f>
        <v>2.1759661885402009E-3</v>
      </c>
      <c r="N49" s="320"/>
      <c r="P49" s="1047"/>
      <c r="Q49" s="1048"/>
      <c r="R49" s="1035">
        <f>AT56*(1+S53)</f>
        <v>2.1759661885402009E-3</v>
      </c>
      <c r="S49" s="1043">
        <f>R49*G46</f>
        <v>0.11468794139193329</v>
      </c>
      <c r="T49" s="1067"/>
      <c r="U49" s="339"/>
      <c r="W49" s="25"/>
      <c r="X49" s="25"/>
      <c r="Y49" s="836" t="s">
        <v>839</v>
      </c>
      <c r="Z49" s="836" t="s">
        <v>842</v>
      </c>
      <c r="AA49" s="25"/>
      <c r="AB49" s="25"/>
      <c r="AC49" s="25"/>
      <c r="AD49" s="25"/>
      <c r="AE49" s="25"/>
      <c r="AF49" t="s">
        <v>50</v>
      </c>
      <c r="AG49" s="122">
        <v>3722</v>
      </c>
      <c r="AH49" s="122">
        <v>417890</v>
      </c>
      <c r="AI49">
        <v>90</v>
      </c>
      <c r="AJ49" s="122">
        <v>13034192</v>
      </c>
      <c r="AK49" s="122">
        <v>2101151</v>
      </c>
      <c r="AL49" s="122">
        <v>2240850</v>
      </c>
      <c r="AM49" s="122">
        <v>788570</v>
      </c>
      <c r="AN49" s="122">
        <v>8717545</v>
      </c>
      <c r="AO49" s="122">
        <v>31109</v>
      </c>
      <c r="AP49" s="122">
        <v>26913417</v>
      </c>
      <c r="AQ49" s="975">
        <v>9537.7783975583752</v>
      </c>
      <c r="AR49">
        <f t="shared" ref="AR49:AR56" si="8">((AQ49/AG49)*$AH$18*(AJ49+AK49)*0.0000000036)/(AQ49/1000)</f>
        <v>1.0242117509517548E-2</v>
      </c>
      <c r="AS49">
        <f t="shared" ref="AS49:AS56" si="9">((AQ49/AG49)*(AN49+AO49)*0.0000000036)/(AQ49/1000)</f>
        <v>8.461889951638905E-3</v>
      </c>
      <c r="AT49">
        <f t="shared" ref="AT49:AT56" si="10">((AQ49/AG49)*(AL49)*0.0000000036)/(AQ49/1000)</f>
        <v>2.1673992477162815E-3</v>
      </c>
      <c r="AU49">
        <f t="shared" ref="AU49:AU56" si="11">((AQ49/AG49)*(AM49)*0.0000000036)/(AQ49/1000)</f>
        <v>7.6272219236969371E-4</v>
      </c>
    </row>
    <row r="50" spans="2:48" ht="15.75" thickBot="1">
      <c r="B50" s="863" t="str">
        <f>_xlfn.TEXTJOIN(",",TRUE,IF(LEFT(Regions!$C$3,1)&lt;&gt;"*",Regions!$C$3,""),IF(LEFT(Regions!$D$3,1)&lt;&gt;"*",Regions!$D$3,""))</f>
        <v>IE,National</v>
      </c>
      <c r="C50" s="864"/>
      <c r="D50" s="864"/>
      <c r="E50" s="864" t="str">
        <f>COMM!$O$37</f>
        <v>RSDPF_Att</v>
      </c>
      <c r="F50" s="864"/>
      <c r="G50" s="865"/>
      <c r="H50" s="865"/>
      <c r="I50" s="865"/>
      <c r="J50" s="864"/>
      <c r="K50" s="864"/>
      <c r="L50" s="976">
        <f>T50</f>
        <v>3.922451418101057E-4</v>
      </c>
      <c r="N50" s="331"/>
      <c r="O50" s="1036"/>
      <c r="P50" s="1049"/>
      <c r="Q50" s="1050"/>
      <c r="R50" s="1044"/>
      <c r="S50" s="1045"/>
      <c r="T50" s="1066">
        <f>AU56*(1+$U$53)</f>
        <v>3.922451418101057E-4</v>
      </c>
      <c r="U50" s="1045">
        <f>T50*G46</f>
        <v>2.0673936972048154E-2</v>
      </c>
      <c r="W50" s="25"/>
      <c r="X50" s="838" t="s">
        <v>42</v>
      </c>
      <c r="Y50" s="839">
        <f>1-Z50</f>
        <v>0.67999999999999994</v>
      </c>
      <c r="Z50" s="839">
        <v>0.32</v>
      </c>
      <c r="AA50" s="25"/>
      <c r="AB50" s="25"/>
      <c r="AC50" s="25"/>
      <c r="AD50" s="25"/>
      <c r="AE50" s="25"/>
      <c r="AF50" t="s">
        <v>52</v>
      </c>
      <c r="AG50" s="122">
        <v>7882</v>
      </c>
      <c r="AH50" s="122">
        <v>923821</v>
      </c>
      <c r="AI50">
        <v>116</v>
      </c>
      <c r="AJ50" s="122">
        <v>43515430</v>
      </c>
      <c r="AK50" s="122">
        <v>7251325</v>
      </c>
      <c r="AL50" s="122">
        <v>5692013</v>
      </c>
      <c r="AM50" s="122">
        <v>1593680</v>
      </c>
      <c r="AN50" s="122">
        <v>27323207</v>
      </c>
      <c r="AO50" s="122">
        <v>122934</v>
      </c>
      <c r="AP50" s="122">
        <v>85498588</v>
      </c>
      <c r="AQ50" s="977">
        <v>17545.09295382088</v>
      </c>
      <c r="AR50">
        <f t="shared" si="8"/>
        <v>1.6222464383632396E-2</v>
      </c>
      <c r="AS50">
        <f t="shared" si="9"/>
        <v>1.2535664501395583E-2</v>
      </c>
      <c r="AT50">
        <f t="shared" si="10"/>
        <v>2.5997521948743973E-3</v>
      </c>
      <c r="AU50">
        <f t="shared" si="11"/>
        <v>7.2789241309312357E-4</v>
      </c>
    </row>
    <row r="51" spans="2:48" ht="15.75" thickBot="1">
      <c r="B51" s="379" t="s">
        <v>254</v>
      </c>
      <c r="C51" s="293"/>
      <c r="D51" s="293"/>
      <c r="E51" s="293"/>
      <c r="F51" s="293"/>
      <c r="G51" s="972"/>
      <c r="H51" s="972"/>
      <c r="I51" s="972"/>
      <c r="J51" s="293"/>
      <c r="K51" s="293"/>
      <c r="L51" s="973"/>
      <c r="N51" s="329" t="s">
        <v>961</v>
      </c>
      <c r="O51" s="319">
        <f>'SHWLP-Att'!AB27</f>
        <v>22.183734010965356</v>
      </c>
      <c r="P51" s="323"/>
      <c r="Q51" s="324">
        <f>'SHWLP-Att'!AB54</f>
        <v>7.9090104773535774</v>
      </c>
      <c r="R51" s="323"/>
      <c r="S51" s="324">
        <f>'SHWLP-Att'!AC59</f>
        <v>1.8080718525599928</v>
      </c>
      <c r="T51" s="323"/>
      <c r="U51" s="324">
        <f>'SHWLP-Att'!AC60</f>
        <v>0.50068510037742064</v>
      </c>
      <c r="W51" s="25"/>
      <c r="X51" s="841" t="s">
        <v>44</v>
      </c>
      <c r="Y51" s="842">
        <f t="shared" ref="Y51:Y52" si="12">1-Z51</f>
        <v>0.65</v>
      </c>
      <c r="Z51" s="842">
        <v>0.35</v>
      </c>
      <c r="AA51" s="25"/>
      <c r="AB51" s="25"/>
      <c r="AC51" s="25"/>
      <c r="AD51" s="25"/>
      <c r="AE51" s="25"/>
      <c r="AF51" t="s">
        <v>54</v>
      </c>
      <c r="AG51" s="122">
        <v>27081</v>
      </c>
      <c r="AH51" s="122">
        <v>2951365</v>
      </c>
      <c r="AI51">
        <v>140</v>
      </c>
      <c r="AJ51" s="122">
        <v>174012862</v>
      </c>
      <c r="AK51" s="122">
        <v>34638769</v>
      </c>
      <c r="AL51" s="122">
        <v>20069083</v>
      </c>
      <c r="AM51" s="122">
        <v>5351092</v>
      </c>
      <c r="AN51" s="122">
        <v>103542140</v>
      </c>
      <c r="AO51" s="122">
        <v>1485406</v>
      </c>
      <c r="AP51" s="122">
        <v>339099353</v>
      </c>
      <c r="AQ51" s="975">
        <v>49768.849685929476</v>
      </c>
      <c r="AR51">
        <f t="shared" si="8"/>
        <v>1.9405772794162134E-2</v>
      </c>
      <c r="AS51">
        <f t="shared" si="9"/>
        <v>1.3961787437686939E-2</v>
      </c>
      <c r="AT51">
        <f t="shared" si="10"/>
        <v>2.6678741110003324E-3</v>
      </c>
      <c r="AU51">
        <f t="shared" si="11"/>
        <v>7.1134489863742103E-4</v>
      </c>
    </row>
    <row r="52" spans="2:48" ht="15">
      <c r="B52" s="379" t="s">
        <v>254</v>
      </c>
      <c r="C52" s="293"/>
      <c r="D52" s="293"/>
      <c r="E52" s="293"/>
      <c r="F52" s="293"/>
      <c r="G52" s="972"/>
      <c r="H52" s="972"/>
      <c r="I52" s="972"/>
      <c r="J52" s="293"/>
      <c r="K52" s="293"/>
      <c r="L52" s="973"/>
      <c r="N52" s="1037" t="s">
        <v>962</v>
      </c>
      <c r="O52">
        <v>18.027258288505074</v>
      </c>
      <c r="P52" s="320"/>
      <c r="Q52" s="339">
        <v>12.405389507151586</v>
      </c>
      <c r="R52" s="320"/>
      <c r="S52">
        <v>2.0111806068389879</v>
      </c>
      <c r="T52" s="320"/>
      <c r="U52" s="339">
        <v>0.53765737600086083</v>
      </c>
      <c r="W52" s="25"/>
      <c r="X52" s="844" t="s">
        <v>46</v>
      </c>
      <c r="Y52" s="839">
        <f t="shared" si="12"/>
        <v>0.7</v>
      </c>
      <c r="Z52" s="845">
        <v>0.3</v>
      </c>
      <c r="AE52" s="25"/>
      <c r="AF52" t="s">
        <v>56</v>
      </c>
      <c r="AG52" s="122">
        <v>161926</v>
      </c>
      <c r="AH52" s="122">
        <v>16330846</v>
      </c>
      <c r="AI52">
        <v>189</v>
      </c>
      <c r="AJ52" s="122">
        <v>1338047187</v>
      </c>
      <c r="AK52" s="122">
        <v>324841172</v>
      </c>
      <c r="AL52" s="122">
        <v>118805308</v>
      </c>
      <c r="AM52" s="122">
        <v>31787856</v>
      </c>
      <c r="AN52" s="122">
        <v>660359371</v>
      </c>
      <c r="AO52" s="122">
        <v>44948998</v>
      </c>
      <c r="AP52" s="122">
        <v>2518789892</v>
      </c>
      <c r="AQ52" s="977">
        <v>282151.52747564798</v>
      </c>
      <c r="AR52">
        <f t="shared" si="8"/>
        <v>2.5865469195813687E-2</v>
      </c>
      <c r="AS52">
        <f t="shared" si="9"/>
        <v>1.568068209181972E-2</v>
      </c>
      <c r="AT52">
        <f t="shared" si="10"/>
        <v>2.6413244864938305E-3</v>
      </c>
      <c r="AU52">
        <f t="shared" si="11"/>
        <v>7.0671962254363109E-4</v>
      </c>
    </row>
    <row r="53" spans="2:48" ht="15">
      <c r="B53" s="379" t="s">
        <v>254</v>
      </c>
      <c r="C53" s="293"/>
      <c r="D53" s="293"/>
      <c r="E53" s="293"/>
      <c r="F53" s="293"/>
      <c r="G53" s="972"/>
      <c r="H53" s="972"/>
      <c r="I53" s="972"/>
      <c r="J53" s="293"/>
      <c r="K53" s="293"/>
      <c r="L53" s="973"/>
      <c r="N53" s="1038" t="s">
        <v>963</v>
      </c>
      <c r="O53" s="1039">
        <f>((O51-O52)/O52)</f>
        <v>0.23056616019700696</v>
      </c>
      <c r="P53" s="320"/>
      <c r="Q53" s="1051">
        <f>((Q51-Q52)/Q52)</f>
        <v>-0.36245367605796575</v>
      </c>
      <c r="R53" s="320"/>
      <c r="S53" s="1051">
        <f>((S51-S52)/S52)</f>
        <v>-0.10098981344008937</v>
      </c>
      <c r="T53" s="320"/>
      <c r="U53" s="1051">
        <f t="shared" ref="U53" si="13">((U51-U52)/U52)</f>
        <v>-6.8765495041550384E-2</v>
      </c>
      <c r="W53" s="25"/>
      <c r="X53" s="25"/>
      <c r="AE53" s="25"/>
      <c r="AF53" t="s">
        <v>58</v>
      </c>
      <c r="AG53" s="122">
        <v>95372</v>
      </c>
      <c r="AH53" s="122">
        <v>9015651</v>
      </c>
      <c r="AI53">
        <v>260</v>
      </c>
      <c r="AJ53" s="122">
        <v>1084292370</v>
      </c>
      <c r="AK53" s="122">
        <v>253316321</v>
      </c>
      <c r="AL53" s="122">
        <v>68300496</v>
      </c>
      <c r="AM53" s="122">
        <v>17462349</v>
      </c>
      <c r="AN53" s="122">
        <v>395641968</v>
      </c>
      <c r="AO53" s="122">
        <v>45229735</v>
      </c>
      <c r="AP53" s="122">
        <v>1864243238</v>
      </c>
      <c r="AQ53" s="975">
        <v>187627.02237661046</v>
      </c>
      <c r="AR53">
        <f t="shared" si="8"/>
        <v>3.532498998338654E-2</v>
      </c>
      <c r="AS53">
        <f t="shared" si="9"/>
        <v>1.6641552350794783E-2</v>
      </c>
      <c r="AT53">
        <f t="shared" si="10"/>
        <v>2.578133892547079E-3</v>
      </c>
      <c r="AU53">
        <f t="shared" si="11"/>
        <v>6.5915002726167019E-4</v>
      </c>
    </row>
    <row r="54" spans="2:48" ht="15">
      <c r="B54" s="379" t="s">
        <v>254</v>
      </c>
      <c r="C54" s="293"/>
      <c r="D54" s="293"/>
      <c r="E54" s="293"/>
      <c r="F54" s="293"/>
      <c r="G54" s="972"/>
      <c r="H54" s="972"/>
      <c r="I54" s="972"/>
      <c r="J54" s="293"/>
      <c r="K54" s="293"/>
      <c r="L54" s="973"/>
      <c r="N54" s="1037" t="s">
        <v>964</v>
      </c>
      <c r="O54" s="1035">
        <f>SUM(O6:O46)</f>
        <v>22.183734010965363</v>
      </c>
      <c r="P54" s="320"/>
      <c r="Q54" s="1043">
        <f>SUM(Q6:Q50)</f>
        <v>7.9090104773535765</v>
      </c>
      <c r="R54" s="320"/>
      <c r="S54" s="1043">
        <f t="shared" ref="S54" si="14">SUM(S6:S50)</f>
        <v>1.8080718525599926</v>
      </c>
      <c r="T54" s="320"/>
      <c r="U54" s="1043">
        <f>SUM(U6:U50)</f>
        <v>0.50068510037742064</v>
      </c>
      <c r="W54" s="25"/>
      <c r="X54" s="25"/>
      <c r="AE54" s="25"/>
      <c r="AF54" t="s">
        <v>60</v>
      </c>
      <c r="AG54" s="122">
        <v>46130</v>
      </c>
      <c r="AH54" s="122">
        <v>4172403</v>
      </c>
      <c r="AI54">
        <v>338</v>
      </c>
      <c r="AJ54" s="122">
        <v>710540728</v>
      </c>
      <c r="AK54" s="122">
        <v>151669826</v>
      </c>
      <c r="AL54" s="122">
        <v>32024144</v>
      </c>
      <c r="AM54" s="122">
        <v>7687230</v>
      </c>
      <c r="AN54" s="122">
        <v>197368280</v>
      </c>
      <c r="AO54" s="122">
        <v>25027741</v>
      </c>
      <c r="AP54" s="122">
        <v>1124317950</v>
      </c>
      <c r="AQ54" s="977">
        <v>101418.89596184672</v>
      </c>
      <c r="AR54">
        <f t="shared" si="8"/>
        <v>4.7076453250177584E-2</v>
      </c>
      <c r="AS54">
        <f t="shared" si="9"/>
        <v>1.7355856830695859E-2</v>
      </c>
      <c r="AT54">
        <f t="shared" si="10"/>
        <v>2.4991744721439405E-3</v>
      </c>
      <c r="AU54">
        <f t="shared" si="11"/>
        <v>5.9991389551268157E-4</v>
      </c>
    </row>
    <row r="55" spans="2:48" ht="15.75" thickBot="1">
      <c r="B55" s="379" t="s">
        <v>254</v>
      </c>
      <c r="C55" s="293"/>
      <c r="D55" s="293"/>
      <c r="E55" s="293"/>
      <c r="F55" s="293"/>
      <c r="G55" s="972"/>
      <c r="H55" s="972"/>
      <c r="I55" s="972"/>
      <c r="J55" s="293"/>
      <c r="K55" s="293"/>
      <c r="L55" s="973"/>
      <c r="N55" s="1040" t="s">
        <v>965</v>
      </c>
      <c r="O55" s="1041">
        <f>((O51-O54)/O54)</f>
        <v>-3.2029897915692673E-16</v>
      </c>
      <c r="P55" s="331"/>
      <c r="Q55" s="1052">
        <f t="shared" ref="Q55" si="15">((Q51-Q54)/Q54)</f>
        <v>1.1229956291539993E-16</v>
      </c>
      <c r="R55" s="331"/>
      <c r="S55" s="1052">
        <f t="shared" ref="S55" si="16">((S51-S54)/S54)</f>
        <v>1.228074009396503E-16</v>
      </c>
      <c r="T55" s="331"/>
      <c r="U55" s="1052">
        <f t="shared" ref="U55" si="17">((U51-U54)/U54)</f>
        <v>0</v>
      </c>
      <c r="W55" s="25"/>
      <c r="X55" s="25"/>
      <c r="Y55" s="25"/>
      <c r="AF55" t="s">
        <v>62</v>
      </c>
      <c r="AG55" s="122">
        <v>20720</v>
      </c>
      <c r="AH55" s="122">
        <v>1831493</v>
      </c>
      <c r="AI55">
        <v>413</v>
      </c>
      <c r="AJ55" s="122">
        <v>402775920</v>
      </c>
      <c r="AK55" s="122">
        <v>83851393</v>
      </c>
      <c r="AL55" s="122">
        <v>14391500</v>
      </c>
      <c r="AM55" s="122">
        <v>3408225</v>
      </c>
      <c r="AN55" s="122">
        <v>91534744</v>
      </c>
      <c r="AO55" s="122">
        <v>12170223</v>
      </c>
      <c r="AP55" s="122">
        <v>608132005</v>
      </c>
      <c r="AQ55" s="975">
        <v>50123.806027321167</v>
      </c>
      <c r="AR55">
        <f t="shared" si="8"/>
        <v>5.9153518986890453E-2</v>
      </c>
      <c r="AS55">
        <f t="shared" si="9"/>
        <v>1.8018237509652507E-2</v>
      </c>
      <c r="AT55">
        <f t="shared" si="10"/>
        <v>2.5004536679536682E-3</v>
      </c>
      <c r="AU55">
        <f t="shared" si="11"/>
        <v>5.9216264478764474E-4</v>
      </c>
    </row>
    <row r="56" spans="2:48" ht="16.5" thickBot="1">
      <c r="B56" s="856" t="str">
        <f>_xlfn.TEXTJOIN(",",TRUE,IF(LEFT(Regions!$C$3,1)&lt;&gt;"*",Regions!$C$3,""),IF(LEFT(Regions!$D$3,1)&lt;&gt;"*",Regions!$D$3,""))</f>
        <v>IE,National</v>
      </c>
      <c r="C56" s="857" t="str">
        <f>Y15</f>
        <v>R-BLD_Apt_A</v>
      </c>
      <c r="D56" s="858" t="str">
        <f>Z15</f>
        <v>Residential Building Apartment _ A</v>
      </c>
      <c r="E56" s="859" t="str">
        <f>COMM!$O$9</f>
        <v>RSDSH_Apt-AB</v>
      </c>
      <c r="F56" s="858" t="str">
        <f>COMM!$O$6</f>
        <v>RSD_Apt</v>
      </c>
      <c r="G56" s="860">
        <f>AG8/1000</f>
        <v>14.439898856806733</v>
      </c>
      <c r="H56" s="860">
        <f>G56*$AH$26</f>
        <v>12.032767717377052</v>
      </c>
      <c r="I56" s="860">
        <v>1</v>
      </c>
      <c r="J56" s="858">
        <v>100</v>
      </c>
      <c r="K56" s="858">
        <v>1</v>
      </c>
      <c r="L56" s="966">
        <f>N56</f>
        <v>4.3315605376271035E-4</v>
      </c>
      <c r="N56" s="1060">
        <f>ABS(AR33*DwellingStocks!O18*(1+O103))</f>
        <v>4.3315605376271035E-4</v>
      </c>
      <c r="O56" s="1061">
        <f>N56*G56</f>
        <v>6.2547296055470774E-3</v>
      </c>
      <c r="P56" s="1062"/>
      <c r="Q56" s="1063"/>
      <c r="R56" s="1062"/>
      <c r="S56" s="1063"/>
      <c r="T56" s="1061"/>
      <c r="U56" s="1063"/>
      <c r="W56" s="25"/>
      <c r="X56" s="1127" t="s">
        <v>838</v>
      </c>
      <c r="Y56" s="1128"/>
      <c r="Z56" s="1128"/>
      <c r="AA56" s="1128"/>
      <c r="AB56" s="1129"/>
      <c r="AF56" t="s">
        <v>64</v>
      </c>
      <c r="AG56" s="122">
        <v>21208</v>
      </c>
      <c r="AH56" s="122">
        <v>1754836</v>
      </c>
      <c r="AI56">
        <v>604</v>
      </c>
      <c r="AJ56" s="122">
        <v>548461962</v>
      </c>
      <c r="AK56" s="122">
        <v>105828500</v>
      </c>
      <c r="AL56" s="122">
        <v>14258858</v>
      </c>
      <c r="AM56" s="122">
        <v>2481394</v>
      </c>
      <c r="AN56" s="122">
        <v>86745130</v>
      </c>
      <c r="AO56" s="122">
        <v>9686191</v>
      </c>
      <c r="AP56" s="122">
        <v>767462035</v>
      </c>
      <c r="AQ56" s="980">
        <v>52706.674394088106</v>
      </c>
      <c r="AR56">
        <f t="shared" si="8"/>
        <v>7.7704242347111846E-2</v>
      </c>
      <c r="AS56">
        <f t="shared" si="9"/>
        <v>1.6368953017729157E-2</v>
      </c>
      <c r="AT56">
        <f t="shared" si="10"/>
        <v>2.4204021501320256E-3</v>
      </c>
      <c r="AU56">
        <f t="shared" si="11"/>
        <v>4.2120984534138063E-4</v>
      </c>
    </row>
    <row r="57" spans="2:48" ht="15.75" thickBot="1">
      <c r="B57" s="861" t="str">
        <f>_xlfn.TEXTJOIN(",",TRUE,IF(LEFT(Regions!$C$3,1)&lt;&gt;"*",Regions!$C$3,""),IF(LEFT(Regions!$D$3,1)&lt;&gt;"*",Regions!$D$3,""))</f>
        <v>IE,National</v>
      </c>
      <c r="C57" s="449"/>
      <c r="D57" s="448"/>
      <c r="E57" s="448" t="str">
        <f>COMM!$O$27</f>
        <v>RSDSC_Apt</v>
      </c>
      <c r="F57" s="448"/>
      <c r="G57" s="968"/>
      <c r="H57" s="968"/>
      <c r="I57" s="968"/>
      <c r="J57" s="448"/>
      <c r="K57" s="448"/>
      <c r="L57" s="969"/>
      <c r="N57" s="1042"/>
      <c r="O57" s="1035"/>
      <c r="P57" s="1046"/>
      <c r="Q57" s="1043"/>
      <c r="R57" s="1046"/>
      <c r="S57" s="1043"/>
      <c r="T57" s="1035"/>
      <c r="U57" s="1043"/>
      <c r="W57" s="25"/>
      <c r="X57" s="835"/>
      <c r="Y57" s="836" t="s">
        <v>840</v>
      </c>
      <c r="Z57" s="836" t="s">
        <v>839</v>
      </c>
      <c r="AA57" s="837" t="s">
        <v>841</v>
      </c>
      <c r="AB57" s="835" t="s">
        <v>842</v>
      </c>
      <c r="AC57" s="25"/>
      <c r="AD57" s="25"/>
      <c r="AQ57" s="981">
        <v>766351.72099999979</v>
      </c>
      <c r="AR57">
        <f>AVERAGE(AR48:AR56)</f>
        <v>3.2438450534076839E-2</v>
      </c>
      <c r="AS57">
        <f t="shared" ref="AS57:AU57" si="18">AVERAGE(AS48:AS56)</f>
        <v>1.4232051347038236E-2</v>
      </c>
      <c r="AT57">
        <f t="shared" si="18"/>
        <v>2.4598949108480799E-3</v>
      </c>
      <c r="AU57">
        <f t="shared" si="18"/>
        <v>7.1434907776801054E-4</v>
      </c>
    </row>
    <row r="58" spans="2:48" ht="13.5" thickBot="1">
      <c r="B58" s="862" t="str">
        <f>_xlfn.TEXTJOIN(",",TRUE,IF(LEFT(Regions!$C$3,1)&lt;&gt;"*",Regions!$C$3,""),IF(LEFT(Regions!$D$3,1)&lt;&gt;"*",Regions!$D$3,""))</f>
        <v>IE,National</v>
      </c>
      <c r="C58" s="293"/>
      <c r="D58" s="293"/>
      <c r="E58" s="293" t="str">
        <f>COMM!$O$30</f>
        <v>RSDWH_Apt</v>
      </c>
      <c r="F58" s="293"/>
      <c r="G58" s="972"/>
      <c r="H58" s="972"/>
      <c r="I58" s="972"/>
      <c r="J58" s="293"/>
      <c r="K58" s="293"/>
      <c r="L58" s="973">
        <f>P58</f>
        <v>4.0244969239508063E-3</v>
      </c>
      <c r="N58" s="1042"/>
      <c r="O58" s="1035"/>
      <c r="P58" s="1046">
        <f>AS33*(1+Q103)</f>
        <v>4.0244969239508063E-3</v>
      </c>
      <c r="Q58" s="1043">
        <f>P58*G56</f>
        <v>5.811332853137946E-2</v>
      </c>
      <c r="R58" s="1046"/>
      <c r="S58" s="1043"/>
      <c r="T58" s="1035"/>
      <c r="U58" s="1043"/>
      <c r="W58" s="25"/>
      <c r="X58" s="838" t="s">
        <v>42</v>
      </c>
      <c r="Y58" s="847">
        <f>'SHWLP-Apt'!S11*1000</f>
        <v>68762.860658712409</v>
      </c>
      <c r="Z58" s="839">
        <v>0.7</v>
      </c>
      <c r="AA58" s="847">
        <f>'SHWLP-Apt'!S12*1000</f>
        <v>32358.993251158787</v>
      </c>
      <c r="AB58" s="840">
        <v>0.3</v>
      </c>
      <c r="AC58" s="25"/>
      <c r="AD58" s="25"/>
    </row>
    <row r="59" spans="2:48" ht="13.5" thickBot="1">
      <c r="B59" s="861" t="str">
        <f>_xlfn.TEXTJOIN(",",TRUE,IF(LEFT(Regions!$C$3,1)&lt;&gt;"*",Regions!$C$3,""),IF(LEFT(Regions!$D$3,1)&lt;&gt;"*",Regions!$D$3,""))</f>
        <v>IE,National</v>
      </c>
      <c r="C59" s="449"/>
      <c r="D59" s="448"/>
      <c r="E59" s="448" t="str">
        <f>COMM!$O$33</f>
        <v>RSDLT_Apt</v>
      </c>
      <c r="F59" s="448"/>
      <c r="G59" s="968"/>
      <c r="H59" s="968"/>
      <c r="I59" s="968"/>
      <c r="J59" s="448"/>
      <c r="K59" s="448"/>
      <c r="L59" s="969">
        <f>R59</f>
        <v>1.2653570980612169E-3</v>
      </c>
      <c r="N59" s="1042"/>
      <c r="O59" s="1035"/>
      <c r="P59" s="1046"/>
      <c r="Q59" s="1043"/>
      <c r="R59" s="1046">
        <f>AT33*(1+S103)</f>
        <v>1.2653570980612169E-3</v>
      </c>
      <c r="S59" s="1043">
        <f>R59*G56</f>
        <v>1.827162851374645E-2</v>
      </c>
      <c r="T59" s="1035"/>
      <c r="U59" s="1043"/>
      <c r="W59" s="25"/>
      <c r="X59" s="841" t="s">
        <v>44</v>
      </c>
      <c r="Y59" s="848">
        <f>'SHWLP-Att'!S11*1000</f>
        <v>42892.272456803505</v>
      </c>
      <c r="Z59" s="839">
        <f>Y59/SUM(Y59+AA59)</f>
        <v>0.65</v>
      </c>
      <c r="AA59" s="848">
        <f>'SHWLP-Att'!S12*1000</f>
        <v>23095.83901520188</v>
      </c>
      <c r="AB59" s="840">
        <f>AA59/SUM(Y59+AA59)</f>
        <v>0.34999999999999992</v>
      </c>
      <c r="AC59" s="25"/>
      <c r="AD59" s="25"/>
    </row>
    <row r="60" spans="2:48" ht="13.5" thickBot="1">
      <c r="B60" s="863" t="str">
        <f>_xlfn.TEXTJOIN(",",TRUE,IF(LEFT(Regions!$C$3,1)&lt;&gt;"*",Regions!$C$3,""),IF(LEFT(Regions!$D$3,1)&lt;&gt;"*",Regions!$D$3,""))</f>
        <v>IE,National</v>
      </c>
      <c r="C60" s="864"/>
      <c r="D60" s="864"/>
      <c r="E60" s="864" t="str">
        <f>COMM!$O$36</f>
        <v>RSDPF_Apt</v>
      </c>
      <c r="F60" s="864"/>
      <c r="G60" s="865"/>
      <c r="H60" s="865"/>
      <c r="I60" s="865"/>
      <c r="J60" s="864"/>
      <c r="K60" s="864"/>
      <c r="L60" s="976">
        <f>T60</f>
        <v>9.2121155200058404E-4</v>
      </c>
      <c r="N60" s="1064"/>
      <c r="O60" s="1044"/>
      <c r="P60" s="1065"/>
      <c r="Q60" s="1045"/>
      <c r="R60" s="1065"/>
      <c r="S60" s="1045"/>
      <c r="T60" s="1066">
        <f>AU33*(1+U103)</f>
        <v>9.2121155200058404E-4</v>
      </c>
      <c r="U60" s="1045">
        <f>T60*G56</f>
        <v>1.3302201636610391E-2</v>
      </c>
      <c r="W60" s="25"/>
      <c r="X60" s="844" t="s">
        <v>46</v>
      </c>
      <c r="Y60" s="849">
        <f>'SHWLP-Det'!S11*1000</f>
        <v>34699.946476990561</v>
      </c>
      <c r="Z60" s="839">
        <f>Y60/SUM(Y60+AA60)</f>
        <v>0.7</v>
      </c>
      <c r="AA60" s="849">
        <f>'SHWLP-Det'!S12*1000</f>
        <v>14871.405632995953</v>
      </c>
      <c r="AB60" s="840">
        <f>AA60/SUM(Y60+AA60)</f>
        <v>0.29999999999999993</v>
      </c>
      <c r="AC60" s="25"/>
      <c r="AD60" s="25"/>
      <c r="AG60" t="s">
        <v>46</v>
      </c>
      <c r="AH60" t="s">
        <v>46</v>
      </c>
      <c r="AI60" t="s">
        <v>46</v>
      </c>
      <c r="AJ60" t="s">
        <v>46</v>
      </c>
      <c r="AK60" t="s">
        <v>46</v>
      </c>
      <c r="AL60" t="s">
        <v>46</v>
      </c>
      <c r="AM60" t="s">
        <v>46</v>
      </c>
      <c r="AN60" t="s">
        <v>46</v>
      </c>
      <c r="AO60" t="s">
        <v>46</v>
      </c>
      <c r="AP60" t="s">
        <v>46</v>
      </c>
      <c r="AR60" t="s">
        <v>219</v>
      </c>
      <c r="AS60" s="58" t="s">
        <v>902</v>
      </c>
      <c r="AT60" s="58" t="s">
        <v>221</v>
      </c>
      <c r="AU60" t="s">
        <v>903</v>
      </c>
      <c r="AV60" t="s">
        <v>904</v>
      </c>
    </row>
    <row r="61" spans="2:48" ht="13.5" thickBot="1">
      <c r="B61" s="856" t="str">
        <f>_xlfn.TEXTJOIN(",",TRUE,IF(LEFT(Regions!$C$3,1)&lt;&gt;"*",Regions!$C$3,""),IF(LEFT(Regions!$D$3,1)&lt;&gt;"*",Regions!$D$3,""))</f>
        <v>IE,National</v>
      </c>
      <c r="C61" s="857" t="str">
        <f>Y16</f>
        <v>R-BLD_Apt_B1</v>
      </c>
      <c r="D61" s="858" t="str">
        <f>Z16</f>
        <v>Residential Building Apartment _ B1</v>
      </c>
      <c r="E61" s="857" t="str">
        <f>COMM!$O$9</f>
        <v>RSDSH_Apt-AB</v>
      </c>
      <c r="F61" s="858" t="str">
        <f>COMM!$O$6</f>
        <v>RSD_Apt</v>
      </c>
      <c r="G61" s="860">
        <f>AG9/1000</f>
        <v>7.4592913438514907</v>
      </c>
      <c r="H61" s="860">
        <f>G61*$AH$26</f>
        <v>6.2158274768314472</v>
      </c>
      <c r="I61" s="860">
        <v>1</v>
      </c>
      <c r="J61" s="858">
        <v>100</v>
      </c>
      <c r="K61" s="858">
        <v>1</v>
      </c>
      <c r="L61" s="966">
        <f>N61</f>
        <v>6.5085678239306492E-3</v>
      </c>
      <c r="N61" s="1060">
        <f>ABS(AR34*DwellingStocks!O19*(1+$O$103))</f>
        <v>6.5085678239306492E-3</v>
      </c>
      <c r="O61" s="1061">
        <f>N61*G61</f>
        <v>4.8549303629916225E-2</v>
      </c>
      <c r="P61" s="1046"/>
      <c r="Q61" s="1043"/>
      <c r="R61" s="1035"/>
      <c r="S61" s="1043"/>
      <c r="T61" s="1067"/>
      <c r="U61" s="1043"/>
      <c r="W61" s="25"/>
      <c r="X61" s="25"/>
      <c r="Y61" s="25"/>
      <c r="Z61" s="25"/>
      <c r="AA61" s="25"/>
      <c r="AB61" s="25"/>
      <c r="AC61" s="25"/>
      <c r="AD61" s="25"/>
      <c r="AF61" t="s">
        <v>288</v>
      </c>
      <c r="AG61" t="s">
        <v>398</v>
      </c>
      <c r="AH61" t="s">
        <v>399</v>
      </c>
      <c r="AI61" t="s">
        <v>905</v>
      </c>
      <c r="AJ61" t="s">
        <v>906</v>
      </c>
      <c r="AK61" t="s">
        <v>907</v>
      </c>
      <c r="AL61" s="58" t="s">
        <v>417</v>
      </c>
      <c r="AM61" s="58" t="s">
        <v>903</v>
      </c>
      <c r="AN61" t="s">
        <v>908</v>
      </c>
      <c r="AO61" t="s">
        <v>909</v>
      </c>
      <c r="AP61" t="s">
        <v>218</v>
      </c>
      <c r="AR61" t="s">
        <v>910</v>
      </c>
    </row>
    <row r="62" spans="2:48" ht="15">
      <c r="B62" s="861" t="str">
        <f>_xlfn.TEXTJOIN(",",TRUE,IF(LEFT(Regions!$C$3,1)&lt;&gt;"*",Regions!$C$3,""),IF(LEFT(Regions!$D$3,1)&lt;&gt;"*",Regions!$D$3,""))</f>
        <v>IE,National</v>
      </c>
      <c r="C62" s="449"/>
      <c r="D62" s="448"/>
      <c r="E62" s="448" t="str">
        <f>COMM!$O$27</f>
        <v>RSDSC_Apt</v>
      </c>
      <c r="F62" s="448"/>
      <c r="G62" s="968"/>
      <c r="H62" s="968"/>
      <c r="I62" s="968"/>
      <c r="J62" s="448"/>
      <c r="K62" s="448"/>
      <c r="L62" s="969"/>
      <c r="N62" s="1042"/>
      <c r="O62" s="1035"/>
      <c r="P62" s="1046"/>
      <c r="Q62" s="1043"/>
      <c r="R62" s="1035"/>
      <c r="S62" s="1043"/>
      <c r="T62" s="1067"/>
      <c r="U62" s="1043"/>
      <c r="AC62" s="25"/>
      <c r="AD62" s="25"/>
      <c r="AF62" t="s">
        <v>48</v>
      </c>
      <c r="AG62" s="122">
        <v>9878</v>
      </c>
      <c r="AH62" s="122">
        <v>1991423</v>
      </c>
      <c r="AI62">
        <v>56</v>
      </c>
      <c r="AJ62" s="122">
        <v>13716437</v>
      </c>
      <c r="AK62" s="122">
        <v>3262341</v>
      </c>
      <c r="AL62" s="122">
        <v>9675611</v>
      </c>
      <c r="AM62" s="122">
        <v>5049453</v>
      </c>
      <c r="AN62" s="122">
        <v>24601800</v>
      </c>
      <c r="AO62" s="122">
        <v>27044</v>
      </c>
      <c r="AP62" s="122">
        <v>56332686</v>
      </c>
      <c r="AQ62" s="974">
        <v>20378.706337556119</v>
      </c>
      <c r="AR62">
        <f>((AQ62/AG62)*$AI$18*(AJ62+AK62)*0.0000000036)/(AQ62/1000)</f>
        <v>4.4121765529699531E-3</v>
      </c>
      <c r="AS62">
        <f>((AQ62/AG62)*(AN62+AO62)*0.0000000036)/(AQ62/1000)</f>
        <v>8.9758896942700953E-3</v>
      </c>
      <c r="AT62">
        <f>((AQ62/AG62)*(AL62)*0.0000000036)/(AQ62/1000)</f>
        <v>3.5262400890868602E-3</v>
      </c>
      <c r="AU62">
        <f>((AQ62/AG62)*(AM62)*0.0000000036)/(AQ62/1000)</f>
        <v>1.8402541810083014E-3</v>
      </c>
    </row>
    <row r="63" spans="2:48" ht="15">
      <c r="B63" s="862" t="str">
        <f>_xlfn.TEXTJOIN(",",TRUE,IF(LEFT(Regions!$C$3,1)&lt;&gt;"*",Regions!$C$3,""),IF(LEFT(Regions!$D$3,1)&lt;&gt;"*",Regions!$D$3,""))</f>
        <v>IE,National</v>
      </c>
      <c r="C63" s="293"/>
      <c r="D63" s="293"/>
      <c r="E63" s="293" t="str">
        <f>COMM!$O$30</f>
        <v>RSDWH_Apt</v>
      </c>
      <c r="F63" s="293"/>
      <c r="G63" s="972"/>
      <c r="H63" s="972"/>
      <c r="I63" s="972"/>
      <c r="J63" s="293"/>
      <c r="K63" s="293"/>
      <c r="L63" s="973">
        <f>P63</f>
        <v>9.7445348238324285E-3</v>
      </c>
      <c r="N63" s="1042"/>
      <c r="O63" s="1035"/>
      <c r="P63" s="1046">
        <f>AS34*(1+Q103)</f>
        <v>9.7445348238324285E-3</v>
      </c>
      <c r="Q63" s="1043">
        <f>P63*G61</f>
        <v>7.268732426127264E-2</v>
      </c>
      <c r="R63" s="1035"/>
      <c r="S63" s="1043"/>
      <c r="T63" s="1067"/>
      <c r="U63" s="1043"/>
      <c r="AC63" s="25"/>
      <c r="AD63" s="25"/>
      <c r="AF63" t="s">
        <v>50</v>
      </c>
      <c r="AG63" s="122">
        <v>3037</v>
      </c>
      <c r="AH63" s="122">
        <v>692326</v>
      </c>
      <c r="AI63">
        <v>90</v>
      </c>
      <c r="AJ63" s="122">
        <v>22749646</v>
      </c>
      <c r="AK63" s="122">
        <v>5977566</v>
      </c>
      <c r="AL63" s="122">
        <v>3970604</v>
      </c>
      <c r="AM63" s="122">
        <v>1113600</v>
      </c>
      <c r="AN63" s="122">
        <v>10038678</v>
      </c>
      <c r="AO63" s="122">
        <v>61317</v>
      </c>
      <c r="AP63" s="122">
        <v>43911412</v>
      </c>
      <c r="AQ63" s="975">
        <v>9433.9012004747347</v>
      </c>
      <c r="AR63">
        <f t="shared" ref="AR63:AR70" si="19">((AQ63/AG63)*$AI$18*(AJ63+AK63)*0.0000000036)/(AQ63/1000)</f>
        <v>2.4280865417312326E-2</v>
      </c>
      <c r="AS63">
        <f t="shared" ref="AS63:AS70" si="20">((AQ63/AG63)*(AN63+AO63)*0.0000000036)/(AQ63/1000)</f>
        <v>1.1972335199209748E-2</v>
      </c>
      <c r="AT63">
        <f t="shared" ref="AT63:AT70" si="21">((AQ63/AG63)*(AL63)*0.0000000036)/(AQ63/1000)</f>
        <v>4.7066757984853477E-3</v>
      </c>
      <c r="AU63">
        <f t="shared" ref="AU63:AU70" si="22">((AQ63/AG63)*(AM63)*0.0000000036)/(AQ63/1000)</f>
        <v>1.3200395126769838E-3</v>
      </c>
    </row>
    <row r="64" spans="2:48" ht="15">
      <c r="B64" s="861" t="str">
        <f>_xlfn.TEXTJOIN(",",TRUE,IF(LEFT(Regions!$C$3,1)&lt;&gt;"*",Regions!$C$3,""),IF(LEFT(Regions!$D$3,1)&lt;&gt;"*",Regions!$D$3,""))</f>
        <v>IE,National</v>
      </c>
      <c r="C64" s="449"/>
      <c r="D64" s="448"/>
      <c r="E64" s="448" t="str">
        <f>COMM!$O$33</f>
        <v>RSDLT_Apt</v>
      </c>
      <c r="F64" s="448"/>
      <c r="G64" s="968"/>
      <c r="H64" s="968"/>
      <c r="I64" s="968"/>
      <c r="J64" s="448"/>
      <c r="K64" s="448"/>
      <c r="L64" s="969">
        <f>R64</f>
        <v>1.7090483128267865E-3</v>
      </c>
      <c r="N64" s="1042"/>
      <c r="O64" s="1035"/>
      <c r="P64" s="1046"/>
      <c r="Q64" s="1043"/>
      <c r="R64" s="1035">
        <f>AT34*(1+S103)</f>
        <v>1.7090483128267865E-3</v>
      </c>
      <c r="S64" s="1043">
        <f>R64*G61</f>
        <v>1.2748289286092843E-2</v>
      </c>
      <c r="T64" s="1067"/>
      <c r="U64" s="1043"/>
      <c r="AC64" s="25"/>
      <c r="AD64" s="25"/>
      <c r="AF64" t="s">
        <v>52</v>
      </c>
      <c r="AG64" s="122">
        <v>7052</v>
      </c>
      <c r="AH64" s="122">
        <v>1571662</v>
      </c>
      <c r="AI64">
        <v>116</v>
      </c>
      <c r="AJ64" s="122">
        <v>86989542</v>
      </c>
      <c r="AK64" s="122">
        <v>19534310</v>
      </c>
      <c r="AL64" s="122">
        <v>10452701</v>
      </c>
      <c r="AM64" s="122">
        <v>2036694</v>
      </c>
      <c r="AN64" s="122">
        <v>30584513</v>
      </c>
      <c r="AO64" s="122">
        <v>335555</v>
      </c>
      <c r="AP64" s="122">
        <v>149933315</v>
      </c>
      <c r="AQ64" s="977">
        <v>20090.949195825138</v>
      </c>
      <c r="AR64">
        <f t="shared" si="19"/>
        <v>3.8774841677784139E-2</v>
      </c>
      <c r="AS64">
        <f t="shared" si="20"/>
        <v>1.5784493023255811E-2</v>
      </c>
      <c r="AT64">
        <f t="shared" si="21"/>
        <v>5.3360356778218935E-3</v>
      </c>
      <c r="AU64">
        <f t="shared" si="22"/>
        <v>1.0397190017016448E-3</v>
      </c>
    </row>
    <row r="65" spans="2:47" ht="19.5" thickBot="1">
      <c r="B65" s="863" t="str">
        <f>_xlfn.TEXTJOIN(",",TRUE,IF(LEFT(Regions!$C$3,1)&lt;&gt;"*",Regions!$C$3,""),IF(LEFT(Regions!$D$3,1)&lt;&gt;"*",Regions!$D$3,""))</f>
        <v>IE,National</v>
      </c>
      <c r="C65" s="864"/>
      <c r="D65" s="864"/>
      <c r="E65" s="864" t="str">
        <f>COMM!$O$36</f>
        <v>RSDPF_Apt</v>
      </c>
      <c r="F65" s="864"/>
      <c r="G65" s="865"/>
      <c r="H65" s="865"/>
      <c r="I65" s="865"/>
      <c r="J65" s="864"/>
      <c r="K65" s="864"/>
      <c r="L65" s="976">
        <f>T65</f>
        <v>6.2169417774622703E-4</v>
      </c>
      <c r="N65" s="1042"/>
      <c r="O65" s="1035"/>
      <c r="P65" s="1046"/>
      <c r="Q65" s="1043"/>
      <c r="R65" s="1035"/>
      <c r="S65" s="1043"/>
      <c r="T65" s="1067">
        <f>AU34*(1+U103)</f>
        <v>6.2169417774622703E-4</v>
      </c>
      <c r="U65" s="1043">
        <f>T65*G61</f>
        <v>4.637397998585301E-3</v>
      </c>
      <c r="X65" s="1113" t="s">
        <v>619</v>
      </c>
      <c r="Y65" s="1113"/>
      <c r="Z65" s="1113"/>
      <c r="AA65" s="1113"/>
      <c r="AB65" s="1113"/>
      <c r="AC65" s="1113"/>
      <c r="AD65" s="25"/>
      <c r="AF65" t="s">
        <v>54</v>
      </c>
      <c r="AG65" s="122">
        <v>20170</v>
      </c>
      <c r="AH65" s="122">
        <v>4035093</v>
      </c>
      <c r="AI65">
        <v>140</v>
      </c>
      <c r="AJ65" s="122">
        <v>290547340</v>
      </c>
      <c r="AK65" s="122">
        <v>61564028</v>
      </c>
      <c r="AL65" s="122">
        <v>29255723</v>
      </c>
      <c r="AM65" s="122">
        <v>5060356</v>
      </c>
      <c r="AN65" s="122">
        <v>97781386</v>
      </c>
      <c r="AO65" s="122">
        <v>2214559</v>
      </c>
      <c r="AP65" s="122">
        <v>486423392</v>
      </c>
      <c r="AQ65" s="975">
        <v>53466.210043981671</v>
      </c>
      <c r="AR65">
        <f t="shared" si="19"/>
        <v>4.4811514564724694E-2</v>
      </c>
      <c r="AS65">
        <f t="shared" si="20"/>
        <v>1.7847565790778386E-2</v>
      </c>
      <c r="AT65">
        <f t="shared" si="21"/>
        <v>5.2216461477441745E-3</v>
      </c>
      <c r="AU65">
        <f t="shared" si="22"/>
        <v>9.0318699058006952E-4</v>
      </c>
    </row>
    <row r="66" spans="2:47" ht="15">
      <c r="B66" s="856" t="str">
        <f>_xlfn.TEXTJOIN(",",TRUE,IF(LEFT(Regions!$C$3,1)&lt;&gt;"*",Regions!$C$3,""),IF(LEFT(Regions!$D$3,1)&lt;&gt;"*",Regions!$D$3,""))</f>
        <v>IE,National</v>
      </c>
      <c r="C66" s="857" t="str">
        <f>Y17</f>
        <v>R-BLD_Apt_B2</v>
      </c>
      <c r="D66" s="858" t="str">
        <f>Z17</f>
        <v>Residential Building Apartment _ B2</v>
      </c>
      <c r="E66" s="857" t="str">
        <f>COMM!$O$9</f>
        <v>RSDSH_Apt-AB</v>
      </c>
      <c r="F66" s="858" t="str">
        <f>COMM!$O$6</f>
        <v>RSD_Apt</v>
      </c>
      <c r="G66" s="860">
        <f>AG10/1000</f>
        <v>14.041847426430094</v>
      </c>
      <c r="H66" s="860">
        <f>G66*$AH$26</f>
        <v>11.701071460444197</v>
      </c>
      <c r="I66" s="860">
        <v>1</v>
      </c>
      <c r="J66" s="858">
        <v>100</v>
      </c>
      <c r="K66" s="858">
        <v>1</v>
      </c>
      <c r="L66" s="966">
        <f>N66</f>
        <v>1.1604149295966827E-2</v>
      </c>
      <c r="N66" s="1060">
        <f>ABS(AR35*DwellingStocks!O20*(1+$O$103))</f>
        <v>1.1604149295966827E-2</v>
      </c>
      <c r="O66" s="1061">
        <f>N66*G66</f>
        <v>0.16294369392748237</v>
      </c>
      <c r="P66" s="1062"/>
      <c r="Q66" s="1063"/>
      <c r="R66" s="1061"/>
      <c r="S66" s="1063"/>
      <c r="T66" s="1068"/>
      <c r="U66" s="1063"/>
      <c r="AD66" s="25"/>
      <c r="AF66" t="s">
        <v>56</v>
      </c>
      <c r="AG66" s="122">
        <v>97809</v>
      </c>
      <c r="AH66" s="122">
        <v>15963699</v>
      </c>
      <c r="AI66">
        <v>190</v>
      </c>
      <c r="AJ66" s="122">
        <v>1583953290</v>
      </c>
      <c r="AK66" s="122">
        <v>349776746</v>
      </c>
      <c r="AL66" s="122">
        <v>123191330</v>
      </c>
      <c r="AM66" s="122">
        <v>22728444</v>
      </c>
      <c r="AN66" s="122">
        <v>482729805</v>
      </c>
      <c r="AO66" s="122">
        <v>34494676</v>
      </c>
      <c r="AP66" s="122">
        <v>2596874291</v>
      </c>
      <c r="AQ66" s="977">
        <v>251318.93361374349</v>
      </c>
      <c r="AR66">
        <f t="shared" si="19"/>
        <v>5.0749585402518643E-2</v>
      </c>
      <c r="AS66">
        <f t="shared" si="20"/>
        <v>1.9037186062632272E-2</v>
      </c>
      <c r="AT66">
        <f t="shared" si="21"/>
        <v>4.5342329233506121E-3</v>
      </c>
      <c r="AU66">
        <f t="shared" si="22"/>
        <v>8.3655285709904003E-4</v>
      </c>
    </row>
    <row r="67" spans="2:47" ht="21">
      <c r="B67" s="861" t="str">
        <f>_xlfn.TEXTJOIN(",",TRUE,IF(LEFT(Regions!$C$3,1)&lt;&gt;"*",Regions!$C$3,""),IF(LEFT(Regions!$D$3,1)&lt;&gt;"*",Regions!$D$3,""))</f>
        <v>IE,National</v>
      </c>
      <c r="C67" s="449"/>
      <c r="D67" s="448"/>
      <c r="E67" s="448" t="str">
        <f>COMM!$O$27</f>
        <v>RSDSC_Apt</v>
      </c>
      <c r="F67" s="448"/>
      <c r="G67" s="968"/>
      <c r="H67" s="968"/>
      <c r="I67" s="968"/>
      <c r="J67" s="448"/>
      <c r="K67" s="448"/>
      <c r="L67" s="969"/>
      <c r="N67" s="1042"/>
      <c r="O67" s="1035"/>
      <c r="P67" s="1046"/>
      <c r="Q67" s="1043"/>
      <c r="R67" s="1035"/>
      <c r="S67" s="1043"/>
      <c r="T67" s="1067"/>
      <c r="U67" s="1043"/>
      <c r="X67" s="49" t="s">
        <v>277</v>
      </c>
      <c r="Y67" s="49"/>
      <c r="Z67" s="49"/>
      <c r="AA67" s="19" t="s">
        <v>770</v>
      </c>
      <c r="AB67" s="19"/>
      <c r="AC67" s="19"/>
      <c r="AD67" s="25"/>
      <c r="AF67" t="s">
        <v>58</v>
      </c>
      <c r="AG67" s="122">
        <v>61656</v>
      </c>
      <c r="AH67" s="122">
        <v>8178706</v>
      </c>
      <c r="AI67">
        <v>261</v>
      </c>
      <c r="AJ67" s="122">
        <v>1135038941</v>
      </c>
      <c r="AK67" s="122">
        <v>241598273</v>
      </c>
      <c r="AL67" s="122">
        <v>63509736</v>
      </c>
      <c r="AM67" s="122">
        <v>13917755</v>
      </c>
      <c r="AN67" s="122">
        <v>295162090</v>
      </c>
      <c r="AO67" s="122">
        <v>34670143</v>
      </c>
      <c r="AP67" s="122">
        <v>1783896938</v>
      </c>
      <c r="AQ67" s="975">
        <v>166667.79141279124</v>
      </c>
      <c r="AR67">
        <f t="shared" si="19"/>
        <v>5.7313856737701993E-2</v>
      </c>
      <c r="AS67">
        <f t="shared" si="20"/>
        <v>1.9258402082522379E-2</v>
      </c>
      <c r="AT67">
        <f t="shared" si="21"/>
        <v>3.7082368236667968E-3</v>
      </c>
      <c r="AU67">
        <f t="shared" si="22"/>
        <v>8.126365317244063E-4</v>
      </c>
    </row>
    <row r="68" spans="2:47" ht="15">
      <c r="B68" s="862" t="str">
        <f>_xlfn.TEXTJOIN(",",TRUE,IF(LEFT(Regions!$C$3,1)&lt;&gt;"*",Regions!$C$3,""),IF(LEFT(Regions!$D$3,1)&lt;&gt;"*",Regions!$D$3,""))</f>
        <v>IE,National</v>
      </c>
      <c r="C68" s="293"/>
      <c r="D68" s="293"/>
      <c r="E68" s="293" t="str">
        <f>COMM!$O$30</f>
        <v>RSDWH_Apt</v>
      </c>
      <c r="F68" s="293"/>
      <c r="G68" s="972"/>
      <c r="H68" s="972"/>
      <c r="I68" s="972"/>
      <c r="J68" s="293"/>
      <c r="K68" s="293"/>
      <c r="L68" s="973">
        <f>P68</f>
        <v>1.233128403925525E-2</v>
      </c>
      <c r="N68" s="1042"/>
      <c r="O68" s="1035"/>
      <c r="P68" s="1046">
        <f>AS35*(1+Q103)</f>
        <v>1.233128403925525E-2</v>
      </c>
      <c r="Q68" s="1043">
        <f>P68*G66</f>
        <v>0.17315400905119482</v>
      </c>
      <c r="R68" s="1035"/>
      <c r="S68" s="1043"/>
      <c r="T68" s="1067"/>
      <c r="U68" s="1043"/>
      <c r="X68" s="259" t="s">
        <v>766</v>
      </c>
      <c r="Y68" s="259" t="s">
        <v>232</v>
      </c>
      <c r="Z68" s="259" t="s">
        <v>278</v>
      </c>
      <c r="AA68" s="259" t="s">
        <v>279</v>
      </c>
      <c r="AB68" s="362">
        <v>2018</v>
      </c>
      <c r="AC68" s="259" t="s">
        <v>280</v>
      </c>
      <c r="AD68" s="25"/>
      <c r="AF68" t="s">
        <v>60</v>
      </c>
      <c r="AG68" s="122">
        <v>27666</v>
      </c>
      <c r="AH68" s="122">
        <v>3361294</v>
      </c>
      <c r="AI68">
        <v>338</v>
      </c>
      <c r="AJ68" s="122">
        <v>635462499</v>
      </c>
      <c r="AK68" s="122">
        <v>126446130</v>
      </c>
      <c r="AL68" s="122">
        <v>26318437</v>
      </c>
      <c r="AM68" s="122">
        <v>5835533</v>
      </c>
      <c r="AN68" s="122">
        <v>131872106</v>
      </c>
      <c r="AO68" s="122">
        <v>16624373</v>
      </c>
      <c r="AP68" s="122">
        <v>942559078</v>
      </c>
      <c r="AQ68" s="977">
        <v>81396.697989555512</v>
      </c>
      <c r="AR68">
        <f t="shared" si="19"/>
        <v>7.0692280806327057E-2</v>
      </c>
      <c r="AS68">
        <f t="shared" si="20"/>
        <v>1.9322899024072873E-2</v>
      </c>
      <c r="AT68">
        <f t="shared" si="21"/>
        <v>3.4246502277163315E-3</v>
      </c>
      <c r="AU68">
        <f t="shared" si="22"/>
        <v>7.5934066363044894E-4</v>
      </c>
    </row>
    <row r="69" spans="2:47" ht="15">
      <c r="B69" s="861" t="str">
        <f>_xlfn.TEXTJOIN(",",TRUE,IF(LEFT(Regions!$C$3,1)&lt;&gt;"*",Regions!$C$3,""),IF(LEFT(Regions!$D$3,1)&lt;&gt;"*",Regions!$D$3,""))</f>
        <v>IE,National</v>
      </c>
      <c r="C69" s="449"/>
      <c r="D69" s="448"/>
      <c r="E69" s="448" t="str">
        <f>COMM!$O$33</f>
        <v>RSDLT_Apt</v>
      </c>
      <c r="F69" s="448"/>
      <c r="G69" s="968"/>
      <c r="H69" s="968"/>
      <c r="I69" s="968"/>
      <c r="J69" s="448"/>
      <c r="K69" s="448"/>
      <c r="L69" s="969">
        <f>R69</f>
        <v>1.8930898876542222E-3</v>
      </c>
      <c r="N69" s="1042"/>
      <c r="O69" s="1035"/>
      <c r="P69" s="1046"/>
      <c r="Q69" s="1043"/>
      <c r="R69" s="1035">
        <f>AT35*(1+S103)</f>
        <v>1.8930898876542222E-3</v>
      </c>
      <c r="S69" s="1043">
        <f>R69*G66</f>
        <v>2.6582479366958275E-2</v>
      </c>
      <c r="T69" s="1067"/>
      <c r="U69" s="1043"/>
      <c r="X69" s="363" t="str">
        <f>_xlfn.TEXTJOIN(",",TRUE,IF(LEFT(Regions!$C$3,1)&lt;&gt;"*",Regions!$C$3,""),IF(LEFT(Regions!$D$3,1)&lt;&gt;"*",Regions!$D$3,""))</f>
        <v>IE,National</v>
      </c>
      <c r="Y69" s="363" t="str">
        <f>COMM!O6</f>
        <v>RSD_Apt</v>
      </c>
      <c r="Z69" s="363" t="str">
        <f>COMM!P6</f>
        <v>Residential Apartment Demand</v>
      </c>
      <c r="AA69" s="363" t="s">
        <v>282</v>
      </c>
      <c r="AB69" s="522">
        <f>AG17/1000</f>
        <v>211.92088499999997</v>
      </c>
      <c r="AC69" s="363" t="s">
        <v>248</v>
      </c>
      <c r="AD69" s="25"/>
      <c r="AF69" t="s">
        <v>62</v>
      </c>
      <c r="AG69" s="122">
        <v>13787</v>
      </c>
      <c r="AH69" s="122">
        <v>1578087</v>
      </c>
      <c r="AI69">
        <v>415</v>
      </c>
      <c r="AJ69" s="122">
        <v>382255989</v>
      </c>
      <c r="AK69" s="122">
        <v>74341761</v>
      </c>
      <c r="AL69" s="122">
        <v>12486922</v>
      </c>
      <c r="AM69" s="122">
        <v>2769697</v>
      </c>
      <c r="AN69" s="122">
        <v>65705835</v>
      </c>
      <c r="AO69" s="122">
        <v>8706537</v>
      </c>
      <c r="AP69" s="122">
        <v>546266742</v>
      </c>
      <c r="AQ69" s="975">
        <v>43241.005762967114</v>
      </c>
      <c r="AR69">
        <f t="shared" si="19"/>
        <v>8.501184971128925E-2</v>
      </c>
      <c r="AS69">
        <f t="shared" si="20"/>
        <v>1.943022696743309E-2</v>
      </c>
      <c r="AT69">
        <f t="shared" si="21"/>
        <v>3.2605294262711255E-3</v>
      </c>
      <c r="AU69">
        <f t="shared" si="22"/>
        <v>7.2321093783999431E-4</v>
      </c>
    </row>
    <row r="70" spans="2:47" ht="15.75" thickBot="1">
      <c r="B70" s="863" t="str">
        <f>_xlfn.TEXTJOIN(",",TRUE,IF(LEFT(Regions!$C$3,1)&lt;&gt;"*",Regions!$C$3,""),IF(LEFT(Regions!$D$3,1)&lt;&gt;"*",Regions!$D$3,""))</f>
        <v>IE,National</v>
      </c>
      <c r="C70" s="864"/>
      <c r="D70" s="864"/>
      <c r="E70" s="864" t="str">
        <f>COMM!$O$36</f>
        <v>RSDPF_Apt</v>
      </c>
      <c r="F70" s="864"/>
      <c r="G70" s="865"/>
      <c r="H70" s="865"/>
      <c r="I70" s="865"/>
      <c r="J70" s="864"/>
      <c r="K70" s="864"/>
      <c r="L70" s="976">
        <f>T70</f>
        <v>5.7288042147569896E-4</v>
      </c>
      <c r="N70" s="1064"/>
      <c r="O70" s="1044"/>
      <c r="P70" s="1065"/>
      <c r="Q70" s="1045"/>
      <c r="R70" s="1044"/>
      <c r="S70" s="1045"/>
      <c r="T70" s="1066">
        <f>AU35*(1+U103)</f>
        <v>5.7288042147569896E-4</v>
      </c>
      <c r="U70" s="1045">
        <f>T70*G66</f>
        <v>8.0442994719507315E-3</v>
      </c>
      <c r="X70" s="361" t="str">
        <f>_xlfn.TEXTJOIN(",",TRUE,IF(LEFT(Regions!$C$3,1)&lt;&gt;"*",Regions!$C$3,""),IF(LEFT(Regions!$D$3,1)&lt;&gt;"*",Regions!$D$3,""))</f>
        <v>IE,National</v>
      </c>
      <c r="Y70" s="361" t="str">
        <f>COMM!O7</f>
        <v>RSD_Att</v>
      </c>
      <c r="Z70" s="361" t="str">
        <f>COMM!P7</f>
        <v>Residential Attached Demand</v>
      </c>
      <c r="AA70" s="361" t="s">
        <v>282</v>
      </c>
      <c r="AB70" s="523">
        <f>AH17/1000</f>
        <v>788.10372099999984</v>
      </c>
      <c r="AC70" s="361" t="s">
        <v>248</v>
      </c>
      <c r="AD70" s="25"/>
      <c r="AF70" t="s">
        <v>64</v>
      </c>
      <c r="AG70" s="122">
        <v>24436</v>
      </c>
      <c r="AH70" s="122">
        <v>2381791</v>
      </c>
      <c r="AI70">
        <v>673</v>
      </c>
      <c r="AJ70" s="122">
        <v>889411987</v>
      </c>
      <c r="AK70" s="122">
        <v>178556613</v>
      </c>
      <c r="AL70" s="122">
        <v>19539039</v>
      </c>
      <c r="AM70" s="122">
        <v>3598598</v>
      </c>
      <c r="AN70" s="122">
        <v>107615125</v>
      </c>
      <c r="AO70" s="122">
        <v>12476668</v>
      </c>
      <c r="AP70" s="122">
        <v>1211198029</v>
      </c>
      <c r="AQ70" s="980">
        <v>78435.533443104825</v>
      </c>
      <c r="AR70">
        <f t="shared" si="19"/>
        <v>0.11218733764722996</v>
      </c>
      <c r="AS70">
        <f t="shared" si="20"/>
        <v>1.769235778359797E-2</v>
      </c>
      <c r="AT70">
        <f t="shared" si="21"/>
        <v>2.8785619741365197E-3</v>
      </c>
      <c r="AU70">
        <f t="shared" si="22"/>
        <v>5.3015848747749216E-4</v>
      </c>
    </row>
    <row r="71" spans="2:47" ht="15.75" thickBot="1">
      <c r="B71" s="856" t="str">
        <f>_xlfn.TEXTJOIN(",",TRUE,IF(LEFT(Regions!$C$3,1)&lt;&gt;"*",Regions!$C$3,""),IF(LEFT(Regions!$D$3,1)&lt;&gt;"*",Regions!$D$3,""))</f>
        <v>IE,National</v>
      </c>
      <c r="C71" s="857" t="str">
        <f>Y18</f>
        <v>R-BLD_Apt_B3</v>
      </c>
      <c r="D71" s="858" t="str">
        <f>Z18</f>
        <v>Residential Building Apartment _ B3</v>
      </c>
      <c r="E71" s="857" t="str">
        <f>COMM!$O$9</f>
        <v>RSDSH_Apt-AB</v>
      </c>
      <c r="F71" s="858" t="str">
        <f>COMM!$O$6</f>
        <v>RSD_Apt</v>
      </c>
      <c r="G71" s="860">
        <f>AG11/1000</f>
        <v>19.924480375055825</v>
      </c>
      <c r="H71" s="860">
        <f>G71*$AH$26</f>
        <v>16.603069496534019</v>
      </c>
      <c r="I71" s="860">
        <v>1</v>
      </c>
      <c r="J71" s="858">
        <v>100</v>
      </c>
      <c r="K71" s="858">
        <v>1</v>
      </c>
      <c r="L71" s="966">
        <f>N71</f>
        <v>1.565892399690914E-2</v>
      </c>
      <c r="N71" s="1060">
        <f>ABS(AR36*DwellingStocks!O21*(1+$O$103))</f>
        <v>1.565892399690914E-2</v>
      </c>
      <c r="O71" s="1061">
        <f>N71*G71</f>
        <v>0.31199592387090691</v>
      </c>
      <c r="P71" s="1046"/>
      <c r="Q71" s="1043"/>
      <c r="R71" s="1035"/>
      <c r="S71" s="1043"/>
      <c r="T71" s="1067"/>
      <c r="U71" s="1043"/>
      <c r="X71" s="363" t="str">
        <f>_xlfn.TEXTJOIN(",",TRUE,IF(LEFT(Regions!$C$3,1)&lt;&gt;"*",Regions!$C$3,""),IF(LEFT(Regions!$D$3,1)&lt;&gt;"*",Regions!$D$3,""))</f>
        <v>IE,National</v>
      </c>
      <c r="Y71" s="363" t="str">
        <f>COMM!O8</f>
        <v>RSD_Det</v>
      </c>
      <c r="Z71" s="363" t="str">
        <f>COMM!P8</f>
        <v>Residential Detached Demand</v>
      </c>
      <c r="AA71" s="363" t="s">
        <v>282</v>
      </c>
      <c r="AB71" s="522">
        <f>AI17/1000</f>
        <v>735.43872899999997</v>
      </c>
      <c r="AC71" s="363" t="s">
        <v>248</v>
      </c>
      <c r="AD71" s="25"/>
      <c r="AQ71" s="981">
        <v>724429.72899999993</v>
      </c>
      <c r="AR71">
        <f>AVERAGE(AR62:AR70)</f>
        <v>5.4248256501984234E-2</v>
      </c>
      <c r="AS71">
        <f t="shared" ref="AS71:AU71" si="23">AVERAGE(AS62:AS70)</f>
        <v>1.6591261736419179E-2</v>
      </c>
      <c r="AT71">
        <f t="shared" si="23"/>
        <v>4.0663121209199632E-3</v>
      </c>
      <c r="AU71">
        <f t="shared" si="23"/>
        <v>9.7389990708204226E-4</v>
      </c>
    </row>
    <row r="72" spans="2:47" ht="15">
      <c r="B72" s="861" t="str">
        <f>_xlfn.TEXTJOIN(",",TRUE,IF(LEFT(Regions!$C$3,1)&lt;&gt;"*",Regions!$C$3,""),IF(LEFT(Regions!$D$3,1)&lt;&gt;"*",Regions!$D$3,""))</f>
        <v>IE,National</v>
      </c>
      <c r="C72" s="449"/>
      <c r="D72" s="448"/>
      <c r="E72" s="448" t="str">
        <f>COMM!$O$27</f>
        <v>RSDSC_Apt</v>
      </c>
      <c r="F72" s="448"/>
      <c r="G72" s="968"/>
      <c r="H72" s="968"/>
      <c r="I72" s="968"/>
      <c r="J72" s="448"/>
      <c r="K72" s="448"/>
      <c r="L72" s="969"/>
      <c r="N72" s="1042"/>
      <c r="O72" s="1035"/>
      <c r="P72" s="1046"/>
      <c r="Q72" s="1043"/>
      <c r="R72" s="1035"/>
      <c r="S72" s="1043"/>
      <c r="T72" s="1067"/>
      <c r="U72" s="1043"/>
      <c r="X72" s="21" t="s">
        <v>281</v>
      </c>
      <c r="Y72" s="21" t="s">
        <v>615</v>
      </c>
      <c r="Z72" s="21"/>
      <c r="AA72" s="21"/>
      <c r="AB72" s="21"/>
      <c r="AC72" s="21"/>
      <c r="AD72" s="25"/>
    </row>
    <row r="73" spans="2:47">
      <c r="B73" s="862" t="str">
        <f>_xlfn.TEXTJOIN(",",TRUE,IF(LEFT(Regions!$C$3,1)&lt;&gt;"*",Regions!$C$3,""),IF(LEFT(Regions!$D$3,1)&lt;&gt;"*",Regions!$D$3,""))</f>
        <v>IE,National</v>
      </c>
      <c r="C73" s="293"/>
      <c r="D73" s="293"/>
      <c r="E73" s="293" t="str">
        <f>COMM!$O$30</f>
        <v>RSDWH_Apt</v>
      </c>
      <c r="F73" s="293"/>
      <c r="G73" s="972"/>
      <c r="H73" s="972"/>
      <c r="I73" s="972"/>
      <c r="J73" s="293"/>
      <c r="K73" s="293"/>
      <c r="L73" s="973">
        <f>P73</f>
        <v>1.3758062739131167E-2</v>
      </c>
      <c r="N73" s="1042"/>
      <c r="O73" s="1035"/>
      <c r="P73" s="1046">
        <f>AS36*(1+Q103)</f>
        <v>1.3758062739131167E-2</v>
      </c>
      <c r="Q73" s="1043">
        <f>P73*G71</f>
        <v>0.27412225104460575</v>
      </c>
      <c r="R73" s="1035"/>
      <c r="S73" s="1043"/>
      <c r="T73" s="1067"/>
      <c r="U73" s="1043"/>
      <c r="X73" s="365" t="s">
        <v>614</v>
      </c>
      <c r="Y73" s="365"/>
      <c r="Z73" s="365"/>
      <c r="AA73" s="365"/>
      <c r="AB73" s="524">
        <f>SUM(AB69:AB71)</f>
        <v>1735.4633349999999</v>
      </c>
      <c r="AC73" s="365"/>
      <c r="AD73" s="25"/>
    </row>
    <row r="74" spans="2:47">
      <c r="B74" s="861" t="str">
        <f>_xlfn.TEXTJOIN(",",TRUE,IF(LEFT(Regions!$C$3,1)&lt;&gt;"*",Regions!$C$3,""),IF(LEFT(Regions!$D$3,1)&lt;&gt;"*",Regions!$D$3,""))</f>
        <v>IE,National</v>
      </c>
      <c r="C74" s="449"/>
      <c r="D74" s="448"/>
      <c r="E74" s="448" t="str">
        <f>COMM!$O$33</f>
        <v>RSDLT_Apt</v>
      </c>
      <c r="F74" s="448"/>
      <c r="G74" s="968"/>
      <c r="H74" s="968"/>
      <c r="I74" s="968"/>
      <c r="J74" s="448"/>
      <c r="K74" s="448"/>
      <c r="L74" s="969">
        <f>R74</f>
        <v>1.894842136595879E-3</v>
      </c>
      <c r="N74" s="1042"/>
      <c r="O74" s="1035"/>
      <c r="P74" s="1046"/>
      <c r="Q74" s="1043"/>
      <c r="R74" s="1035">
        <f>AT36*(1+S103)</f>
        <v>1.894842136595879E-3</v>
      </c>
      <c r="S74" s="1043">
        <f>R74*G71</f>
        <v>3.7753744964433442E-2</v>
      </c>
      <c r="T74" s="1067"/>
      <c r="U74" s="1043"/>
      <c r="AC74" s="25"/>
      <c r="AD74" s="25"/>
    </row>
    <row r="75" spans="2:47" ht="13.5" thickBot="1">
      <c r="B75" s="863" t="str">
        <f>_xlfn.TEXTJOIN(",",TRUE,IF(LEFT(Regions!$C$3,1)&lt;&gt;"*",Regions!$C$3,""),IF(LEFT(Regions!$D$3,1)&lt;&gt;"*",Regions!$D$3,""))</f>
        <v>IE,National</v>
      </c>
      <c r="C75" s="864"/>
      <c r="D75" s="864"/>
      <c r="E75" s="864" t="str">
        <f>COMM!$O$36</f>
        <v>RSDPF_Apt</v>
      </c>
      <c r="F75" s="864"/>
      <c r="G75" s="865"/>
      <c r="H75" s="865"/>
      <c r="I75" s="865"/>
      <c r="J75" s="864"/>
      <c r="K75" s="864"/>
      <c r="L75" s="976">
        <f>T75</f>
        <v>5.3071223215165068E-4</v>
      </c>
      <c r="N75" s="1042"/>
      <c r="O75" s="1035"/>
      <c r="P75" s="1046"/>
      <c r="Q75" s="1043"/>
      <c r="R75" s="1035"/>
      <c r="S75" s="1043"/>
      <c r="T75" s="1067">
        <f>AU36*(1+U103)</f>
        <v>5.3071223215165068E-4</v>
      </c>
      <c r="U75" s="1043">
        <f>T75*G71</f>
        <v>1.0574165454307635E-2</v>
      </c>
      <c r="AC75" s="25"/>
      <c r="AD75" s="25"/>
    </row>
    <row r="76" spans="2:47">
      <c r="B76" s="856" t="str">
        <f>_xlfn.TEXTJOIN(",",TRUE,IF(LEFT(Regions!$C$3,1)&lt;&gt;"*",Regions!$C$3,""),IF(LEFT(Regions!$D$3,1)&lt;&gt;"*",Regions!$D$3,""))</f>
        <v>IE,National</v>
      </c>
      <c r="C76" s="857" t="str">
        <f>Y19</f>
        <v>R-BLD_Apt_C</v>
      </c>
      <c r="D76" s="858" t="str">
        <f>Z19</f>
        <v>Residential Building Apartment _ C</v>
      </c>
      <c r="E76" s="857" t="str">
        <f>COMM!$O$12</f>
        <v>RSDSH_Apt-C</v>
      </c>
      <c r="F76" s="858" t="str">
        <f>COMM!$O$6</f>
        <v>RSD_Apt</v>
      </c>
      <c r="G76" s="860">
        <f>AG12/1000</f>
        <v>58.904803436433703</v>
      </c>
      <c r="H76" s="860">
        <f>G76*$AH$26</f>
        <v>49.085372703580205</v>
      </c>
      <c r="I76" s="860">
        <v>1</v>
      </c>
      <c r="J76" s="858">
        <v>100</v>
      </c>
      <c r="K76" s="858">
        <v>1</v>
      </c>
      <c r="L76" s="966">
        <f>N76</f>
        <v>1.1393701596871319E-2</v>
      </c>
      <c r="N76" s="1060">
        <f>ABS(AR37*DwellingStocks!O22*(1+$O$103))</f>
        <v>1.1393701596871319E-2</v>
      </c>
      <c r="O76" s="1061">
        <f>N76*G76</f>
        <v>0.67114375297708584</v>
      </c>
      <c r="P76" s="1062"/>
      <c r="Q76" s="1063"/>
      <c r="R76" s="1061"/>
      <c r="S76" s="1063"/>
      <c r="T76" s="1068"/>
      <c r="U76" s="1063"/>
      <c r="AC76" s="25"/>
      <c r="AD76" s="25"/>
    </row>
    <row r="77" spans="2:47">
      <c r="B77" s="861" t="str">
        <f>_xlfn.TEXTJOIN(",",TRUE,IF(LEFT(Regions!$C$3,1)&lt;&gt;"*",Regions!$C$3,""),IF(LEFT(Regions!$D$3,1)&lt;&gt;"*",Regions!$D$3,""))</f>
        <v>IE,National</v>
      </c>
      <c r="C77" s="449"/>
      <c r="D77" s="448"/>
      <c r="E77" s="448" t="str">
        <f>COMM!$O$27</f>
        <v>RSDSC_Apt</v>
      </c>
      <c r="F77" s="448"/>
      <c r="G77" s="968"/>
      <c r="H77" s="968"/>
      <c r="I77" s="968"/>
      <c r="J77" s="448"/>
      <c r="K77" s="448"/>
      <c r="L77" s="969"/>
      <c r="N77" s="1042"/>
      <c r="O77" s="1035"/>
      <c r="P77" s="1046"/>
      <c r="Q77" s="1043"/>
      <c r="R77" s="1035"/>
      <c r="S77" s="1043"/>
      <c r="T77" s="1067"/>
      <c r="U77" s="1043"/>
      <c r="AC77" s="25"/>
      <c r="AD77" s="25"/>
    </row>
    <row r="78" spans="2:47">
      <c r="B78" s="862" t="str">
        <f>_xlfn.TEXTJOIN(",",TRUE,IF(LEFT(Regions!$C$3,1)&lt;&gt;"*",Regions!$C$3,""),IF(LEFT(Regions!$D$3,1)&lt;&gt;"*",Regions!$D$3,""))</f>
        <v>IE,National</v>
      </c>
      <c r="C78" s="293"/>
      <c r="D78" s="293"/>
      <c r="E78" s="293" t="str">
        <f>COMM!$O$30</f>
        <v>RSDWH_Apt</v>
      </c>
      <c r="F78" s="293"/>
      <c r="G78" s="972"/>
      <c r="H78" s="972"/>
      <c r="I78" s="972"/>
      <c r="J78" s="293"/>
      <c r="K78" s="293"/>
      <c r="L78" s="973">
        <f>P78</f>
        <v>1.3665642356902784E-2</v>
      </c>
      <c r="N78" s="1042"/>
      <c r="O78" s="1035"/>
      <c r="P78" s="1046">
        <f>AS37*(1+Q103)</f>
        <v>1.3665642356902784E-2</v>
      </c>
      <c r="Q78" s="1043">
        <f>P78*G76</f>
        <v>0.80497197686596111</v>
      </c>
      <c r="R78" s="1035"/>
      <c r="S78" s="1043"/>
      <c r="T78" s="1067"/>
      <c r="U78" s="1043"/>
      <c r="AC78" s="25"/>
      <c r="AD78" s="25"/>
    </row>
    <row r="79" spans="2:47">
      <c r="B79" s="861" t="str">
        <f>_xlfn.TEXTJOIN(",",TRUE,IF(LEFT(Regions!$C$3,1)&lt;&gt;"*",Regions!$C$3,""),IF(LEFT(Regions!$D$3,1)&lt;&gt;"*",Regions!$D$3,""))</f>
        <v>IE,National</v>
      </c>
      <c r="C79" s="449"/>
      <c r="D79" s="448"/>
      <c r="E79" s="448" t="str">
        <f>COMM!$O$33</f>
        <v>RSDLT_Apt</v>
      </c>
      <c r="F79" s="448"/>
      <c r="G79" s="968"/>
      <c r="H79" s="968"/>
      <c r="I79" s="968"/>
      <c r="J79" s="448"/>
      <c r="K79" s="448"/>
      <c r="L79" s="969">
        <f>R79</f>
        <v>1.7622746154756464E-3</v>
      </c>
      <c r="N79" s="1042"/>
      <c r="O79" s="1035"/>
      <c r="P79" s="1046"/>
      <c r="Q79" s="1043"/>
      <c r="R79" s="1035">
        <f>AT37*(1+S103)</f>
        <v>1.7622746154756464E-3</v>
      </c>
      <c r="S79" s="1043">
        <f>R79*G76</f>
        <v>0.10380643982560975</v>
      </c>
      <c r="T79" s="1067"/>
      <c r="U79" s="1043"/>
      <c r="AC79" s="25"/>
      <c r="AD79" s="25"/>
    </row>
    <row r="80" spans="2:47" ht="13.5" thickBot="1">
      <c r="B80" s="863" t="str">
        <f>_xlfn.TEXTJOIN(",",TRUE,IF(LEFT(Regions!$C$3,1)&lt;&gt;"*",Regions!$C$3,""),IF(LEFT(Regions!$D$3,1)&lt;&gt;"*",Regions!$D$3,""))</f>
        <v>IE,National</v>
      </c>
      <c r="C80" s="864"/>
      <c r="D80" s="864"/>
      <c r="E80" s="864" t="str">
        <f>COMM!$O$36</f>
        <v>RSDPF_Apt</v>
      </c>
      <c r="F80" s="864"/>
      <c r="G80" s="865"/>
      <c r="H80" s="865"/>
      <c r="I80" s="865"/>
      <c r="J80" s="864"/>
      <c r="K80" s="864"/>
      <c r="L80" s="976">
        <f>T80</f>
        <v>3.5551073299003414E-4</v>
      </c>
      <c r="N80" s="1064"/>
      <c r="O80" s="1044"/>
      <c r="P80" s="1065"/>
      <c r="Q80" s="1045"/>
      <c r="R80" s="1044"/>
      <c r="S80" s="1045"/>
      <c r="T80" s="1066">
        <f>AU37*(1+U103)</f>
        <v>3.5551073299003414E-4</v>
      </c>
      <c r="U80" s="1045">
        <f>T80*G76</f>
        <v>2.0941289846320429E-2</v>
      </c>
      <c r="AC80" s="25"/>
      <c r="AD80" s="25"/>
    </row>
    <row r="81" spans="2:21">
      <c r="B81" s="856" t="str">
        <f>_xlfn.TEXTJOIN(",",TRUE,IF(LEFT(Regions!$C$3,1)&lt;&gt;"*",Regions!$C$3,""),IF(LEFT(Regions!$D$3,1)&lt;&gt;"*",Regions!$D$3,""))</f>
        <v>IE,National</v>
      </c>
      <c r="C81" s="857" t="str">
        <f>Y20</f>
        <v>R-BLD_Apt_D</v>
      </c>
      <c r="D81" s="858" t="str">
        <f>Z20</f>
        <v>Residential Building Apartment _ D</v>
      </c>
      <c r="E81" s="857" t="str">
        <f>COMM!$O$15</f>
        <v>RSDSH_Apt-D</v>
      </c>
      <c r="F81" s="858" t="str">
        <f>COMM!$O$6</f>
        <v>RSD_Apt</v>
      </c>
      <c r="G81" s="860">
        <f>AG13/1000</f>
        <v>43.739341649106159</v>
      </c>
      <c r="H81" s="860">
        <f>G81*$AH$26</f>
        <v>36.447993396200161</v>
      </c>
      <c r="I81" s="860">
        <v>1</v>
      </c>
      <c r="J81" s="858">
        <v>100</v>
      </c>
      <c r="K81" s="858">
        <v>1</v>
      </c>
      <c r="L81" s="966">
        <f>N81</f>
        <v>1.2463453879725228E-2</v>
      </c>
      <c r="N81" s="1060">
        <f>ABS(AR38*DwellingStocks!O23*(1+$O$103))</f>
        <v>1.2463453879725228E-2</v>
      </c>
      <c r="O81" s="1061">
        <f>N81*G81</f>
        <v>0.54514326737317942</v>
      </c>
      <c r="P81" s="1046"/>
      <c r="Q81" s="1043"/>
      <c r="R81" s="1035"/>
      <c r="S81" s="1043"/>
      <c r="T81" s="1067"/>
      <c r="U81" s="1043"/>
    </row>
    <row r="82" spans="2:21">
      <c r="B82" s="861" t="str">
        <f>_xlfn.TEXTJOIN(",",TRUE,IF(LEFT(Regions!$C$3,1)&lt;&gt;"*",Regions!$C$3,""),IF(LEFT(Regions!$D$3,1)&lt;&gt;"*",Regions!$D$3,""))</f>
        <v>IE,National</v>
      </c>
      <c r="C82" s="449"/>
      <c r="D82" s="448"/>
      <c r="E82" s="448" t="str">
        <f>COMM!$O$27</f>
        <v>RSDSC_Apt</v>
      </c>
      <c r="F82" s="448"/>
      <c r="G82" s="968"/>
      <c r="H82" s="968"/>
      <c r="I82" s="968"/>
      <c r="J82" s="448"/>
      <c r="K82" s="448"/>
      <c r="L82" s="969"/>
      <c r="N82" s="1042"/>
      <c r="O82" s="1035"/>
      <c r="P82" s="1046"/>
      <c r="Q82" s="1043"/>
      <c r="R82" s="1035"/>
      <c r="S82" s="1043"/>
      <c r="T82" s="1067"/>
      <c r="U82" s="1043"/>
    </row>
    <row r="83" spans="2:21">
      <c r="B83" s="862" t="str">
        <f>_xlfn.TEXTJOIN(",",TRUE,IF(LEFT(Regions!$C$3,1)&lt;&gt;"*",Regions!$C$3,""),IF(LEFT(Regions!$D$3,1)&lt;&gt;"*",Regions!$D$3,""))</f>
        <v>IE,National</v>
      </c>
      <c r="C83" s="293"/>
      <c r="D83" s="293"/>
      <c r="E83" s="293" t="str">
        <f>COMM!$O$30</f>
        <v>RSDWH_Apt</v>
      </c>
      <c r="F83" s="293"/>
      <c r="G83" s="972"/>
      <c r="H83" s="972"/>
      <c r="I83" s="972"/>
      <c r="J83" s="293"/>
      <c r="K83" s="293"/>
      <c r="L83" s="973">
        <f>P83</f>
        <v>1.1620609157529155E-2</v>
      </c>
      <c r="N83" s="1042"/>
      <c r="O83" s="1035"/>
      <c r="P83" s="1046">
        <f>AS38*(1+Q103)</f>
        <v>1.1620609157529155E-2</v>
      </c>
      <c r="Q83" s="1043">
        <f>P83*G81</f>
        <v>0.50827779411189944</v>
      </c>
      <c r="R83" s="1035"/>
      <c r="S83" s="1043"/>
      <c r="T83" s="1067"/>
      <c r="U83" s="1043"/>
    </row>
    <row r="84" spans="2:21">
      <c r="B84" s="861" t="str">
        <f>_xlfn.TEXTJOIN(",",TRUE,IF(LEFT(Regions!$C$3,1)&lt;&gt;"*",Regions!$C$3,""),IF(LEFT(Regions!$D$3,1)&lt;&gt;"*",Regions!$D$3,""))</f>
        <v>IE,National</v>
      </c>
      <c r="C84" s="449"/>
      <c r="D84" s="448"/>
      <c r="E84" s="448" t="str">
        <f>COMM!$O$33</f>
        <v>RSDLT_Apt</v>
      </c>
      <c r="F84" s="448"/>
      <c r="G84" s="968"/>
      <c r="H84" s="968"/>
      <c r="I84" s="968"/>
      <c r="J84" s="448"/>
      <c r="K84" s="448"/>
      <c r="L84" s="969">
        <f>R84</f>
        <v>1.5800360152497749E-3</v>
      </c>
      <c r="N84" s="1042"/>
      <c r="O84" s="1035"/>
      <c r="P84" s="1046"/>
      <c r="Q84" s="1043"/>
      <c r="R84" s="1035">
        <f>AT38*(1+S103)</f>
        <v>1.5800360152497749E-3</v>
      </c>
      <c r="S84" s="1043">
        <f>R84*G81</f>
        <v>6.9109735088902211E-2</v>
      </c>
      <c r="T84" s="1067"/>
      <c r="U84" s="1043"/>
    </row>
    <row r="85" spans="2:21" ht="13.5" thickBot="1">
      <c r="B85" s="863" t="str">
        <f>_xlfn.TEXTJOIN(",",TRUE,IF(LEFT(Regions!$C$3,1)&lt;&gt;"*",Regions!$C$3,""),IF(LEFT(Regions!$D$3,1)&lt;&gt;"*",Regions!$D$3,""))</f>
        <v>IE,National</v>
      </c>
      <c r="C85" s="864"/>
      <c r="D85" s="864"/>
      <c r="E85" s="864" t="str">
        <f>COMM!$O$36</f>
        <v>RSDPF_Apt</v>
      </c>
      <c r="F85" s="864"/>
      <c r="G85" s="865"/>
      <c r="H85" s="865"/>
      <c r="I85" s="865"/>
      <c r="J85" s="864"/>
      <c r="K85" s="864"/>
      <c r="L85" s="976">
        <f>T85</f>
        <v>1.5467162282709282E-4</v>
      </c>
      <c r="N85" s="1042"/>
      <c r="O85" s="1035"/>
      <c r="P85" s="1046"/>
      <c r="Q85" s="1043"/>
      <c r="R85" s="1035"/>
      <c r="S85" s="1043"/>
      <c r="T85" s="1067">
        <f>AU38*(1+U103)</f>
        <v>1.5467162282709282E-4</v>
      </c>
      <c r="U85" s="1043">
        <f>T85*G81</f>
        <v>6.7652349542559002E-3</v>
      </c>
    </row>
    <row r="86" spans="2:21">
      <c r="B86" s="856" t="str">
        <f>_xlfn.TEXTJOIN(",",TRUE,IF(LEFT(Regions!$C$3,1)&lt;&gt;"*",Regions!$C$3,""),IF(LEFT(Regions!$D$3,1)&lt;&gt;"*",Regions!$D$3,""))</f>
        <v>IE,National</v>
      </c>
      <c r="C86" s="857" t="str">
        <f>Y21</f>
        <v>R-BLD_Apt_E</v>
      </c>
      <c r="D86" s="858" t="str">
        <f>Z21</f>
        <v>Residential Building Apartment _ E</v>
      </c>
      <c r="E86" s="857" t="str">
        <f>COMM!$O$18</f>
        <v>RSDSH_Apt-E</v>
      </c>
      <c r="F86" s="858" t="str">
        <f>COMM!$O$6</f>
        <v>RSD_Apt</v>
      </c>
      <c r="G86" s="860">
        <f>AG14/1000</f>
        <v>25.767876472761333</v>
      </c>
      <c r="H86" s="860">
        <f>G86*$AH$26</f>
        <v>21.472371464752019</v>
      </c>
      <c r="I86" s="860">
        <v>1</v>
      </c>
      <c r="J86" s="858">
        <v>100</v>
      </c>
      <c r="K86" s="858">
        <v>1</v>
      </c>
      <c r="L86" s="966">
        <f>N86</f>
        <v>1.664504811021596E-2</v>
      </c>
      <c r="N86" s="1060">
        <f>ABS(AR39*DwellingStocks!O24*(1+$O$103))</f>
        <v>1.664504811021596E-2</v>
      </c>
      <c r="O86" s="1061">
        <f>N86*G86</f>
        <v>0.42890754358721433</v>
      </c>
      <c r="P86" s="1062"/>
      <c r="Q86" s="1063"/>
      <c r="R86" s="1061"/>
      <c r="S86" s="1063"/>
      <c r="T86" s="1068"/>
      <c r="U86" s="1063"/>
    </row>
    <row r="87" spans="2:21">
      <c r="B87" s="861" t="str">
        <f>_xlfn.TEXTJOIN(",",TRUE,IF(LEFT(Regions!$C$3,1)&lt;&gt;"*",Regions!$C$3,""),IF(LEFT(Regions!$D$3,1)&lt;&gt;"*",Regions!$D$3,""))</f>
        <v>IE,National</v>
      </c>
      <c r="C87" s="449"/>
      <c r="D87" s="448"/>
      <c r="E87" s="448" t="str">
        <f>COMM!$O$27</f>
        <v>RSDSC_Apt</v>
      </c>
      <c r="F87" s="448"/>
      <c r="G87" s="968"/>
      <c r="H87" s="968"/>
      <c r="I87" s="968"/>
      <c r="J87" s="448"/>
      <c r="K87" s="448"/>
      <c r="L87" s="969"/>
      <c r="N87" s="1042"/>
      <c r="O87" s="1035"/>
      <c r="P87" s="1046"/>
      <c r="Q87" s="1043"/>
      <c r="R87" s="1035"/>
      <c r="S87" s="1043"/>
      <c r="T87" s="1067"/>
      <c r="U87" s="1043"/>
    </row>
    <row r="88" spans="2:21">
      <c r="B88" s="862" t="str">
        <f>_xlfn.TEXTJOIN(",",TRUE,IF(LEFT(Regions!$C$3,1)&lt;&gt;"*",Regions!$C$3,""),IF(LEFT(Regions!$D$3,1)&lt;&gt;"*",Regions!$D$3,""))</f>
        <v>IE,National</v>
      </c>
      <c r="C88" s="293"/>
      <c r="D88" s="293"/>
      <c r="E88" s="293" t="str">
        <f>COMM!$O$30</f>
        <v>RSDWH_Apt</v>
      </c>
      <c r="F88" s="293"/>
      <c r="G88" s="972"/>
      <c r="H88" s="972"/>
      <c r="I88" s="972"/>
      <c r="J88" s="293"/>
      <c r="K88" s="293"/>
      <c r="L88" s="973">
        <f>P88</f>
        <v>1.0940282504497131E-2</v>
      </c>
      <c r="N88" s="1042"/>
      <c r="O88" s="1035"/>
      <c r="P88" s="1046">
        <f>AS39*(1+Q103)</f>
        <v>1.0940282504497131E-2</v>
      </c>
      <c r="Q88" s="1043">
        <f>P88*G86</f>
        <v>0.28190784815299402</v>
      </c>
      <c r="R88" s="1035"/>
      <c r="S88" s="1043"/>
      <c r="T88" s="1067"/>
      <c r="U88" s="1043"/>
    </row>
    <row r="89" spans="2:21">
      <c r="B89" s="861" t="str">
        <f>_xlfn.TEXTJOIN(",",TRUE,IF(LEFT(Regions!$C$3,1)&lt;&gt;"*",Regions!$C$3,""),IF(LEFT(Regions!$D$3,1)&lt;&gt;"*",Regions!$D$3,""))</f>
        <v>IE,National</v>
      </c>
      <c r="C89" s="449"/>
      <c r="D89" s="448"/>
      <c r="E89" s="448" t="str">
        <f>COMM!$O$33</f>
        <v>RSDLT_Apt</v>
      </c>
      <c r="F89" s="448"/>
      <c r="G89" s="968"/>
      <c r="H89" s="968"/>
      <c r="I89" s="968"/>
      <c r="J89" s="448"/>
      <c r="K89" s="448"/>
      <c r="L89" s="969">
        <f>R89</f>
        <v>1.4708380584556862E-3</v>
      </c>
      <c r="N89" s="1042"/>
      <c r="O89" s="1035"/>
      <c r="P89" s="1046"/>
      <c r="Q89" s="1043"/>
      <c r="R89" s="1035">
        <f>AT39*(1+S103)</f>
        <v>1.4708380584556862E-3</v>
      </c>
      <c r="S89" s="1043">
        <f>R89*G86</f>
        <v>3.7900373401722233E-2</v>
      </c>
      <c r="T89" s="1067"/>
      <c r="U89" s="1043"/>
    </row>
    <row r="90" spans="2:21" ht="13.5" thickBot="1">
      <c r="B90" s="863" t="str">
        <f>_xlfn.TEXTJOIN(",",TRUE,IF(LEFT(Regions!$C$3,1)&lt;&gt;"*",Regions!$C$3,""),IF(LEFT(Regions!$D$3,1)&lt;&gt;"*",Regions!$D$3,""))</f>
        <v>IE,National</v>
      </c>
      <c r="C90" s="864"/>
      <c r="D90" s="864"/>
      <c r="E90" s="864" t="str">
        <f>COMM!$O$36</f>
        <v>RSDPF_Apt</v>
      </c>
      <c r="F90" s="864"/>
      <c r="G90" s="865"/>
      <c r="H90" s="865"/>
      <c r="I90" s="865"/>
      <c r="J90" s="864"/>
      <c r="K90" s="864"/>
      <c r="L90" s="976">
        <f>T90</f>
        <v>1.1521259362726495E-4</v>
      </c>
      <c r="N90" s="1064"/>
      <c r="O90" s="1044"/>
      <c r="P90" s="1065"/>
      <c r="Q90" s="1045"/>
      <c r="R90" s="1044"/>
      <c r="S90" s="1045"/>
      <c r="T90" s="1066">
        <f>AU39*(1+U103)</f>
        <v>1.1521259362726495E-4</v>
      </c>
      <c r="U90" s="1045">
        <f>T90*G86</f>
        <v>2.9687838806938126E-3</v>
      </c>
    </row>
    <row r="91" spans="2:21">
      <c r="B91" s="856" t="str">
        <f>_xlfn.TEXTJOIN(",",TRUE,IF(LEFT(Regions!$C$3,1)&lt;&gt;"*",Regions!$C$3,""),IF(LEFT(Regions!$D$3,1)&lt;&gt;"*",Regions!$D$3,""))</f>
        <v>IE,National</v>
      </c>
      <c r="C91" s="857" t="str">
        <f>Y22</f>
        <v>R-BLD_Apt_F</v>
      </c>
      <c r="D91" s="858" t="str">
        <f>Z22</f>
        <v>Residential Building Apartment _ F</v>
      </c>
      <c r="E91" s="857" t="str">
        <f>COMM!$O$21</f>
        <v>RSDSH_Apt-F</v>
      </c>
      <c r="F91" s="858" t="str">
        <f>COMM!$O$6</f>
        <v>RSD_Apt</v>
      </c>
      <c r="G91" s="860">
        <f>AG15/1000</f>
        <v>12.331173226884033</v>
      </c>
      <c r="H91" s="860">
        <f>G91*$AH$26</f>
        <v>10.275566649962466</v>
      </c>
      <c r="I91" s="860">
        <v>1</v>
      </c>
      <c r="J91" s="858">
        <v>100</v>
      </c>
      <c r="K91" s="858">
        <v>1</v>
      </c>
      <c r="L91" s="966">
        <f>N91</f>
        <v>2.2624147760265865E-2</v>
      </c>
      <c r="N91" s="1060">
        <f>ABS(AR40*DwellingStocks!O25*(1+$O$103))</f>
        <v>2.2624147760265865E-2</v>
      </c>
      <c r="O91" s="1061">
        <f>N91*G91</f>
        <v>0.27898228514245882</v>
      </c>
      <c r="P91" s="1046"/>
      <c r="Q91" s="1043"/>
      <c r="R91" s="1035"/>
      <c r="S91" s="1043"/>
      <c r="T91" s="1067"/>
      <c r="U91" s="1043"/>
    </row>
    <row r="92" spans="2:21">
      <c r="B92" s="861" t="str">
        <f>_xlfn.TEXTJOIN(",",TRUE,IF(LEFT(Regions!$C$3,1)&lt;&gt;"*",Regions!$C$3,""),IF(LEFT(Regions!$D$3,1)&lt;&gt;"*",Regions!$D$3,""))</f>
        <v>IE,National</v>
      </c>
      <c r="C92" s="449"/>
      <c r="D92" s="448"/>
      <c r="E92" s="448" t="str">
        <f>COMM!$O$27</f>
        <v>RSDSC_Apt</v>
      </c>
      <c r="F92" s="448"/>
      <c r="G92" s="968"/>
      <c r="H92" s="968"/>
      <c r="I92" s="968"/>
      <c r="J92" s="448"/>
      <c r="K92" s="448"/>
      <c r="L92" s="969"/>
      <c r="N92" s="1042"/>
      <c r="O92" s="1035"/>
      <c r="P92" s="1046"/>
      <c r="Q92" s="1043"/>
      <c r="R92" s="1035"/>
      <c r="S92" s="1043"/>
      <c r="T92" s="1067"/>
      <c r="U92" s="1043"/>
    </row>
    <row r="93" spans="2:21">
      <c r="B93" s="862" t="str">
        <f>_xlfn.TEXTJOIN(",",TRUE,IF(LEFT(Regions!$C$3,1)&lt;&gt;"*",Regions!$C$3,""),IF(LEFT(Regions!$D$3,1)&lt;&gt;"*",Regions!$D$3,""))</f>
        <v>IE,National</v>
      </c>
      <c r="C93" s="293"/>
      <c r="D93" s="293"/>
      <c r="E93" s="293" t="str">
        <f>COMM!$O$30</f>
        <v>RSDWH_Apt</v>
      </c>
      <c r="F93" s="293"/>
      <c r="G93" s="972"/>
      <c r="H93" s="972"/>
      <c r="I93" s="972"/>
      <c r="J93" s="293"/>
      <c r="K93" s="293"/>
      <c r="L93" s="973">
        <f>P93</f>
        <v>1.1080838801265782E-2</v>
      </c>
      <c r="N93" s="1042"/>
      <c r="O93" s="1035"/>
      <c r="P93" s="1046">
        <f>AS40*(1+Q103)</f>
        <v>1.1080838801265782E-2</v>
      </c>
      <c r="Q93" s="1043">
        <f>P93*G91</f>
        <v>0.13663974275758636</v>
      </c>
      <c r="R93" s="1035"/>
      <c r="S93" s="1043"/>
      <c r="T93" s="1067"/>
      <c r="U93" s="1043"/>
    </row>
    <row r="94" spans="2:21">
      <c r="B94" s="861" t="str">
        <f>_xlfn.TEXTJOIN(",",TRUE,IF(LEFT(Regions!$C$3,1)&lt;&gt;"*",Regions!$C$3,""),IF(LEFT(Regions!$D$3,1)&lt;&gt;"*",Regions!$D$3,""))</f>
        <v>IE,National</v>
      </c>
      <c r="C94" s="449"/>
      <c r="D94" s="448"/>
      <c r="E94" s="448" t="str">
        <f>COMM!$O$33</f>
        <v>RSDLT_Apt</v>
      </c>
      <c r="F94" s="448"/>
      <c r="G94" s="968"/>
      <c r="H94" s="968"/>
      <c r="I94" s="968"/>
      <c r="J94" s="448"/>
      <c r="K94" s="448"/>
      <c r="L94" s="969">
        <f>R94</f>
        <v>1.3834625410316312E-3</v>
      </c>
      <c r="N94" s="1042"/>
      <c r="O94" s="1035"/>
      <c r="P94" s="1046"/>
      <c r="Q94" s="1043"/>
      <c r="R94" s="1035">
        <f>AT40*(1+S103)</f>
        <v>1.3834625410316312E-3</v>
      </c>
      <c r="S94" s="1043">
        <f>R94*G91</f>
        <v>1.7059716246366204E-2</v>
      </c>
      <c r="T94" s="1067"/>
      <c r="U94" s="1043"/>
    </row>
    <row r="95" spans="2:21" ht="13.5" thickBot="1">
      <c r="B95" s="863" t="str">
        <f>_xlfn.TEXTJOIN(",",TRUE,IF(LEFT(Regions!$C$3,1)&lt;&gt;"*",Regions!$C$3,""),IF(LEFT(Regions!$D$3,1)&lt;&gt;"*",Regions!$D$3,""))</f>
        <v>IE,National</v>
      </c>
      <c r="C95" s="864"/>
      <c r="D95" s="864"/>
      <c r="E95" s="864" t="str">
        <f>COMM!$O$36</f>
        <v>RSDPF_Apt</v>
      </c>
      <c r="F95" s="864"/>
      <c r="G95" s="865"/>
      <c r="H95" s="865"/>
      <c r="I95" s="865"/>
      <c r="J95" s="864"/>
      <c r="K95" s="864"/>
      <c r="L95" s="976">
        <f>T95</f>
        <v>1.4145525681286941E-4</v>
      </c>
      <c r="N95" s="1042"/>
      <c r="O95" s="1035"/>
      <c r="P95" s="1046"/>
      <c r="Q95" s="1043"/>
      <c r="R95" s="1035"/>
      <c r="S95" s="1043"/>
      <c r="T95" s="1067">
        <f>AU40*(1+U103)</f>
        <v>1.4145525681286941E-4</v>
      </c>
      <c r="U95" s="1043">
        <f>T95*G91</f>
        <v>1.7443092756128605E-3</v>
      </c>
    </row>
    <row r="96" spans="2:21">
      <c r="B96" s="856" t="str">
        <f>_xlfn.TEXTJOIN(",",TRUE,IF(LEFT(Regions!$C$3,1)&lt;&gt;"*",Regions!$C$3,""),IF(LEFT(Regions!$D$3,1)&lt;&gt;"*",Regions!$D$3,""))</f>
        <v>IE,National</v>
      </c>
      <c r="C96" s="857" t="str">
        <f>Y23</f>
        <v>R-BLD_Apt_G</v>
      </c>
      <c r="D96" s="858" t="str">
        <f>Z23</f>
        <v>Residential Building Apartment _ G</v>
      </c>
      <c r="E96" s="857" t="str">
        <f>COMM!$O$24</f>
        <v>RSDSH_Apt-G</v>
      </c>
      <c r="F96" s="858" t="str">
        <f>COMM!$O$6</f>
        <v>RSD_Apt</v>
      </c>
      <c r="G96" s="860">
        <f>AG16/1000</f>
        <v>15.211172212670604</v>
      </c>
      <c r="H96" s="860">
        <f>G96*$AH$26</f>
        <v>12.675469804818414</v>
      </c>
      <c r="I96" s="860">
        <v>1</v>
      </c>
      <c r="J96" s="858">
        <v>100</v>
      </c>
      <c r="K96" s="858">
        <v>1</v>
      </c>
      <c r="L96" s="966">
        <f>N96</f>
        <v>2.7338413527361719E-2</v>
      </c>
      <c r="N96" s="1060">
        <f>ABS(AR41*DwellingStocks!O26*(1+$O$103))</f>
        <v>2.7338413527361719E-2</v>
      </c>
      <c r="O96" s="1061">
        <f>N96*G96</f>
        <v>0.41584931618590276</v>
      </c>
      <c r="P96" s="1062"/>
      <c r="Q96" s="1063"/>
      <c r="R96" s="1061"/>
      <c r="S96" s="1063"/>
      <c r="T96" s="1068"/>
      <c r="U96" s="1063"/>
    </row>
    <row r="97" spans="2:21">
      <c r="B97" s="861" t="str">
        <f>_xlfn.TEXTJOIN(",",TRUE,IF(LEFT(Regions!$C$3,1)&lt;&gt;"*",Regions!$C$3,""),IF(LEFT(Regions!$D$3,1)&lt;&gt;"*",Regions!$D$3,""))</f>
        <v>IE,National</v>
      </c>
      <c r="C97" s="449"/>
      <c r="D97" s="448"/>
      <c r="E97" s="448" t="str">
        <f>COMM!$O$27</f>
        <v>RSDSC_Apt</v>
      </c>
      <c r="F97" s="448"/>
      <c r="G97" s="968"/>
      <c r="H97" s="968"/>
      <c r="I97" s="968"/>
      <c r="J97" s="448"/>
      <c r="K97" s="448"/>
      <c r="L97" s="969"/>
      <c r="N97" s="320"/>
      <c r="P97" s="320"/>
      <c r="Q97" s="339"/>
      <c r="R97" s="1035"/>
      <c r="S97" s="1043"/>
      <c r="T97" s="1067"/>
      <c r="U97" s="339"/>
    </row>
    <row r="98" spans="2:21">
      <c r="B98" s="862" t="str">
        <f>_xlfn.TEXTJOIN(",",TRUE,IF(LEFT(Regions!$C$3,1)&lt;&gt;"*",Regions!$C$3,""),IF(LEFT(Regions!$D$3,1)&lt;&gt;"*",Regions!$D$3,""))</f>
        <v>IE,National</v>
      </c>
      <c r="C98" s="293"/>
      <c r="D98" s="293"/>
      <c r="E98" s="293" t="str">
        <f>COMM!$O$30</f>
        <v>RSDWH_Apt</v>
      </c>
      <c r="F98" s="293"/>
      <c r="G98" s="972"/>
      <c r="H98" s="972"/>
      <c r="I98" s="972"/>
      <c r="J98" s="293"/>
      <c r="K98" s="293"/>
      <c r="L98" s="973">
        <f>P98</f>
        <v>1.0581748102151772E-2</v>
      </c>
      <c r="N98" s="320"/>
      <c r="P98" s="1046">
        <f>AS41*(1+Q103)</f>
        <v>1.0581748102151772E-2</v>
      </c>
      <c r="Q98" s="1043">
        <f>P98*G96</f>
        <v>0.16096079269293093</v>
      </c>
      <c r="R98" s="1035"/>
      <c r="S98" s="1043"/>
      <c r="T98" s="1067"/>
      <c r="U98" s="339"/>
    </row>
    <row r="99" spans="2:21">
      <c r="B99" s="861" t="str">
        <f>_xlfn.TEXTJOIN(",",TRUE,IF(LEFT(Regions!$C$3,1)&lt;&gt;"*",Regions!$C$3,""),IF(LEFT(Regions!$D$3,1)&lt;&gt;"*",Regions!$D$3,""))</f>
        <v>IE,National</v>
      </c>
      <c r="C99" s="449"/>
      <c r="D99" s="448"/>
      <c r="E99" s="448" t="str">
        <f>COMM!$O$33</f>
        <v>RSDLT_Apt</v>
      </c>
      <c r="F99" s="448"/>
      <c r="G99" s="968"/>
      <c r="H99" s="968"/>
      <c r="I99" s="968"/>
      <c r="J99" s="448"/>
      <c r="K99" s="448"/>
      <c r="L99" s="969">
        <f>R99</f>
        <v>1.3347418427838926E-3</v>
      </c>
      <c r="N99" s="320"/>
      <c r="P99" s="1047"/>
      <c r="Q99" s="1048"/>
      <c r="R99" s="1035">
        <f>AT41*(1+S103)</f>
        <v>1.3347418427838926E-3</v>
      </c>
      <c r="S99" s="1043">
        <f>R99*G96</f>
        <v>2.0302988030043101E-2</v>
      </c>
      <c r="T99" s="1067"/>
      <c r="U99" s="339"/>
    </row>
    <row r="100" spans="2:21" ht="13.5" thickBot="1">
      <c r="B100" s="863" t="str">
        <f>_xlfn.TEXTJOIN(",",TRUE,IF(LEFT(Regions!$C$3,1)&lt;&gt;"*",Regions!$C$3,""),IF(LEFT(Regions!$D$3,1)&lt;&gt;"*",Regions!$D$3,""))</f>
        <v>IE,National</v>
      </c>
      <c r="C100" s="864"/>
      <c r="D100" s="864"/>
      <c r="E100" s="864" t="str">
        <f>COMM!$O$36</f>
        <v>RSDPF_Apt</v>
      </c>
      <c r="F100" s="864"/>
      <c r="G100" s="865"/>
      <c r="H100" s="865"/>
      <c r="I100" s="865"/>
      <c r="J100" s="864"/>
      <c r="K100" s="864"/>
      <c r="L100" s="976">
        <f>T100</f>
        <v>1.1904439998177662E-4</v>
      </c>
      <c r="N100" s="331"/>
      <c r="O100" s="1036"/>
      <c r="P100" s="1049"/>
      <c r="Q100" s="1050"/>
      <c r="R100" s="1044"/>
      <c r="S100" s="1045"/>
      <c r="T100" s="1066">
        <f>AU41*(1+U103)</f>
        <v>1.1904439998177662E-4</v>
      </c>
      <c r="U100" s="1045">
        <f>T100*G96</f>
        <v>1.8108048690768455E-3</v>
      </c>
    </row>
    <row r="101" spans="2:21">
      <c r="B101" s="379" t="s">
        <v>254</v>
      </c>
      <c r="C101" s="293"/>
      <c r="D101" s="293"/>
      <c r="E101" s="379"/>
      <c r="F101" s="293"/>
      <c r="G101" s="972"/>
      <c r="H101" s="972"/>
      <c r="I101" s="972"/>
      <c r="J101" s="293"/>
      <c r="K101" s="293"/>
      <c r="L101" s="973"/>
      <c r="N101" s="329" t="s">
        <v>970</v>
      </c>
      <c r="O101" s="319">
        <f>'SHWLP-Apt'!AB27</f>
        <v>2.8697698162996939</v>
      </c>
      <c r="P101" s="323"/>
      <c r="Q101" s="324">
        <f>'SHWLP-Apt'!AB54</f>
        <v>2.4708350674698245</v>
      </c>
      <c r="R101" s="323"/>
      <c r="S101" s="324">
        <f>'SHWLP-Apt'!AC59</f>
        <v>0.34353539472387451</v>
      </c>
      <c r="T101" s="323"/>
      <c r="U101" s="324">
        <f>'SHWLP-Apt'!AC60</f>
        <v>7.078848738741389E-2</v>
      </c>
    </row>
    <row r="102" spans="2:21">
      <c r="B102" s="379" t="s">
        <v>254</v>
      </c>
      <c r="C102" s="293"/>
      <c r="D102" s="293"/>
      <c r="E102" s="379"/>
      <c r="F102" s="293"/>
      <c r="G102" s="972"/>
      <c r="H102" s="972"/>
      <c r="I102" s="972"/>
      <c r="J102" s="293"/>
      <c r="K102" s="293"/>
      <c r="L102" s="973"/>
      <c r="N102" s="1037" t="s">
        <v>962</v>
      </c>
      <c r="O102">
        <v>1.9499006999445294</v>
      </c>
      <c r="P102" s="320"/>
      <c r="Q102" s="339">
        <v>2.0059041635937755</v>
      </c>
      <c r="R102" s="320"/>
      <c r="S102">
        <v>0.38210551394268344</v>
      </c>
      <c r="T102" s="320"/>
      <c r="U102" s="339">
        <v>8.1581253236782142E-2</v>
      </c>
    </row>
    <row r="103" spans="2:21">
      <c r="B103" s="379" t="s">
        <v>254</v>
      </c>
      <c r="C103" s="293"/>
      <c r="D103" s="293"/>
      <c r="E103" s="379"/>
      <c r="F103" s="293"/>
      <c r="G103" s="972"/>
      <c r="H103" s="972"/>
      <c r="I103" s="972"/>
      <c r="J103" s="293"/>
      <c r="K103" s="293"/>
      <c r="L103" s="973"/>
      <c r="N103" s="1038" t="s">
        <v>963</v>
      </c>
      <c r="O103" s="1039">
        <f>((O101-O102)/O102)</f>
        <v>0.47175177504235616</v>
      </c>
      <c r="P103" s="320"/>
      <c r="Q103" s="1039">
        <f>((Q101-Q102)/Q102)</f>
        <v>0.23178121483285588</v>
      </c>
      <c r="R103" s="320"/>
      <c r="S103" s="1039">
        <f>((S101-S102)/S102)</f>
        <v>-0.10094101710501494</v>
      </c>
      <c r="T103" s="320"/>
      <c r="U103" s="1051">
        <f>((U101-U102)/U102)</f>
        <v>-0.13229468071596343</v>
      </c>
    </row>
    <row r="104" spans="2:21">
      <c r="B104" s="379" t="s">
        <v>254</v>
      </c>
      <c r="C104" s="293"/>
      <c r="D104" s="293"/>
      <c r="E104" s="379"/>
      <c r="F104" s="293"/>
      <c r="G104" s="972"/>
      <c r="H104" s="972"/>
      <c r="I104" s="972"/>
      <c r="J104" s="293"/>
      <c r="K104" s="293"/>
      <c r="L104" s="973"/>
      <c r="N104" s="1037" t="s">
        <v>964</v>
      </c>
      <c r="O104" s="1035">
        <f>SUM(O56:O96)</f>
        <v>2.8697698162996943</v>
      </c>
      <c r="P104" s="320"/>
      <c r="Q104" s="1043">
        <f>SUM(Q56:Q100)</f>
        <v>2.4708350674698245</v>
      </c>
      <c r="R104" s="320"/>
      <c r="S104" s="1043">
        <f t="shared" ref="S104" si="24">SUM(S56:S100)</f>
        <v>0.34353539472387451</v>
      </c>
      <c r="T104" s="320"/>
      <c r="U104" s="1043">
        <f>SUM(U56:U100)</f>
        <v>7.0788487387413918E-2</v>
      </c>
    </row>
    <row r="105" spans="2:21" ht="13.5" thickBot="1">
      <c r="B105" s="379" t="s">
        <v>254</v>
      </c>
      <c r="C105" s="293"/>
      <c r="D105" s="293"/>
      <c r="E105" s="379"/>
      <c r="F105" s="293"/>
      <c r="G105" s="972"/>
      <c r="H105" s="972"/>
      <c r="I105" s="972"/>
      <c r="J105" s="293"/>
      <c r="K105" s="293"/>
      <c r="L105" s="973"/>
      <c r="N105" s="1040" t="s">
        <v>965</v>
      </c>
      <c r="O105" s="1041">
        <f>((O101-O104)/O104)</f>
        <v>-1.5474732758276587E-16</v>
      </c>
      <c r="P105" s="331"/>
      <c r="Q105" s="1052">
        <f t="shared" ref="Q105" si="25">((Q101-Q104)/Q104)</f>
        <v>0</v>
      </c>
      <c r="R105" s="331"/>
      <c r="S105" s="1052">
        <f t="shared" ref="S105" si="26">((S101-S104)/S104)</f>
        <v>0</v>
      </c>
      <c r="T105" s="331"/>
      <c r="U105" s="1052">
        <f>((U101-U104)/U104)</f>
        <v>-3.9209166122913667E-16</v>
      </c>
    </row>
    <row r="106" spans="2:21">
      <c r="B106" s="856" t="str">
        <f>_xlfn.TEXTJOIN(",",TRUE,IF(LEFT(Regions!$C$3,1)&lt;&gt;"*",Regions!$C$3,""),IF(LEFT(Regions!$D$3,1)&lt;&gt;"*",Regions!$D$3,""))</f>
        <v>IE,National</v>
      </c>
      <c r="C106" s="857" t="str">
        <f>Y24</f>
        <v>R-BLD_Det_A</v>
      </c>
      <c r="D106" s="858" t="str">
        <f>Z24</f>
        <v>Residential Building Detached _ A</v>
      </c>
      <c r="E106" s="857" t="str">
        <f>COMM!$O$11</f>
        <v>RSDSH_Det-AB</v>
      </c>
      <c r="F106" s="858" t="str">
        <f>COMM!$O$8</f>
        <v>RSD_Det</v>
      </c>
      <c r="G106" s="860">
        <f>AI8/1000</f>
        <v>31.355706337556118</v>
      </c>
      <c r="H106" s="860">
        <f>G106*$AH$26</f>
        <v>26.128710091085516</v>
      </c>
      <c r="I106" s="860">
        <v>1</v>
      </c>
      <c r="J106" s="858">
        <v>100</v>
      </c>
      <c r="K106" s="858">
        <v>1</v>
      </c>
      <c r="L106" s="966">
        <f>ABS(AR62)*0.853224702081462*0.63908</f>
        <v>2.4058665241777602E-3</v>
      </c>
      <c r="N106" s="1060">
        <f>ABS(AR62*DwellingStocks!Q18*(1+O153))</f>
        <v>7.4850772087983594E-3</v>
      </c>
      <c r="O106" s="1061">
        <f>N106*G106</f>
        <v>0.23469988287301558</v>
      </c>
      <c r="P106" s="1062"/>
      <c r="Q106" s="1063"/>
      <c r="R106" s="1062"/>
      <c r="S106" s="1063"/>
      <c r="T106" s="1061"/>
      <c r="U106" s="1063"/>
    </row>
    <row r="107" spans="2:21">
      <c r="B107" s="861" t="str">
        <f>_xlfn.TEXTJOIN(",",TRUE,IF(LEFT(Regions!$C$3,1)&lt;&gt;"*",Regions!$C$3,""),IF(LEFT(Regions!$D$3,1)&lt;&gt;"*",Regions!$D$3,""))</f>
        <v>IE,National</v>
      </c>
      <c r="C107" s="449"/>
      <c r="D107" s="448"/>
      <c r="E107" s="448" t="str">
        <f>COMM!$O$29</f>
        <v>RSDSC_Det</v>
      </c>
      <c r="F107" s="448"/>
      <c r="G107" s="968"/>
      <c r="H107" s="968"/>
      <c r="I107" s="968"/>
      <c r="J107" s="448"/>
      <c r="K107" s="448"/>
      <c r="L107" s="969"/>
      <c r="N107" s="1042"/>
      <c r="O107" s="1035"/>
      <c r="P107" s="1046"/>
      <c r="Q107" s="1043"/>
      <c r="R107" s="1046"/>
      <c r="S107" s="1043"/>
      <c r="T107" s="1035"/>
      <c r="U107" s="1043"/>
    </row>
    <row r="108" spans="2:21">
      <c r="B108" s="862" t="str">
        <f>_xlfn.TEXTJOIN(",",TRUE,IF(LEFT(Regions!$C$3,1)&lt;&gt;"*",Regions!$C$3,""),IF(LEFT(Regions!$D$3,1)&lt;&gt;"*",Regions!$D$3,""))</f>
        <v>IE,National</v>
      </c>
      <c r="C108" s="293"/>
      <c r="D108" s="293"/>
      <c r="E108" s="293" t="str">
        <f>COMM!$O$32</f>
        <v>RSDWH_Det</v>
      </c>
      <c r="F108" s="293"/>
      <c r="G108" s="972"/>
      <c r="H108" s="972"/>
      <c r="I108" s="972"/>
      <c r="J108" s="293"/>
      <c r="K108" s="293"/>
      <c r="L108" s="973">
        <f>AS62*0.742731884673138*0.63908</f>
        <v>4.2605415152040874E-3</v>
      </c>
      <c r="N108" s="1042"/>
      <c r="O108" s="1035"/>
      <c r="P108" s="1046">
        <f>AS62*(1+Q153)</f>
        <v>6.6130229403155291E-3</v>
      </c>
      <c r="Q108" s="1043">
        <f>P108*G106</f>
        <v>0.20735600532005563</v>
      </c>
      <c r="R108" s="1046"/>
      <c r="S108" s="1043"/>
      <c r="T108" s="1035"/>
      <c r="U108" s="1043"/>
    </row>
    <row r="109" spans="2:21">
      <c r="B109" s="861" t="str">
        <f>_xlfn.TEXTJOIN(",",TRUE,IF(LEFT(Regions!$C$3,1)&lt;&gt;"*",Regions!$C$3,""),IF(LEFT(Regions!$D$3,1)&lt;&gt;"*",Regions!$D$3,""))</f>
        <v>IE,National</v>
      </c>
      <c r="C109" s="449"/>
      <c r="D109" s="448"/>
      <c r="E109" s="448" t="str">
        <f>COMM!$O$35</f>
        <v>RSDLT_Det</v>
      </c>
      <c r="F109" s="448"/>
      <c r="G109" s="968"/>
      <c r="H109" s="968"/>
      <c r="I109" s="968"/>
      <c r="J109" s="448"/>
      <c r="K109" s="448"/>
      <c r="L109" s="969">
        <f>AT62*0.375703674683678*0.63908</f>
        <v>8.4666683429302956E-4</v>
      </c>
      <c r="N109" s="1042"/>
      <c r="O109" s="1035"/>
      <c r="P109" s="1046"/>
      <c r="Q109" s="1043"/>
      <c r="R109" s="1046">
        <f>AT62*(1+S153)</f>
        <v>1.3286819680963049E-3</v>
      </c>
      <c r="S109" s="1043">
        <f>R109*G106</f>
        <v>4.1661761607633845E-2</v>
      </c>
      <c r="T109" s="1035"/>
      <c r="U109" s="1043"/>
    </row>
    <row r="110" spans="2:21" ht="13.5" thickBot="1">
      <c r="B110" s="863" t="str">
        <f>_xlfn.TEXTJOIN(",",TRUE,IF(LEFT(Regions!$C$3,1)&lt;&gt;"*",Regions!$C$3,""),IF(LEFT(Regions!$D$3,1)&lt;&gt;"*",Regions!$D$3,""))</f>
        <v>IE,National</v>
      </c>
      <c r="C110" s="864"/>
      <c r="D110" s="864"/>
      <c r="E110" s="864" t="str">
        <f>COMM!$O$38</f>
        <v>RSDPF_Det</v>
      </c>
      <c r="F110" s="864"/>
      <c r="G110" s="865"/>
      <c r="H110" s="865"/>
      <c r="I110" s="865"/>
      <c r="J110" s="864"/>
      <c r="K110" s="864"/>
      <c r="L110" s="976">
        <f>AU62*0.568571740836304*0.63908</f>
        <v>6.686799636959782E-4</v>
      </c>
      <c r="N110" s="1064"/>
      <c r="O110" s="1044"/>
      <c r="P110" s="1065"/>
      <c r="Q110" s="1045"/>
      <c r="R110" s="1065"/>
      <c r="S110" s="1045"/>
      <c r="T110" s="1066">
        <f>AU62*(1+U153)</f>
        <v>9.5319378001130367E-4</v>
      </c>
      <c r="U110" s="1045">
        <f>T110*G106</f>
        <v>2.9888064248819506E-2</v>
      </c>
    </row>
    <row r="111" spans="2:21">
      <c r="B111" s="856" t="str">
        <f>_xlfn.TEXTJOIN(",",TRUE,IF(LEFT(Regions!$C$3,1)&lt;&gt;"*",Regions!$C$3,""),IF(LEFT(Regions!$D$3,1)&lt;&gt;"*",Regions!$D$3,""))</f>
        <v>IE,National</v>
      </c>
      <c r="C111" s="857" t="str">
        <f>Y25</f>
        <v>R-BLD_Det_B1</v>
      </c>
      <c r="D111" s="858" t="str">
        <f>Z25</f>
        <v>Residential Building Detached _ B1</v>
      </c>
      <c r="E111" s="857" t="str">
        <f>COMM!$O$11</f>
        <v>RSDSH_Det-AB</v>
      </c>
      <c r="F111" s="858" t="str">
        <f>COMM!$O$8</f>
        <v>RSD_Det</v>
      </c>
      <c r="G111" s="860">
        <f>AI9/1000</f>
        <v>9.4339012004747342</v>
      </c>
      <c r="H111" s="860">
        <f>G111*$AH$26</f>
        <v>7.8612698703555965</v>
      </c>
      <c r="I111" s="860">
        <v>1</v>
      </c>
      <c r="J111" s="858">
        <v>100</v>
      </c>
      <c r="K111" s="858">
        <v>1</v>
      </c>
      <c r="L111" s="966">
        <f>ABS(AR63)*0.853224702081462</f>
        <v>2.071703416196638E-2</v>
      </c>
      <c r="N111" s="1060">
        <f>ABS(AR63*DwellingStocks!Q19*(1+O153))</f>
        <v>3.0559997490309392E-2</v>
      </c>
      <c r="O111" s="1061">
        <f>N111*G111</f>
        <v>0.28829999701033465</v>
      </c>
      <c r="P111" s="1062"/>
      <c r="Q111" s="1063"/>
      <c r="R111" s="1062"/>
      <c r="S111" s="1063"/>
      <c r="T111" s="1061"/>
      <c r="U111" s="1063"/>
    </row>
    <row r="112" spans="2:21">
      <c r="B112" s="861" t="str">
        <f>_xlfn.TEXTJOIN(",",TRUE,IF(LEFT(Regions!$C$3,1)&lt;&gt;"*",Regions!$C$3,""),IF(LEFT(Regions!$D$3,1)&lt;&gt;"*",Regions!$D$3,""))</f>
        <v>IE,National</v>
      </c>
      <c r="C112" s="449"/>
      <c r="D112" s="448"/>
      <c r="E112" s="448" t="str">
        <f>COMM!$O$29</f>
        <v>RSDSC_Det</v>
      </c>
      <c r="F112" s="448"/>
      <c r="G112" s="968"/>
      <c r="H112" s="968"/>
      <c r="I112" s="968"/>
      <c r="J112" s="448"/>
      <c r="K112" s="448"/>
      <c r="L112" s="969"/>
      <c r="N112" s="1042"/>
      <c r="O112" s="1035"/>
      <c r="P112" s="1046"/>
      <c r="Q112" s="1043"/>
      <c r="R112" s="1046"/>
      <c r="S112" s="1043"/>
      <c r="T112" s="1035"/>
      <c r="U112" s="1043"/>
    </row>
    <row r="113" spans="2:21">
      <c r="B113" s="862" t="str">
        <f>_xlfn.TEXTJOIN(",",TRUE,IF(LEFT(Regions!$C$3,1)&lt;&gt;"*",Regions!$C$3,""),IF(LEFT(Regions!$D$3,1)&lt;&gt;"*",Regions!$D$3,""))</f>
        <v>IE,National</v>
      </c>
      <c r="C113" s="293"/>
      <c r="D113" s="293"/>
      <c r="E113" s="293" t="str">
        <f>COMM!$O$32</f>
        <v>RSDWH_Det</v>
      </c>
      <c r="F113" s="293"/>
      <c r="G113" s="972"/>
      <c r="H113" s="972"/>
      <c r="I113" s="972"/>
      <c r="J113" s="293"/>
      <c r="K113" s="293"/>
      <c r="L113" s="973">
        <f>AS63*0.742731884673138</f>
        <v>8.8922350864476061E-3</v>
      </c>
      <c r="N113" s="1042"/>
      <c r="O113" s="1035"/>
      <c r="P113" s="1046">
        <f>AS63*(1+Q153)</f>
        <v>8.8206662535149846E-3</v>
      </c>
      <c r="Q113" s="1043">
        <f t="shared" ref="Q113" si="27">P113*G111</f>
        <v>8.3213293958021989E-2</v>
      </c>
      <c r="R113" s="1046"/>
      <c r="S113" s="1043"/>
      <c r="T113" s="1035"/>
      <c r="U113" s="1043"/>
    </row>
    <row r="114" spans="2:21">
      <c r="B114" s="861" t="str">
        <f>_xlfn.TEXTJOIN(",",TRUE,IF(LEFT(Regions!$C$3,1)&lt;&gt;"*",Regions!$C$3,""),IF(LEFT(Regions!$D$3,1)&lt;&gt;"*",Regions!$D$3,""))</f>
        <v>IE,National</v>
      </c>
      <c r="C114" s="449"/>
      <c r="D114" s="448"/>
      <c r="E114" s="448" t="str">
        <f>COMM!$O$35</f>
        <v>RSDLT_Det</v>
      </c>
      <c r="F114" s="448"/>
      <c r="G114" s="968"/>
      <c r="H114" s="968"/>
      <c r="I114" s="968"/>
      <c r="J114" s="448"/>
      <c r="K114" s="448"/>
      <c r="L114" s="969">
        <f>AT63*0.375703674683678</f>
        <v>1.7683153930356794E-3</v>
      </c>
      <c r="N114" s="1042"/>
      <c r="O114" s="1035"/>
      <c r="P114" s="1046"/>
      <c r="Q114" s="1043"/>
      <c r="R114" s="1046">
        <f>AT63*(1+S153)</f>
        <v>1.7734683700287078E-3</v>
      </c>
      <c r="S114" s="1043">
        <f t="shared" ref="S114" si="28">R114*G111</f>
        <v>1.6730725385017797E-2</v>
      </c>
      <c r="T114" s="1035"/>
      <c r="U114" s="1043"/>
    </row>
    <row r="115" spans="2:21" ht="13.5" thickBot="1">
      <c r="B115" s="863" t="str">
        <f>_xlfn.TEXTJOIN(",",TRUE,IF(LEFT(Regions!$C$3,1)&lt;&gt;"*",Regions!$C$3,""),IF(LEFT(Regions!$D$3,1)&lt;&gt;"*",Regions!$D$3,""))</f>
        <v>IE,National</v>
      </c>
      <c r="C115" s="864"/>
      <c r="D115" s="864"/>
      <c r="E115" s="864" t="str">
        <f>COMM!$O$38</f>
        <v>RSDPF_Det</v>
      </c>
      <c r="F115" s="864"/>
      <c r="G115" s="865"/>
      <c r="H115" s="865"/>
      <c r="I115" s="865"/>
      <c r="J115" s="864"/>
      <c r="K115" s="864"/>
      <c r="L115" s="976">
        <f>AU63*0.568571740836304</f>
        <v>7.5053716369545911E-4</v>
      </c>
      <c r="N115" s="1064"/>
      <c r="O115" s="1044"/>
      <c r="P115" s="1065"/>
      <c r="Q115" s="1045"/>
      <c r="R115" s="1065"/>
      <c r="S115" s="1045"/>
      <c r="T115" s="1066">
        <f>AU63*(1+U153)</f>
        <v>6.8373894532517158E-4</v>
      </c>
      <c r="U115" s="1045">
        <f t="shared" ref="U115" si="29">T115*G111</f>
        <v>6.4503256571144651E-3</v>
      </c>
    </row>
    <row r="116" spans="2:21">
      <c r="B116" s="856" t="str">
        <f>_xlfn.TEXTJOIN(",",TRUE,IF(LEFT(Regions!$C$3,1)&lt;&gt;"*",Regions!$C$3,""),IF(LEFT(Regions!$D$3,1)&lt;&gt;"*",Regions!$D$3,""))</f>
        <v>IE,National</v>
      </c>
      <c r="C116" s="857" t="str">
        <f>Y26</f>
        <v>R-BLD_Det_B2</v>
      </c>
      <c r="D116" s="858" t="str">
        <f>Z26</f>
        <v>Residential Building Detached _ B2</v>
      </c>
      <c r="E116" s="857" t="str">
        <f>COMM!$O$11</f>
        <v>RSDSH_Det-AB</v>
      </c>
      <c r="F116" s="858" t="str">
        <f>COMM!$O$8</f>
        <v>RSD_Det</v>
      </c>
      <c r="G116" s="860">
        <f>AI10/1000</f>
        <v>20.090949195825139</v>
      </c>
      <c r="H116" s="860">
        <f>G116*$AH$26</f>
        <v>16.741787964881091</v>
      </c>
      <c r="I116" s="860">
        <v>1</v>
      </c>
      <c r="J116" s="858">
        <v>100</v>
      </c>
      <c r="K116" s="858">
        <v>1</v>
      </c>
      <c r="L116" s="966">
        <f>ABS(AR64)*0.853224702081462</f>
        <v>3.3083652738783227E-2</v>
      </c>
      <c r="N116" s="1060">
        <f>ABS(AR64*DwellingStocks!Q20*(1+O153))</f>
        <v>4.8802175869536682E-2</v>
      </c>
      <c r="O116" s="1061">
        <f>N116*G116</f>
        <v>0.98048203604058504</v>
      </c>
      <c r="P116" s="1062"/>
      <c r="Q116" s="1063"/>
      <c r="R116" s="1062"/>
      <c r="S116" s="1063"/>
      <c r="T116" s="1061"/>
      <c r="U116" s="1063"/>
    </row>
    <row r="117" spans="2:21">
      <c r="B117" s="861" t="str">
        <f>_xlfn.TEXTJOIN(",",TRUE,IF(LEFT(Regions!$C$3,1)&lt;&gt;"*",Regions!$C$3,""),IF(LEFT(Regions!$D$3,1)&lt;&gt;"*",Regions!$D$3,""))</f>
        <v>IE,National</v>
      </c>
      <c r="C117" s="449"/>
      <c r="D117" s="448"/>
      <c r="E117" s="448" t="str">
        <f>COMM!$O$29</f>
        <v>RSDSC_Det</v>
      </c>
      <c r="F117" s="448"/>
      <c r="G117" s="968"/>
      <c r="H117" s="968"/>
      <c r="I117" s="968"/>
      <c r="J117" s="448"/>
      <c r="K117" s="448"/>
      <c r="L117" s="969"/>
      <c r="N117" s="1042"/>
      <c r="O117" s="1035"/>
      <c r="P117" s="1046"/>
      <c r="Q117" s="1043"/>
      <c r="R117" s="1046"/>
      <c r="S117" s="1043"/>
      <c r="T117" s="1035"/>
      <c r="U117" s="1043"/>
    </row>
    <row r="118" spans="2:21">
      <c r="B118" s="862" t="str">
        <f>_xlfn.TEXTJOIN(",",TRUE,IF(LEFT(Regions!$C$3,1)&lt;&gt;"*",Regions!$C$3,""),IF(LEFT(Regions!$D$3,1)&lt;&gt;"*",Regions!$D$3,""))</f>
        <v>IE,National</v>
      </c>
      <c r="C118" s="293"/>
      <c r="D118" s="293"/>
      <c r="E118" s="293" t="str">
        <f>COMM!$O$32</f>
        <v>RSDWH_Det</v>
      </c>
      <c r="F118" s="293"/>
      <c r="G118" s="972"/>
      <c r="H118" s="972"/>
      <c r="I118" s="972"/>
      <c r="J118" s="293"/>
      <c r="K118" s="293"/>
      <c r="L118" s="973">
        <f>AS64*0.742731884673138</f>
        <v>1.1723646251772786E-2</v>
      </c>
      <c r="N118" s="1042"/>
      <c r="O118" s="1035"/>
      <c r="P118" s="1046">
        <f>AS64*(1+Q153)</f>
        <v>1.1629288908338057E-2</v>
      </c>
      <c r="Q118" s="1043">
        <f t="shared" ref="Q118" si="30">P118*G116</f>
        <v>0.2336434526409927</v>
      </c>
      <c r="R118" s="1046"/>
      <c r="S118" s="1043"/>
      <c r="T118" s="1035"/>
      <c r="U118" s="1043"/>
    </row>
    <row r="119" spans="2:21">
      <c r="B119" s="861" t="str">
        <f>_xlfn.TEXTJOIN(",",TRUE,IF(LEFT(Regions!$C$3,1)&lt;&gt;"*",Regions!$C$3,""),IF(LEFT(Regions!$D$3,1)&lt;&gt;"*",Regions!$D$3,""))</f>
        <v>IE,National</v>
      </c>
      <c r="C119" s="449"/>
      <c r="D119" s="448"/>
      <c r="E119" s="448" t="str">
        <f>COMM!$O$35</f>
        <v>RSDLT_Det</v>
      </c>
      <c r="F119" s="448"/>
      <c r="G119" s="968"/>
      <c r="H119" s="968"/>
      <c r="I119" s="968"/>
      <c r="J119" s="448"/>
      <c r="K119" s="448"/>
      <c r="L119" s="969">
        <f>AT64*0.375703674683678</f>
        <v>2.004768212400896E-3</v>
      </c>
      <c r="N119" s="1042"/>
      <c r="O119" s="1035"/>
      <c r="P119" s="1046"/>
      <c r="Q119" s="1043"/>
      <c r="R119" s="1046">
        <f>AT64*(1+S153)</f>
        <v>2.0106102270751685E-3</v>
      </c>
      <c r="S119" s="1043">
        <f t="shared" ref="S119" si="31">R119*G116</f>
        <v>4.039506792477366E-2</v>
      </c>
      <c r="T119" s="1035"/>
      <c r="U119" s="1043"/>
    </row>
    <row r="120" spans="2:21" ht="13.5" thickBot="1">
      <c r="B120" s="863" t="str">
        <f>_xlfn.TEXTJOIN(",",TRUE,IF(LEFT(Regions!$C$3,1)&lt;&gt;"*",Regions!$C$3,""),IF(LEFT(Regions!$D$3,1)&lt;&gt;"*",Regions!$D$3,""))</f>
        <v>IE,National</v>
      </c>
      <c r="C120" s="864"/>
      <c r="D120" s="864"/>
      <c r="E120" s="864" t="str">
        <f>COMM!$O$38</f>
        <v>RSDPF_Det</v>
      </c>
      <c r="F120" s="864"/>
      <c r="G120" s="865"/>
      <c r="H120" s="865"/>
      <c r="I120" s="865"/>
      <c r="J120" s="864"/>
      <c r="K120" s="864"/>
      <c r="L120" s="976">
        <f>AU64*0.568571740836304</f>
        <v>5.911548427780883E-4</v>
      </c>
      <c r="N120" s="1064"/>
      <c r="O120" s="1044"/>
      <c r="P120" s="1065"/>
      <c r="Q120" s="1045"/>
      <c r="R120" s="1065"/>
      <c r="S120" s="1045"/>
      <c r="T120" s="1066">
        <f>AU64*(1+U153)</f>
        <v>5.3854173820627185E-4</v>
      </c>
      <c r="U120" s="1045">
        <f t="shared" ref="U120" si="32">T120*G116</f>
        <v>1.0819814702133571E-2</v>
      </c>
    </row>
    <row r="121" spans="2:21">
      <c r="B121" s="856" t="str">
        <f>_xlfn.TEXTJOIN(",",TRUE,IF(LEFT(Regions!$C$3,1)&lt;&gt;"*",Regions!$C$3,""),IF(LEFT(Regions!$D$3,1)&lt;&gt;"*",Regions!$D$3,""))</f>
        <v>IE,National</v>
      </c>
      <c r="C121" s="857" t="str">
        <f>Y27</f>
        <v>R-BLD_Det_B3</v>
      </c>
      <c r="D121" s="858" t="str">
        <f>Z27</f>
        <v>Residential Building Detached _ B3</v>
      </c>
      <c r="E121" s="857" t="str">
        <f>COMM!$O$11</f>
        <v>RSDSH_Det-AB</v>
      </c>
      <c r="F121" s="858" t="str">
        <f>COMM!$O$8</f>
        <v>RSD_Det</v>
      </c>
      <c r="G121" s="860">
        <f>AI11/1000</f>
        <v>53.466210043981668</v>
      </c>
      <c r="H121" s="860">
        <f>G121*$AH$26</f>
        <v>44.55339282964993</v>
      </c>
      <c r="I121" s="860">
        <v>1</v>
      </c>
      <c r="J121" s="858">
        <v>100</v>
      </c>
      <c r="K121" s="858">
        <v>1</v>
      </c>
      <c r="L121" s="966">
        <f>ABS(AR65)*0.853224702081462</f>
        <v>3.8234291164306322E-2</v>
      </c>
      <c r="N121" s="1060">
        <f>ABS(AR65*DwellingStocks!Q21*(1+O153))</f>
        <v>5.6399957295530954E-2</v>
      </c>
      <c r="O121" s="1061">
        <f>N121*G121</f>
        <v>3.0154919632344543</v>
      </c>
      <c r="P121" s="1062"/>
      <c r="Q121" s="1063"/>
      <c r="R121" s="1062"/>
      <c r="S121" s="1063"/>
      <c r="T121" s="1061"/>
      <c r="U121" s="1063"/>
    </row>
    <row r="122" spans="2:21">
      <c r="B122" s="861" t="str">
        <f>_xlfn.TEXTJOIN(",",TRUE,IF(LEFT(Regions!$C$3,1)&lt;&gt;"*",Regions!$C$3,""),IF(LEFT(Regions!$D$3,1)&lt;&gt;"*",Regions!$D$3,""))</f>
        <v>IE,National</v>
      </c>
      <c r="C122" s="449"/>
      <c r="D122" s="448"/>
      <c r="E122" s="448" t="str">
        <f>COMM!$O$29</f>
        <v>RSDSC_Det</v>
      </c>
      <c r="F122" s="448"/>
      <c r="G122" s="968"/>
      <c r="H122" s="968"/>
      <c r="I122" s="968"/>
      <c r="J122" s="448"/>
      <c r="K122" s="448"/>
      <c r="L122" s="969"/>
      <c r="N122" s="1042"/>
      <c r="O122" s="1035"/>
      <c r="P122" s="1046"/>
      <c r="Q122" s="1043"/>
      <c r="R122" s="1046"/>
      <c r="S122" s="1043"/>
      <c r="T122" s="1035"/>
      <c r="U122" s="1043"/>
    </row>
    <row r="123" spans="2:21">
      <c r="B123" s="862" t="str">
        <f>_xlfn.TEXTJOIN(",",TRUE,IF(LEFT(Regions!$C$3,1)&lt;&gt;"*",Regions!$C$3,""),IF(LEFT(Regions!$D$3,1)&lt;&gt;"*",Regions!$D$3,""))</f>
        <v>IE,National</v>
      </c>
      <c r="C123" s="293"/>
      <c r="D123" s="293"/>
      <c r="E123" s="293" t="str">
        <f>COMM!$O$32</f>
        <v>RSDWH_Det</v>
      </c>
      <c r="F123" s="293"/>
      <c r="G123" s="972"/>
      <c r="H123" s="972"/>
      <c r="I123" s="972"/>
      <c r="J123" s="293"/>
      <c r="K123" s="293"/>
      <c r="L123" s="973">
        <f>AS65*0.742731884673138</f>
        <v>1.3255956176612656E-2</v>
      </c>
      <c r="N123" s="1042"/>
      <c r="O123" s="1035"/>
      <c r="P123" s="1046">
        <f>AS65*(1+Q153)</f>
        <v>1.3149266092090257E-2</v>
      </c>
      <c r="Q123" s="1043">
        <f t="shared" ref="Q123" si="33">P123*G121</f>
        <v>0.70304142280390369</v>
      </c>
      <c r="R123" s="1046"/>
      <c r="S123" s="1043"/>
      <c r="T123" s="1035"/>
      <c r="U123" s="1043"/>
    </row>
    <row r="124" spans="2:21">
      <c r="B124" s="861" t="str">
        <f>_xlfn.TEXTJOIN(",",TRUE,IF(LEFT(Regions!$C$3,1)&lt;&gt;"*",Regions!$C$3,""),IF(LEFT(Regions!$D$3,1)&lt;&gt;"*",Regions!$D$3,""))</f>
        <v>IE,National</v>
      </c>
      <c r="C124" s="449"/>
      <c r="D124" s="448"/>
      <c r="E124" s="448" t="str">
        <f>COMM!$O$35</f>
        <v>RSDLT_Det</v>
      </c>
      <c r="F124" s="448"/>
      <c r="G124" s="968"/>
      <c r="H124" s="968"/>
      <c r="I124" s="968"/>
      <c r="J124" s="448"/>
      <c r="K124" s="448"/>
      <c r="L124" s="969">
        <f>AT65*0.375703674683678</f>
        <v>1.9617916456053579E-3</v>
      </c>
      <c r="N124" s="1042"/>
      <c r="O124" s="1035"/>
      <c r="P124" s="1046"/>
      <c r="Q124" s="1043"/>
      <c r="R124" s="1046">
        <f>AT65*(1+S153)</f>
        <v>1.9675084239893117E-3</v>
      </c>
      <c r="S124" s="1043">
        <f t="shared" ref="S124" si="34">R124*G121</f>
        <v>0.10519521866031588</v>
      </c>
      <c r="T124" s="1035"/>
      <c r="U124" s="1043"/>
    </row>
    <row r="125" spans="2:21" ht="13.5" thickBot="1">
      <c r="B125" s="863" t="str">
        <f>_xlfn.TEXTJOIN(",",TRUE,IF(LEFT(Regions!$C$3,1)&lt;&gt;"*",Regions!$C$3,""),IF(LEFT(Regions!$D$3,1)&lt;&gt;"*",Regions!$D$3,""))</f>
        <v>IE,National</v>
      </c>
      <c r="C125" s="864"/>
      <c r="D125" s="864"/>
      <c r="E125" s="864" t="str">
        <f>COMM!$O$38</f>
        <v>RSDPF_Det</v>
      </c>
      <c r="F125" s="864"/>
      <c r="G125" s="865"/>
      <c r="H125" s="865"/>
      <c r="I125" s="865"/>
      <c r="J125" s="864"/>
      <c r="K125" s="864"/>
      <c r="L125" s="976">
        <f>AU65*0.568571740836304</f>
        <v>5.1352659953481268E-4</v>
      </c>
      <c r="N125" s="1064"/>
      <c r="O125" s="1044"/>
      <c r="P125" s="1065"/>
      <c r="Q125" s="1045"/>
      <c r="R125" s="1065"/>
      <c r="S125" s="1045"/>
      <c r="T125" s="1066">
        <f>AU64*(1+U153)</f>
        <v>5.3854173820627185E-4</v>
      </c>
      <c r="U125" s="1045">
        <f t="shared" ref="U125" si="35">T125*G121</f>
        <v>2.8793785692387518E-2</v>
      </c>
    </row>
    <row r="126" spans="2:21">
      <c r="B126" s="856" t="str">
        <f>_xlfn.TEXTJOIN(",",TRUE,IF(LEFT(Regions!$C$3,1)&lt;&gt;"*",Regions!$C$3,""),IF(LEFT(Regions!$D$3,1)&lt;&gt;"*",Regions!$D$3,""))</f>
        <v>IE,National</v>
      </c>
      <c r="C126" s="857" t="str">
        <f>Y28</f>
        <v>R-BLD_Det_C</v>
      </c>
      <c r="D126" s="858" t="str">
        <f>Z28</f>
        <v>Residential Building Detached _ C</v>
      </c>
      <c r="E126" s="857" t="str">
        <f>COMM!$O$14</f>
        <v>RSDSH_Det-C</v>
      </c>
      <c r="F126" s="858" t="str">
        <f>COMM!$O$8</f>
        <v>RSD_Det</v>
      </c>
      <c r="G126" s="860">
        <f>AI12/1000</f>
        <v>251.3189336137435</v>
      </c>
      <c r="H126" s="860">
        <f>G126*$AH$26</f>
        <v>209.42406738033247</v>
      </c>
      <c r="I126" s="860">
        <v>1</v>
      </c>
      <c r="J126" s="858">
        <v>100</v>
      </c>
      <c r="K126" s="858">
        <v>1</v>
      </c>
      <c r="L126" s="966">
        <f>ABS(AR66)*0.853224702081462</f>
        <v>4.3300799885821681E-2</v>
      </c>
      <c r="N126" s="1060">
        <f>ABS(AR66*DwellingStocks!Q22*(1+O153))</f>
        <v>4.1588486512146292E-2</v>
      </c>
      <c r="O126" s="1061">
        <f>N126*G126</f>
        <v>10.451974080842161</v>
      </c>
      <c r="P126" s="1062"/>
      <c r="Q126" s="1063"/>
      <c r="R126" s="1062"/>
      <c r="S126" s="1063"/>
      <c r="T126" s="1061"/>
      <c r="U126" s="1063"/>
    </row>
    <row r="127" spans="2:21">
      <c r="B127" s="861" t="str">
        <f>_xlfn.TEXTJOIN(",",TRUE,IF(LEFT(Regions!$C$3,1)&lt;&gt;"*",Regions!$C$3,""),IF(LEFT(Regions!$D$3,1)&lt;&gt;"*",Regions!$D$3,""))</f>
        <v>IE,National</v>
      </c>
      <c r="C127" s="449"/>
      <c r="D127" s="448"/>
      <c r="E127" s="448" t="str">
        <f>COMM!$O$29</f>
        <v>RSDSC_Det</v>
      </c>
      <c r="F127" s="448"/>
      <c r="G127" s="968"/>
      <c r="H127" s="968"/>
      <c r="I127" s="968"/>
      <c r="J127" s="448"/>
      <c r="K127" s="448"/>
      <c r="L127" s="969"/>
      <c r="N127" s="1042"/>
      <c r="O127" s="1035"/>
      <c r="P127" s="1046"/>
      <c r="Q127" s="1043"/>
      <c r="R127" s="1046"/>
      <c r="S127" s="1043"/>
      <c r="T127" s="1035"/>
      <c r="U127" s="1043"/>
    </row>
    <row r="128" spans="2:21">
      <c r="B128" s="862" t="str">
        <f>_xlfn.TEXTJOIN(",",TRUE,IF(LEFT(Regions!$C$3,1)&lt;&gt;"*",Regions!$C$3,""),IF(LEFT(Regions!$D$3,1)&lt;&gt;"*",Regions!$D$3,""))</f>
        <v>IE,National</v>
      </c>
      <c r="C128" s="293"/>
      <c r="D128" s="293"/>
      <c r="E128" s="293" t="str">
        <f>COMM!$O$32</f>
        <v>RSDWH_Det</v>
      </c>
      <c r="F128" s="293"/>
      <c r="G128" s="972"/>
      <c r="H128" s="972"/>
      <c r="I128" s="972"/>
      <c r="J128" s="293"/>
      <c r="K128" s="293"/>
      <c r="L128" s="973">
        <f>AS66*0.742731884673138</f>
        <v>1.4139525083172063E-2</v>
      </c>
      <c r="N128" s="1042"/>
      <c r="O128" s="1035"/>
      <c r="P128" s="1046">
        <f>AS66*(1+Q153)</f>
        <v>1.4025723626217058E-2</v>
      </c>
      <c r="Q128" s="1043">
        <f t="shared" ref="Q128" si="36">P128*G126</f>
        <v>3.5249299049019585</v>
      </c>
      <c r="R128" s="1046"/>
      <c r="S128" s="1043"/>
      <c r="T128" s="1035"/>
      <c r="U128" s="1043"/>
    </row>
    <row r="129" spans="2:21">
      <c r="B129" s="861" t="str">
        <f>_xlfn.TEXTJOIN(",",TRUE,IF(LEFT(Regions!$C$3,1)&lt;&gt;"*",Regions!$C$3,""),IF(LEFT(Regions!$D$3,1)&lt;&gt;"*",Regions!$D$3,""))</f>
        <v>IE,National</v>
      </c>
      <c r="C129" s="449"/>
      <c r="D129" s="448"/>
      <c r="E129" s="448" t="str">
        <f>COMM!$O$35</f>
        <v>RSDLT_Det</v>
      </c>
      <c r="F129" s="448"/>
      <c r="G129" s="968"/>
      <c r="H129" s="968"/>
      <c r="I129" s="968"/>
      <c r="J129" s="448"/>
      <c r="K129" s="448"/>
      <c r="L129" s="969">
        <f>AT66*0.375703674683678</f>
        <v>1.7035279711745406E-3</v>
      </c>
      <c r="N129" s="1042"/>
      <c r="O129" s="1035"/>
      <c r="P129" s="1046"/>
      <c r="Q129" s="1043"/>
      <c r="R129" s="1046">
        <f>AT66*(1+S153)</f>
        <v>1.7084921537389264E-3</v>
      </c>
      <c r="S129" s="1043">
        <f t="shared" ref="S129" si="37">R129*G126</f>
        <v>0.4293764261651149</v>
      </c>
      <c r="T129" s="1035"/>
      <c r="U129" s="1043"/>
    </row>
    <row r="130" spans="2:21" ht="13.5" thickBot="1">
      <c r="B130" s="863" t="str">
        <f>_xlfn.TEXTJOIN(",",TRUE,IF(LEFT(Regions!$C$3,1)&lt;&gt;"*",Regions!$C$3,""),IF(LEFT(Regions!$D$3,1)&lt;&gt;"*",Regions!$D$3,""))</f>
        <v>IE,National</v>
      </c>
      <c r="C130" s="864"/>
      <c r="D130" s="864"/>
      <c r="E130" s="864" t="str">
        <f>COMM!$O$38</f>
        <v>RSDPF_Det</v>
      </c>
      <c r="F130" s="864"/>
      <c r="G130" s="865"/>
      <c r="H130" s="865"/>
      <c r="I130" s="865"/>
      <c r="J130" s="864"/>
      <c r="K130" s="864"/>
      <c r="L130" s="976">
        <f>AU66*0.568571740836304</f>
        <v>4.7564031426238504E-4</v>
      </c>
      <c r="N130" s="1064"/>
      <c r="O130" s="1044"/>
      <c r="P130" s="1065"/>
      <c r="Q130" s="1045"/>
      <c r="R130" s="1065"/>
      <c r="S130" s="1045"/>
      <c r="T130" s="1066">
        <f>AU65*(1+U153)</f>
        <v>4.6782245110093661E-4</v>
      </c>
      <c r="U130" s="1045">
        <f t="shared" ref="U130" si="38">T130*G126</f>
        <v>0.11757263953125505</v>
      </c>
    </row>
    <row r="131" spans="2:21">
      <c r="B131" s="856" t="str">
        <f>_xlfn.TEXTJOIN(",",TRUE,IF(LEFT(Regions!$C$3,1)&lt;&gt;"*",Regions!$C$3,""),IF(LEFT(Regions!$D$3,1)&lt;&gt;"*",Regions!$D$3,""))</f>
        <v>IE,National</v>
      </c>
      <c r="C131" s="857" t="str">
        <f>Y29</f>
        <v>R-BLD_Det_D</v>
      </c>
      <c r="D131" s="858" t="str">
        <f>Z29</f>
        <v>Residential Building Detached _ D</v>
      </c>
      <c r="E131" s="857" t="str">
        <f>COMM!$O$17</f>
        <v>RSDSH_Det-D</v>
      </c>
      <c r="F131" s="858" t="str">
        <f>COMM!$O$8</f>
        <v>RSD_Det</v>
      </c>
      <c r="G131" s="860">
        <f>AI13/1000</f>
        <v>166.66779141279125</v>
      </c>
      <c r="H131" s="860">
        <f>G131*$AH$26</f>
        <v>138.88427058427897</v>
      </c>
      <c r="I131" s="860">
        <v>1</v>
      </c>
      <c r="J131" s="858">
        <v>100</v>
      </c>
      <c r="K131" s="858">
        <v>1</v>
      </c>
      <c r="L131" s="966">
        <f>ABS(AR67)*0.853224702081462</f>
        <v>4.8901598340165373E-2</v>
      </c>
      <c r="N131" s="1060">
        <f>ABS(AR67*DwellingStocks!Q23*(1+O153))</f>
        <v>4.8722431884518032E-2</v>
      </c>
      <c r="O131" s="1061">
        <f>N131*G131</f>
        <v>8.120460114452781</v>
      </c>
      <c r="P131" s="1062"/>
      <c r="Q131" s="1063"/>
      <c r="R131" s="1062"/>
      <c r="S131" s="1063"/>
      <c r="T131" s="1061"/>
      <c r="U131" s="1063"/>
    </row>
    <row r="132" spans="2:21">
      <c r="B132" s="861" t="str">
        <f>_xlfn.TEXTJOIN(",",TRUE,IF(LEFT(Regions!$C$3,1)&lt;&gt;"*",Regions!$C$3,""),IF(LEFT(Regions!$D$3,1)&lt;&gt;"*",Regions!$D$3,""))</f>
        <v>IE,National</v>
      </c>
      <c r="C132" s="449"/>
      <c r="D132" s="448"/>
      <c r="E132" s="448" t="str">
        <f>COMM!$O$29</f>
        <v>RSDSC_Det</v>
      </c>
      <c r="F132" s="448"/>
      <c r="G132" s="968"/>
      <c r="H132" s="968"/>
      <c r="I132" s="968"/>
      <c r="J132" s="448"/>
      <c r="K132" s="448"/>
      <c r="L132" s="969"/>
      <c r="N132" s="1042"/>
      <c r="O132" s="1035"/>
      <c r="P132" s="1046"/>
      <c r="Q132" s="1043"/>
      <c r="R132" s="1046"/>
      <c r="S132" s="1043"/>
      <c r="T132" s="1035"/>
      <c r="U132" s="1043"/>
    </row>
    <row r="133" spans="2:21">
      <c r="B133" s="862" t="str">
        <f>_xlfn.TEXTJOIN(",",TRUE,IF(LEFT(Regions!$C$3,1)&lt;&gt;"*",Regions!$C$3,""),IF(LEFT(Regions!$D$3,1)&lt;&gt;"*",Regions!$D$3,""))</f>
        <v>IE,National</v>
      </c>
      <c r="C133" s="293"/>
      <c r="D133" s="293"/>
      <c r="E133" s="293" t="str">
        <f>COMM!$O$32</f>
        <v>RSDWH_Det</v>
      </c>
      <c r="F133" s="293"/>
      <c r="G133" s="972"/>
      <c r="H133" s="972"/>
      <c r="I133" s="972"/>
      <c r="J133" s="293"/>
      <c r="K133" s="293"/>
      <c r="L133" s="973">
        <f>AS67*0.742731884673138</f>
        <v>1.4303829274544932E-2</v>
      </c>
      <c r="N133" s="1042"/>
      <c r="O133" s="1035"/>
      <c r="P133" s="1046">
        <f>AS67*(1+Q153)</f>
        <v>1.4188705421239834E-2</v>
      </c>
      <c r="Q133" s="1043">
        <f t="shared" ref="Q133" si="39">P133*G131</f>
        <v>2.3648001955647411</v>
      </c>
      <c r="R133" s="1046"/>
      <c r="S133" s="1043"/>
      <c r="T133" s="1035"/>
      <c r="U133" s="1043"/>
    </row>
    <row r="134" spans="2:21">
      <c r="B134" s="861" t="str">
        <f>_xlfn.TEXTJOIN(",",TRUE,IF(LEFT(Regions!$C$3,1)&lt;&gt;"*",Regions!$C$3,""),IF(LEFT(Regions!$D$3,1)&lt;&gt;"*",Regions!$D$3,""))</f>
        <v>IE,National</v>
      </c>
      <c r="C134" s="449"/>
      <c r="D134" s="448"/>
      <c r="E134" s="448" t="str">
        <f>COMM!$O$35</f>
        <v>RSDLT_Det</v>
      </c>
      <c r="F134" s="448"/>
      <c r="G134" s="968"/>
      <c r="H134" s="968"/>
      <c r="I134" s="968"/>
      <c r="J134" s="448"/>
      <c r="K134" s="448"/>
      <c r="L134" s="969">
        <f>AT67*0.375703674683678</f>
        <v>1.3931982012489457E-3</v>
      </c>
      <c r="N134" s="1042"/>
      <c r="O134" s="1035"/>
      <c r="P134" s="1046"/>
      <c r="Q134" s="1043"/>
      <c r="R134" s="1046">
        <f>AT67*(1+S153)</f>
        <v>1.3972580642722719E-3</v>
      </c>
      <c r="S134" s="1043">
        <f t="shared" ref="S134" si="40">R134*G131</f>
        <v>0.23287791560597149</v>
      </c>
      <c r="T134" s="1035"/>
      <c r="U134" s="1043"/>
    </row>
    <row r="135" spans="2:21" ht="13.5" thickBot="1">
      <c r="B135" s="863" t="str">
        <f>_xlfn.TEXTJOIN(",",TRUE,IF(LEFT(Regions!$C$3,1)&lt;&gt;"*",Regions!$C$3,""),IF(LEFT(Regions!$D$3,1)&lt;&gt;"*",Regions!$D$3,""))</f>
        <v>IE,National</v>
      </c>
      <c r="C135" s="864"/>
      <c r="D135" s="864"/>
      <c r="E135" s="864" t="str">
        <f>COMM!$O$38</f>
        <v>RSDPF_Det</v>
      </c>
      <c r="F135" s="864"/>
      <c r="G135" s="865"/>
      <c r="H135" s="865"/>
      <c r="I135" s="865"/>
      <c r="J135" s="864"/>
      <c r="K135" s="864"/>
      <c r="L135" s="976">
        <f>AU67*0.568571740836304</f>
        <v>4.620421675097221E-4</v>
      </c>
      <c r="N135" s="1064"/>
      <c r="O135" s="1044"/>
      <c r="P135" s="1065"/>
      <c r="Q135" s="1045"/>
      <c r="R135" s="1065"/>
      <c r="S135" s="1045"/>
      <c r="T135" s="1066">
        <f>AU66*(1+U153)</f>
        <v>4.3330806595455462E-4</v>
      </c>
      <c r="U135" s="1045">
        <f t="shared" ref="U135" si="41">T135*G131</f>
        <v>7.2218498353993701E-2</v>
      </c>
    </row>
    <row r="136" spans="2:21">
      <c r="B136" s="856" t="str">
        <f>_xlfn.TEXTJOIN(",",TRUE,IF(LEFT(Regions!$C$3,1)&lt;&gt;"*",Regions!$C$3,""),IF(LEFT(Regions!$D$3,1)&lt;&gt;"*",Regions!$D$3,""))</f>
        <v>IE,National</v>
      </c>
      <c r="C136" s="857" t="str">
        <f>Y30</f>
        <v>R-BLD_Det_E</v>
      </c>
      <c r="D136" s="858" t="str">
        <f>Z30</f>
        <v>Residential Building Detached _ E</v>
      </c>
      <c r="E136" s="857" t="str">
        <f>COMM!$O$20</f>
        <v>RSDSH_Det-E</v>
      </c>
      <c r="F136" s="858" t="str">
        <f>COMM!$O$8</f>
        <v>RSD_Det</v>
      </c>
      <c r="G136" s="860">
        <f>AI14/1000</f>
        <v>81.396697989555506</v>
      </c>
      <c r="H136" s="860">
        <f>G136*$AH$26</f>
        <v>67.827868434696612</v>
      </c>
      <c r="I136" s="860">
        <v>1</v>
      </c>
      <c r="J136" s="858">
        <v>100</v>
      </c>
      <c r="K136" s="858">
        <v>1</v>
      </c>
      <c r="L136" s="966">
        <f>ABS(AR68)*0.853224702081462</f>
        <v>6.0316400230437453E-2</v>
      </c>
      <c r="N136" s="1060">
        <f>ABS(AR68*DwellingStocks!Q24*(1+O153))</f>
        <v>6.1203049762218215E-2</v>
      </c>
      <c r="O136" s="1061">
        <f>N136*G136</f>
        <v>4.9817261575350127</v>
      </c>
      <c r="P136" s="1062"/>
      <c r="Q136" s="1063"/>
      <c r="R136" s="1062"/>
      <c r="S136" s="1063"/>
      <c r="T136" s="1061"/>
      <c r="U136" s="1063"/>
    </row>
    <row r="137" spans="2:21">
      <c r="B137" s="861" t="str">
        <f>_xlfn.TEXTJOIN(",",TRUE,IF(LEFT(Regions!$C$3,1)&lt;&gt;"*",Regions!$C$3,""),IF(LEFT(Regions!$D$3,1)&lt;&gt;"*",Regions!$D$3,""))</f>
        <v>IE,National</v>
      </c>
      <c r="C137" s="449"/>
      <c r="D137" s="448"/>
      <c r="E137" s="448" t="str">
        <f>COMM!$O$29</f>
        <v>RSDSC_Det</v>
      </c>
      <c r="F137" s="448"/>
      <c r="G137" s="968"/>
      <c r="H137" s="968"/>
      <c r="I137" s="968"/>
      <c r="J137" s="448"/>
      <c r="K137" s="448"/>
      <c r="L137" s="969"/>
      <c r="N137" s="1042"/>
      <c r="O137" s="1035"/>
      <c r="P137" s="1046"/>
      <c r="Q137" s="1043"/>
      <c r="R137" s="1046"/>
      <c r="S137" s="1043"/>
      <c r="T137" s="1035"/>
      <c r="U137" s="1043"/>
    </row>
    <row r="138" spans="2:21">
      <c r="B138" s="862" t="str">
        <f>_xlfn.TEXTJOIN(",",TRUE,IF(LEFT(Regions!$C$3,1)&lt;&gt;"*",Regions!$C$3,""),IF(LEFT(Regions!$D$3,1)&lt;&gt;"*",Regions!$D$3,""))</f>
        <v>IE,National</v>
      </c>
      <c r="C138" s="293"/>
      <c r="D138" s="293"/>
      <c r="E138" s="293" t="str">
        <f>COMM!$O$32</f>
        <v>RSDWH_Det</v>
      </c>
      <c r="F138" s="293"/>
      <c r="G138" s="972"/>
      <c r="H138" s="972"/>
      <c r="I138" s="972"/>
      <c r="J138" s="293"/>
      <c r="K138" s="293"/>
      <c r="L138" s="973">
        <f>AS68*0.742731884673138</f>
        <v>1.4351733209498384E-2</v>
      </c>
      <c r="N138" s="1042"/>
      <c r="O138" s="1035"/>
      <c r="P138" s="1046">
        <f>AS68*(1+Q153)</f>
        <v>1.4236223803102958E-2</v>
      </c>
      <c r="Q138" s="1043">
        <f t="shared" ref="Q138" si="42">P138*G136</f>
        <v>1.1587816094128929</v>
      </c>
      <c r="R138" s="1046"/>
      <c r="S138" s="1043"/>
      <c r="T138" s="1035"/>
      <c r="U138" s="1043"/>
    </row>
    <row r="139" spans="2:21">
      <c r="B139" s="861" t="str">
        <f>_xlfn.TEXTJOIN(",",TRUE,IF(LEFT(Regions!$C$3,1)&lt;&gt;"*",Regions!$C$3,""),IF(LEFT(Regions!$D$3,1)&lt;&gt;"*",Regions!$D$3,""))</f>
        <v>IE,National</v>
      </c>
      <c r="C139" s="449"/>
      <c r="D139" s="448"/>
      <c r="E139" s="448" t="str">
        <f>COMM!$O$35</f>
        <v>RSDLT_Det</v>
      </c>
      <c r="F139" s="448"/>
      <c r="G139" s="968"/>
      <c r="H139" s="968"/>
      <c r="I139" s="968"/>
      <c r="J139" s="448"/>
      <c r="K139" s="448"/>
      <c r="L139" s="969">
        <f>AT68*0.375703674683678</f>
        <v>1.2866536750593203E-3</v>
      </c>
      <c r="N139" s="1042"/>
      <c r="O139" s="1035"/>
      <c r="P139" s="1046"/>
      <c r="Q139" s="1043"/>
      <c r="R139" s="1046">
        <f>AT68*(1+S153)</f>
        <v>1.2904030609503711E-3</v>
      </c>
      <c r="S139" s="1043">
        <f t="shared" ref="S139" si="43">R139*G136</f>
        <v>0.10503454823697535</v>
      </c>
      <c r="T139" s="1035"/>
      <c r="U139" s="1043"/>
    </row>
    <row r="140" spans="2:21" ht="13.5" thickBot="1">
      <c r="B140" s="863" t="str">
        <f>_xlfn.TEXTJOIN(",",TRUE,IF(LEFT(Regions!$C$3,1)&lt;&gt;"*",Regions!$C$3,""),IF(LEFT(Regions!$D$3,1)&lt;&gt;"*",Regions!$D$3,""))</f>
        <v>IE,National</v>
      </c>
      <c r="C140" s="864"/>
      <c r="D140" s="864"/>
      <c r="E140" s="864" t="str">
        <f>COMM!$O$38</f>
        <v>RSDPF_Det</v>
      </c>
      <c r="F140" s="864"/>
      <c r="G140" s="865"/>
      <c r="H140" s="865"/>
      <c r="I140" s="865"/>
      <c r="J140" s="864"/>
      <c r="K140" s="864"/>
      <c r="L140" s="976">
        <f>AU68*0.568571740836304</f>
        <v>4.317396430081587E-4</v>
      </c>
      <c r="N140" s="1064"/>
      <c r="O140" s="1044"/>
      <c r="P140" s="1065"/>
      <c r="Q140" s="1045"/>
      <c r="R140" s="1065"/>
      <c r="S140" s="1045"/>
      <c r="T140" s="1066">
        <f>AU67*(1+U153)</f>
        <v>4.2092016170573141E-4</v>
      </c>
      <c r="U140" s="1045">
        <f t="shared" ref="U140" si="44">T140*G136</f>
        <v>3.4261511280076283E-2</v>
      </c>
    </row>
    <row r="141" spans="2:21">
      <c r="B141" s="856" t="str">
        <f>_xlfn.TEXTJOIN(",",TRUE,IF(LEFT(Regions!$C$3,1)&lt;&gt;"*",Regions!$C$3,""),IF(LEFT(Regions!$D$3,1)&lt;&gt;"*",Regions!$D$3,""))</f>
        <v>IE,National</v>
      </c>
      <c r="C141" s="857" t="str">
        <f>Y31</f>
        <v>R-BLD_Det_F</v>
      </c>
      <c r="D141" s="858" t="str">
        <f>Z31</f>
        <v>Residential Building Detached _ F</v>
      </c>
      <c r="E141" s="857" t="str">
        <f>COMM!$O$23</f>
        <v>RSDSH_Det-F</v>
      </c>
      <c r="F141" s="858" t="str">
        <f>COMM!$O$8</f>
        <v>RSD_Det</v>
      </c>
      <c r="G141" s="860">
        <f>AI15/1000</f>
        <v>43.241005762967113</v>
      </c>
      <c r="H141" s="860">
        <f>G141*$AH$26</f>
        <v>36.032730102280496</v>
      </c>
      <c r="I141" s="860">
        <v>1</v>
      </c>
      <c r="J141" s="858">
        <v>100</v>
      </c>
      <c r="K141" s="858">
        <v>1</v>
      </c>
      <c r="L141" s="966">
        <f>ABS(AR69)*0.853224702081462</f>
        <v>7.2534210143308783E-2</v>
      </c>
      <c r="N141" s="1060">
        <f>ABS(AR69*DwellingStocks!Q25*(1+O153))</f>
        <v>7.4785137730844137E-2</v>
      </c>
      <c r="O141" s="1061">
        <f>N141*G141</f>
        <v>3.2337845716037208</v>
      </c>
      <c r="P141" s="1062"/>
      <c r="Q141" s="1063"/>
      <c r="R141" s="1062"/>
      <c r="S141" s="1063"/>
      <c r="T141" s="1061"/>
      <c r="U141" s="1063"/>
    </row>
    <row r="142" spans="2:21">
      <c r="B142" s="861" t="str">
        <f>_xlfn.TEXTJOIN(",",TRUE,IF(LEFT(Regions!$C$3,1)&lt;&gt;"*",Regions!$C$3,""),IF(LEFT(Regions!$D$3,1)&lt;&gt;"*",Regions!$D$3,""))</f>
        <v>IE,National</v>
      </c>
      <c r="C142" s="449"/>
      <c r="D142" s="448"/>
      <c r="E142" s="448" t="str">
        <f>COMM!$O$29</f>
        <v>RSDSC_Det</v>
      </c>
      <c r="F142" s="448"/>
      <c r="G142" s="968"/>
      <c r="H142" s="968"/>
      <c r="I142" s="968"/>
      <c r="J142" s="448"/>
      <c r="K142" s="448"/>
      <c r="L142" s="969"/>
      <c r="N142" s="1042"/>
      <c r="O142" s="1035"/>
      <c r="P142" s="1046"/>
      <c r="Q142" s="1043"/>
      <c r="R142" s="1046"/>
      <c r="S142" s="1043"/>
      <c r="T142" s="1035"/>
      <c r="U142" s="1043"/>
    </row>
    <row r="143" spans="2:21">
      <c r="B143" s="862" t="str">
        <f>_xlfn.TEXTJOIN(",",TRUE,IF(LEFT(Regions!$C$3,1)&lt;&gt;"*",Regions!$C$3,""),IF(LEFT(Regions!$D$3,1)&lt;&gt;"*",Regions!$D$3,""))</f>
        <v>IE,National</v>
      </c>
      <c r="C143" s="293"/>
      <c r="D143" s="293"/>
      <c r="E143" s="293" t="str">
        <f>COMM!$O$32</f>
        <v>RSDWH_Det</v>
      </c>
      <c r="F143" s="293"/>
      <c r="G143" s="972"/>
      <c r="H143" s="972"/>
      <c r="I143" s="972"/>
      <c r="J143" s="293"/>
      <c r="K143" s="293"/>
      <c r="L143" s="973">
        <f>AS69*0.742731884673138</f>
        <v>1.4431449095148411E-2</v>
      </c>
      <c r="N143" s="1042"/>
      <c r="O143" s="1035"/>
      <c r="P143" s="1046">
        <f>AS69*(1+Q153)</f>
        <v>1.4315298098326427E-2</v>
      </c>
      <c r="Q143" s="1043">
        <f t="shared" ref="Q143" si="45">P143*G141</f>
        <v>0.61900788756832525</v>
      </c>
      <c r="R143" s="1046"/>
      <c r="S143" s="1043"/>
      <c r="T143" s="1035"/>
      <c r="U143" s="1043"/>
    </row>
    <row r="144" spans="2:21">
      <c r="B144" s="861" t="str">
        <f>_xlfn.TEXTJOIN(",",TRUE,IF(LEFT(Regions!$C$3,1)&lt;&gt;"*",Regions!$C$3,""),IF(LEFT(Regions!$D$3,1)&lt;&gt;"*",Regions!$D$3,""))</f>
        <v>IE,National</v>
      </c>
      <c r="C144" s="449"/>
      <c r="D144" s="448"/>
      <c r="E144" s="448" t="str">
        <f>COMM!$O$35</f>
        <v>RSDLT_Det</v>
      </c>
      <c r="F144" s="448"/>
      <c r="G144" s="968"/>
      <c r="H144" s="968"/>
      <c r="I144" s="968"/>
      <c r="J144" s="448"/>
      <c r="K144" s="448"/>
      <c r="L144" s="969">
        <f>AT69*0.375703674683678</f>
        <v>1.2249928868643262E-3</v>
      </c>
      <c r="N144" s="1042"/>
      <c r="O144" s="1035"/>
      <c r="P144" s="1046"/>
      <c r="Q144" s="1043"/>
      <c r="R144" s="1046">
        <f>AT69*(1+S153)</f>
        <v>1.2285625895245506E-3</v>
      </c>
      <c r="S144" s="1043">
        <f t="shared" ref="S144" si="46">R144*G141</f>
        <v>5.3124282013796889E-2</v>
      </c>
      <c r="T144" s="1035"/>
      <c r="U144" s="1043"/>
    </row>
    <row r="145" spans="2:21" ht="13.5" thickBot="1">
      <c r="B145" s="863" t="str">
        <f>_xlfn.TEXTJOIN(",",TRUE,IF(LEFT(Regions!$C$3,1)&lt;&gt;"*",Regions!$C$3,""),IF(LEFT(Regions!$D$3,1)&lt;&gt;"*",Regions!$D$3,""))</f>
        <v>IE,National</v>
      </c>
      <c r="C145" s="864"/>
      <c r="D145" s="864"/>
      <c r="E145" s="864" t="str">
        <f>COMM!$O$38</f>
        <v>RSDPF_Det</v>
      </c>
      <c r="F145" s="864"/>
      <c r="G145" s="865"/>
      <c r="H145" s="865"/>
      <c r="I145" s="865"/>
      <c r="J145" s="864"/>
      <c r="K145" s="864"/>
      <c r="L145" s="976">
        <f>AU69*0.568571740836304</f>
        <v>4.1119730191954164E-4</v>
      </c>
      <c r="N145" s="1064"/>
      <c r="O145" s="1044"/>
      <c r="P145" s="1065"/>
      <c r="Q145" s="1045"/>
      <c r="R145" s="1065"/>
      <c r="S145" s="1045"/>
      <c r="T145" s="1066">
        <f>AU68*(1+U153)</f>
        <v>3.9331457847068706E-4</v>
      </c>
      <c r="U145" s="1045">
        <f t="shared" ref="U145" si="47">T145*G141</f>
        <v>1.7007317954309958E-2</v>
      </c>
    </row>
    <row r="146" spans="2:21">
      <c r="B146" s="856" t="str">
        <f>_xlfn.TEXTJOIN(",",TRUE,IF(LEFT(Regions!$C$3,1)&lt;&gt;"*",Regions!$C$3,""),IF(LEFT(Regions!$D$3,1)&lt;&gt;"*",Regions!$D$3,""))</f>
        <v>IE,National</v>
      </c>
      <c r="C146" s="857" t="str">
        <f>Y32</f>
        <v>R-BLD_Det_G</v>
      </c>
      <c r="D146" s="858" t="str">
        <f>Z32</f>
        <v>Residential Building Detached _ G</v>
      </c>
      <c r="E146" s="857" t="str">
        <f>COMM!$O$26</f>
        <v>RSDSH_Det-G</v>
      </c>
      <c r="F146" s="858" t="str">
        <f>COMM!$O$8</f>
        <v>RSD_Det</v>
      </c>
      <c r="G146" s="860">
        <f>AI16/1000</f>
        <v>78.435533443104831</v>
      </c>
      <c r="H146" s="860">
        <f>G146*$AH$26</f>
        <v>65.360330018139265</v>
      </c>
      <c r="I146" s="860">
        <v>1</v>
      </c>
      <c r="J146" s="858">
        <v>100</v>
      </c>
      <c r="K146" s="858">
        <v>1</v>
      </c>
      <c r="L146" s="966">
        <f>ABS(AR70)*0.853224702081462</f>
        <v>9.572100774137017E-2</v>
      </c>
      <c r="N146" s="1060">
        <f>ABS(AR70*DwellingStocks!Q26*(1+O153))</f>
        <v>7.860565036372226E-2</v>
      </c>
      <c r="O146" s="1061">
        <f>N146*G146</f>
        <v>6.1654761179207425</v>
      </c>
      <c r="P146" s="1062"/>
      <c r="Q146" s="1063"/>
      <c r="R146" s="1062"/>
      <c r="S146" s="1063"/>
      <c r="T146" s="1061"/>
      <c r="U146" s="1063"/>
    </row>
    <row r="147" spans="2:21">
      <c r="B147" s="861" t="str">
        <f>_xlfn.TEXTJOIN(",",TRUE,IF(LEFT(Regions!$C$3,1)&lt;&gt;"*",Regions!$C$3,""),IF(LEFT(Regions!$D$3,1)&lt;&gt;"*",Regions!$D$3,""))</f>
        <v>IE,National</v>
      </c>
      <c r="C147" s="449"/>
      <c r="D147" s="448"/>
      <c r="E147" s="448" t="str">
        <f>COMM!$O$29</f>
        <v>RSDSC_Det</v>
      </c>
      <c r="F147" s="448"/>
      <c r="G147" s="968"/>
      <c r="H147" s="968"/>
      <c r="I147" s="968"/>
      <c r="J147" s="448"/>
      <c r="K147" s="448"/>
      <c r="L147" s="969"/>
      <c r="N147" s="1042"/>
      <c r="O147" s="1035"/>
      <c r="P147" s="1046"/>
      <c r="Q147" s="1043"/>
      <c r="R147" s="1046"/>
      <c r="S147" s="1043"/>
      <c r="T147" s="1035"/>
      <c r="U147" s="1043"/>
    </row>
    <row r="148" spans="2:21">
      <c r="B148" s="862" t="str">
        <f>_xlfn.TEXTJOIN(",",TRUE,IF(LEFT(Regions!$C$3,1)&lt;&gt;"*",Regions!$C$3,""),IF(LEFT(Regions!$D$3,1)&lt;&gt;"*",Regions!$D$3,""))</f>
        <v>IE,National</v>
      </c>
      <c r="C148" s="293"/>
      <c r="D148" s="293"/>
      <c r="E148" s="293" t="str">
        <f>COMM!$O$32</f>
        <v>RSDWH_Det</v>
      </c>
      <c r="F148" s="293"/>
      <c r="G148" s="972"/>
      <c r="H148" s="972"/>
      <c r="I148" s="972"/>
      <c r="J148" s="293"/>
      <c r="K148" s="293"/>
      <c r="L148" s="973">
        <f>AS70*0.742731884673138</f>
        <v>1.3140678240923184E-2</v>
      </c>
      <c r="N148" s="1042"/>
      <c r="O148" s="1035"/>
      <c r="P148" s="1046">
        <f>AS70*(1+Q153)</f>
        <v>1.3034915966702689E-2</v>
      </c>
      <c r="Q148" s="1043">
        <f t="shared" ref="Q148" si="48">P148*G146</f>
        <v>1.02240058723437</v>
      </c>
      <c r="R148" s="1046"/>
      <c r="S148" s="1043"/>
      <c r="T148" s="1035"/>
      <c r="U148" s="1043"/>
    </row>
    <row r="149" spans="2:21">
      <c r="B149" s="861" t="str">
        <f>_xlfn.TEXTJOIN(",",TRUE,IF(LEFT(Regions!$C$3,1)&lt;&gt;"*",Regions!$C$3,""),IF(LEFT(Regions!$D$3,1)&lt;&gt;"*",Regions!$D$3,""))</f>
        <v>IE,National</v>
      </c>
      <c r="C149" s="449"/>
      <c r="D149" s="448"/>
      <c r="E149" s="448" t="str">
        <f>COMM!$O$35</f>
        <v>RSDLT_Det</v>
      </c>
      <c r="F149" s="448"/>
      <c r="G149" s="968"/>
      <c r="H149" s="968"/>
      <c r="I149" s="968"/>
      <c r="J149" s="448"/>
      <c r="K149" s="448"/>
      <c r="L149" s="969">
        <f>AT70*0.375703674683678</f>
        <v>1.0814863114877928E-3</v>
      </c>
      <c r="N149" s="1042"/>
      <c r="O149" s="1035"/>
      <c r="P149" s="1046"/>
      <c r="Q149" s="1043"/>
      <c r="R149" s="1046">
        <f>AT70*(1+S153)</f>
        <v>1.0846378273900578E-3</v>
      </c>
      <c r="S149" s="1043">
        <f t="shared" ref="S149" si="49">R149*G146</f>
        <v>8.5074146583909438E-2</v>
      </c>
      <c r="T149" s="1035"/>
      <c r="U149" s="1043"/>
    </row>
    <row r="150" spans="2:21" ht="13.5" thickBot="1">
      <c r="B150" s="863" t="str">
        <f>_xlfn.TEXTJOIN(",",TRUE,IF(LEFT(Regions!$C$3,1)&lt;&gt;"*",Regions!$C$3,""),IF(LEFT(Regions!$D$3,1)&lt;&gt;"*",Regions!$D$3,""))</f>
        <v>IE,National</v>
      </c>
      <c r="C150" s="864"/>
      <c r="D150" s="864"/>
      <c r="E150" s="864" t="str">
        <f>COMM!$O$38</f>
        <v>RSDPF_Det</v>
      </c>
      <c r="F150" s="864"/>
      <c r="G150" s="865"/>
      <c r="H150" s="865"/>
      <c r="I150" s="865"/>
      <c r="J150" s="864"/>
      <c r="K150" s="864"/>
      <c r="L150" s="976">
        <f>AU70*0.568571740836304</f>
        <v>3.0143313414421959E-4</v>
      </c>
      <c r="N150" s="1064"/>
      <c r="O150" s="1044"/>
      <c r="P150" s="1065"/>
      <c r="Q150" s="1045"/>
      <c r="R150" s="1065"/>
      <c r="S150" s="1045"/>
      <c r="T150" s="1066">
        <f>AU69*(1+U153)</f>
        <v>3.7460051698266701E-4</v>
      </c>
      <c r="U150" s="1045">
        <f t="shared" ref="U150" si="50">T150*G146</f>
        <v>2.9381991377598338E-2</v>
      </c>
    </row>
    <row r="151" spans="2:21">
      <c r="N151" s="329" t="s">
        <v>971</v>
      </c>
      <c r="O151" s="319">
        <f>'SHWLP-Det'!AB27</f>
        <v>37.472394921512809</v>
      </c>
      <c r="P151" s="323"/>
      <c r="Q151" s="324">
        <f>'SHWLP-Det'!AB54</f>
        <v>9.9171743594052604</v>
      </c>
      <c r="R151" s="323"/>
      <c r="S151" s="324">
        <f>'SHWLP-Det'!AB59</f>
        <v>1.1094700921835092</v>
      </c>
      <c r="T151" s="323"/>
      <c r="U151" s="324">
        <f>'SHWLP-Det'!AB60</f>
        <v>0.34639394879768842</v>
      </c>
    </row>
    <row r="152" spans="2:21">
      <c r="N152" s="1037" t="s">
        <v>962</v>
      </c>
      <c r="O152">
        <v>29.772979472336299</v>
      </c>
      <c r="P152" s="320"/>
      <c r="Q152" s="339">
        <v>13.460631232078878</v>
      </c>
      <c r="R152" s="320"/>
      <c r="S152">
        <v>2.9444652750919382</v>
      </c>
      <c r="T152" s="320"/>
      <c r="U152" s="339">
        <v>0.66875479668296012</v>
      </c>
    </row>
    <row r="153" spans="2:21">
      <c r="N153" s="1038" t="s">
        <v>963</v>
      </c>
      <c r="O153" s="1039">
        <f>((O151-O152)/O152)</f>
        <v>0.25860412983962378</v>
      </c>
      <c r="P153" s="320"/>
      <c r="Q153" s="1039">
        <f>((Q151-Q152)/Q152)</f>
        <v>-0.26324596607542317</v>
      </c>
      <c r="R153" s="320"/>
      <c r="S153" s="1039">
        <f>((S151-S152)/S152)</f>
        <v>-0.62320150230032278</v>
      </c>
      <c r="T153" s="320"/>
      <c r="U153" s="1039">
        <f>((U151-U152)/U152)</f>
        <v>-0.48203145530198699</v>
      </c>
    </row>
    <row r="154" spans="2:21">
      <c r="N154" s="1037" t="s">
        <v>964</v>
      </c>
      <c r="O154" s="1035">
        <f>SUM(O106:O146)</f>
        <v>37.472394921512809</v>
      </c>
      <c r="P154" s="320"/>
      <c r="Q154" s="1043">
        <f>SUM(Q106:Q150)</f>
        <v>9.9171743594052622</v>
      </c>
      <c r="R154" s="320"/>
      <c r="S154" s="1043">
        <f t="shared" ref="S154" si="51">SUM(S106:S150)</f>
        <v>1.1094700921835092</v>
      </c>
      <c r="T154" s="320"/>
      <c r="U154" s="1043">
        <f>SUM(U106:U150)</f>
        <v>0.34639394879768837</v>
      </c>
    </row>
    <row r="155" spans="2:21" ht="13.5" thickBot="1">
      <c r="N155" s="1040" t="s">
        <v>965</v>
      </c>
      <c r="O155" s="1041">
        <f>((O151-O154)/O154)</f>
        <v>0</v>
      </c>
      <c r="P155" s="331"/>
      <c r="Q155" s="1052">
        <f t="shared" ref="Q155" si="52">((Q151-Q154)/Q154)</f>
        <v>-1.7911925060746634E-16</v>
      </c>
      <c r="R155" s="331"/>
      <c r="S155" s="1052">
        <f t="shared" ref="S155" si="53">((S151-S154)/S154)</f>
        <v>0</v>
      </c>
      <c r="T155" s="331"/>
      <c r="U155" s="1052">
        <f>((U151-U154)/U154)</f>
        <v>1.602543907707786E-16</v>
      </c>
    </row>
    <row r="160" spans="2:21">
      <c r="Q160" s="1035"/>
    </row>
    <row r="167" spans="27:27" ht="15">
      <c r="AA167" s="364"/>
    </row>
    <row r="168" spans="27:27" ht="15">
      <c r="AA168" s="364"/>
    </row>
    <row r="169" spans="27:27" ht="15">
      <c r="AA169" s="364"/>
    </row>
    <row r="170" spans="27:27" ht="15">
      <c r="AA170" s="364"/>
    </row>
  </sheetData>
  <mergeCells count="12">
    <mergeCell ref="N3:O3"/>
    <mergeCell ref="P3:Q3"/>
    <mergeCell ref="T3:U3"/>
    <mergeCell ref="X39:AB39"/>
    <mergeCell ref="X56:AB56"/>
    <mergeCell ref="R3:S3"/>
    <mergeCell ref="X65:AC65"/>
    <mergeCell ref="AF24:AJ24"/>
    <mergeCell ref="AF25:AG25"/>
    <mergeCell ref="AH25:AJ25"/>
    <mergeCell ref="AF26:AG26"/>
    <mergeCell ref="AH26:AJ26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2:W113"/>
  <sheetViews>
    <sheetView workbookViewId="0">
      <selection activeCell="I30" sqref="I30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4" width="24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2" spans="2:23" ht="21">
      <c r="B2" s="49" t="s">
        <v>654</v>
      </c>
      <c r="C2" s="49"/>
      <c r="D2" s="49"/>
      <c r="E2" s="49"/>
      <c r="F2" s="53" t="s">
        <v>770</v>
      </c>
      <c r="G2" s="507"/>
      <c r="H2" s="507"/>
      <c r="I2" s="507"/>
      <c r="J2" s="507"/>
      <c r="K2" s="507"/>
      <c r="L2" s="507"/>
      <c r="M2" s="507"/>
      <c r="N2" s="507"/>
      <c r="O2" s="30"/>
      <c r="P2" s="19" t="s">
        <v>769</v>
      </c>
      <c r="Q2" s="19"/>
      <c r="R2" s="19"/>
      <c r="S2" s="19"/>
      <c r="T2" s="19"/>
      <c r="U2" s="19"/>
      <c r="V2" s="19"/>
      <c r="W2" s="19"/>
    </row>
    <row r="3" spans="2:23" ht="15">
      <c r="B3" s="21" t="s">
        <v>766</v>
      </c>
      <c r="C3" s="21" t="s">
        <v>255</v>
      </c>
      <c r="D3" s="21" t="s">
        <v>267</v>
      </c>
      <c r="E3" s="21" t="s">
        <v>257</v>
      </c>
      <c r="F3" s="21" t="s">
        <v>258</v>
      </c>
      <c r="G3" s="27" t="s">
        <v>268</v>
      </c>
      <c r="H3" s="21" t="s">
        <v>259</v>
      </c>
      <c r="I3" s="21" t="s">
        <v>638</v>
      </c>
      <c r="J3" s="27" t="s">
        <v>269</v>
      </c>
      <c r="K3" s="27" t="s">
        <v>270</v>
      </c>
      <c r="L3" s="27" t="s">
        <v>637</v>
      </c>
      <c r="M3" s="31" t="s">
        <v>636</v>
      </c>
      <c r="N3" s="31" t="s">
        <v>833</v>
      </c>
      <c r="P3" s="21" t="s">
        <v>261</v>
      </c>
      <c r="Q3" s="21" t="s">
        <v>766</v>
      </c>
      <c r="R3" s="21" t="s">
        <v>255</v>
      </c>
      <c r="S3" s="21" t="s">
        <v>256</v>
      </c>
      <c r="T3" s="21" t="s">
        <v>262</v>
      </c>
      <c r="U3" s="21" t="s">
        <v>263</v>
      </c>
      <c r="V3" s="21" t="s">
        <v>264</v>
      </c>
      <c r="W3" s="21" t="s">
        <v>265</v>
      </c>
    </row>
    <row r="4" spans="2:23" ht="26.25" thickBot="1">
      <c r="B4" s="22" t="s">
        <v>773</v>
      </c>
      <c r="C4" s="22" t="s">
        <v>271</v>
      </c>
      <c r="D4" s="22" t="s">
        <v>272</v>
      </c>
      <c r="E4" s="22" t="s">
        <v>273</v>
      </c>
      <c r="F4" s="22" t="s">
        <v>274</v>
      </c>
      <c r="G4" s="29" t="s">
        <v>275</v>
      </c>
      <c r="H4" s="22" t="s">
        <v>391</v>
      </c>
      <c r="I4" s="22"/>
      <c r="J4" s="28"/>
      <c r="K4" s="28"/>
      <c r="L4" s="28" t="s">
        <v>13</v>
      </c>
      <c r="M4" s="212" t="s">
        <v>13</v>
      </c>
      <c r="N4" s="212" t="s">
        <v>834</v>
      </c>
      <c r="P4" s="23" t="s">
        <v>254</v>
      </c>
      <c r="Q4" s="23"/>
      <c r="R4" s="23"/>
      <c r="S4" s="22"/>
      <c r="T4" s="23"/>
      <c r="U4" s="23"/>
      <c r="V4" s="23"/>
      <c r="W4" s="23"/>
    </row>
    <row r="5" spans="2:23" ht="15">
      <c r="B5" s="819" t="str">
        <f>_xlfn.TEXTJOIN(",",TRUE,IF(LEFT(Regions!$C$3,1)&lt;&gt;"*",Regions!$C$3,""),IF(LEFT(Regions!$D$3,1)&lt;&gt;"*",Regions!$D$3,""))</f>
        <v>IE,National</v>
      </c>
      <c r="C5" s="817" t="str">
        <f>R5</f>
        <v>R-RSDRF_X0</v>
      </c>
      <c r="D5" s="817" t="str">
        <f>S5</f>
        <v>Residential Refrigeration Demand Technology</v>
      </c>
      <c r="E5" s="817" t="str">
        <f>COMM!$E$24</f>
        <v>RSDELC</v>
      </c>
      <c r="F5" s="817" t="str">
        <f>COMM!E32</f>
        <v>RSDRF</v>
      </c>
      <c r="G5" s="818">
        <f>DwellingStocks!$L$28/1000*RSD_Balance!U38</f>
        <v>1735.2913349999997</v>
      </c>
      <c r="H5" s="817">
        <v>0.8</v>
      </c>
      <c r="I5" s="820">
        <f>L5/G5/K5</f>
        <v>0.11719939117199393</v>
      </c>
      <c r="J5" s="821">
        <v>10</v>
      </c>
      <c r="K5" s="391">
        <f>31.536*(N5/1000)</f>
        <v>5.6764799999999994E-3</v>
      </c>
      <c r="L5" s="818">
        <f t="shared" ref="L5:L13" si="0">M5*H5</f>
        <v>1.1544546193487999</v>
      </c>
      <c r="M5" s="822">
        <f>RSD_Balance!S29</f>
        <v>1.4430682741859997</v>
      </c>
      <c r="N5" s="391">
        <v>0.18</v>
      </c>
      <c r="P5" s="294" t="s">
        <v>266</v>
      </c>
      <c r="Q5" s="294" t="str">
        <f>_xlfn.TEXTJOIN(",",TRUE,IF(LEFT(Regions!$C$3,1)&lt;&gt;"*",Regions!$C$3,""),IF(LEFT(Regions!$D$3,1)&lt;&gt;"*",Regions!$D$3,""))</f>
        <v>IE,National</v>
      </c>
      <c r="R5" s="294" t="str">
        <f>_xlfn.TEXTJOIN("",TRUE,,LEFT(SETUP!B$3,1),"-",COMM!E32,"_",SETUP!$B$64)</f>
        <v>R-RSDRF_X0</v>
      </c>
      <c r="S5" s="294" t="str">
        <f>_xlfn.TEXTJOIN(" ",TRUE,COMM!F32,"Technology")</f>
        <v>Residential Refrigeration Demand Technology</v>
      </c>
      <c r="T5" s="294" t="s">
        <v>13</v>
      </c>
      <c r="U5" s="294" t="s">
        <v>275</v>
      </c>
      <c r="V5" s="294"/>
      <c r="W5" s="294"/>
    </row>
    <row r="6" spans="2:23" ht="15">
      <c r="B6" s="823" t="str">
        <f>_xlfn.TEXTJOIN(",",TRUE,IF(LEFT(Regions!$C$3,1)&lt;&gt;"*",Regions!$C$3,""),IF(LEFT(Regions!$D$3,1)&lt;&gt;"*",Regions!$D$3,""))</f>
        <v>IE,National</v>
      </c>
      <c r="C6" s="824" t="str">
        <f>R6</f>
        <v>R-RSDCK_ELC_X0</v>
      </c>
      <c r="D6" s="825" t="str">
        <f>S6</f>
        <v>Residential Cooking Demand Electrical Technology</v>
      </c>
      <c r="E6" s="825" t="str">
        <f>COMM!E24</f>
        <v>RSDELC</v>
      </c>
      <c r="F6" s="824" t="str">
        <f>COMM!$E$33</f>
        <v>RSDCK</v>
      </c>
      <c r="G6" s="826">
        <f>DwellingStocks!$L$28/1000*R20</f>
        <v>1316.8778883047999</v>
      </c>
      <c r="H6" s="825">
        <v>0.74</v>
      </c>
      <c r="I6" s="827">
        <f>(SUM(L6))/G6/K6</f>
        <v>1.2186512303720202E-2</v>
      </c>
      <c r="J6" s="825">
        <v>15</v>
      </c>
      <c r="K6" s="824">
        <f t="shared" ref="K6:K13" si="1">31.536*(N6/1000)</f>
        <v>9.4608000000000012E-2</v>
      </c>
      <c r="L6" s="824">
        <f>M6*H6</f>
        <v>1.5182832416441119</v>
      </c>
      <c r="M6" s="828">
        <f>RSD_Balance!R26</f>
        <v>2.051734110329881</v>
      </c>
      <c r="N6" s="815">
        <v>3</v>
      </c>
      <c r="P6" s="395" t="s">
        <v>266</v>
      </c>
      <c r="Q6" s="395" t="str">
        <f>_xlfn.TEXTJOIN(",",TRUE,IF(LEFT(Regions!$C$3,1)&lt;&gt;"*",Regions!$C$3,""),IF(LEFT(Regions!$D$3,1)&lt;&gt;"*",Regions!$D$3,""))</f>
        <v>IE,National</v>
      </c>
      <c r="R6" s="395" t="str">
        <f>_xlfn.TEXTJOIN("",TRUE,,LEFT(SETUP!B$3,1),"-",COMM!E33,"_",RSD_Balance!A26,"_",SETUP!$B$64)</f>
        <v>R-RSDCK_ELC_X0</v>
      </c>
      <c r="S6" s="395" t="str">
        <f>_xlfn.TEXTJOIN(" ",TRUE,COMM!F33,"Electrical Technology")</f>
        <v>Residential Cooking Demand Electrical Technology</v>
      </c>
      <c r="T6" s="810" t="s">
        <v>13</v>
      </c>
      <c r="U6" s="395" t="s">
        <v>275</v>
      </c>
      <c r="V6" s="810"/>
      <c r="W6" s="395"/>
    </row>
    <row r="7" spans="2:23" ht="15">
      <c r="B7" s="819" t="str">
        <f>_xlfn.TEXTJOIN(",",TRUE,IF(LEFT(Regions!$C$3,1)&lt;&gt;"*",Regions!$C$3,""),IF(LEFT(Regions!$D$3,1)&lt;&gt;"*",Regions!$D$3,""))</f>
        <v>IE,National</v>
      </c>
      <c r="C7" s="817" t="str">
        <f t="shared" ref="C7:C8" si="2">R7</f>
        <v>R-RSDCK_GAS_X0</v>
      </c>
      <c r="D7" s="817" t="str">
        <f t="shared" ref="D7:D8" si="3">S7</f>
        <v>Residential Cooking Demand Gas Technology</v>
      </c>
      <c r="E7" s="817" t="str">
        <f>COMM!E14</f>
        <v>RSDGAS</v>
      </c>
      <c r="F7" s="817" t="str">
        <f>COMM!$E$33</f>
        <v>RSDCK</v>
      </c>
      <c r="G7" s="818">
        <f>DwellingStocks!$L$28/1000*R21</f>
        <v>395.12063110549497</v>
      </c>
      <c r="H7" s="817">
        <v>0.68</v>
      </c>
      <c r="I7" s="820">
        <f>(SUM(L7))/G7/K7</f>
        <v>1.0445597574610582E-2</v>
      </c>
      <c r="J7" s="821">
        <v>15</v>
      </c>
      <c r="K7" s="830">
        <f t="shared" si="1"/>
        <v>0.110376</v>
      </c>
      <c r="L7" s="818">
        <f>M7*H7</f>
        <v>0.45555167559079646</v>
      </c>
      <c r="M7" s="822">
        <f>RSD_Balance!R17</f>
        <v>0.66992893469234771</v>
      </c>
      <c r="N7" s="816">
        <v>3.5</v>
      </c>
      <c r="P7" s="294" t="s">
        <v>266</v>
      </c>
      <c r="Q7" s="294" t="str">
        <f>_xlfn.TEXTJOIN(",",TRUE,IF(LEFT(Regions!$C$3,1)&lt;&gt;"*",Regions!$C$3,""),IF(LEFT(Regions!$D$3,1)&lt;&gt;"*",Regions!$D$3,""))</f>
        <v>IE,National</v>
      </c>
      <c r="R7" s="294" t="str">
        <f>_xlfn.TEXTJOIN("",TRUE,,LEFT(SETUP!B$3,1),"-",COMM!E33,"_",RSD_Balance!A17,"_",SETUP!$B$64)</f>
        <v>R-RSDCK_GAS_X0</v>
      </c>
      <c r="S7" s="294" t="str">
        <f>_xlfn.TEXTJOIN(" ",TRUE,COMM!F33,"Gas Technology")</f>
        <v>Residential Cooking Demand Gas Technology</v>
      </c>
      <c r="T7" s="294" t="s">
        <v>13</v>
      </c>
      <c r="U7" s="294" t="s">
        <v>275</v>
      </c>
      <c r="V7" s="294"/>
      <c r="W7" s="294"/>
    </row>
    <row r="8" spans="2:23" ht="15">
      <c r="B8" s="823" t="str">
        <f>_xlfn.TEXTJOIN(",",TRUE,IF(LEFT(Regions!$C$3,1)&lt;&gt;"*",Regions!$C$3,""),IF(LEFT(Regions!$D$3,1)&lt;&gt;"*",Regions!$D$3,""))</f>
        <v>IE,National</v>
      </c>
      <c r="C8" s="824" t="str">
        <f t="shared" si="2"/>
        <v>R-RSDCK_LPG_X0</v>
      </c>
      <c r="D8" s="825" t="str">
        <f t="shared" si="3"/>
        <v>Residential Cooking Demand LPG Technology</v>
      </c>
      <c r="E8" s="825" t="str">
        <f>COMM!E8</f>
        <v>RSDLPG</v>
      </c>
      <c r="F8" s="824" t="str">
        <f>COMM!$E$33</f>
        <v>RSDCK</v>
      </c>
      <c r="G8" s="826">
        <f>DwellingStocks!$L$28/1000*R22</f>
        <v>23.292449443233309</v>
      </c>
      <c r="H8" s="825">
        <v>0.68</v>
      </c>
      <c r="I8" s="827">
        <f t="shared" ref="I8" si="4">(SUM(L8))/G8/K8</f>
        <v>1.0445583301088163E-2</v>
      </c>
      <c r="J8" s="825">
        <v>15</v>
      </c>
      <c r="K8" s="824">
        <f t="shared" si="1"/>
        <v>0.110376</v>
      </c>
      <c r="L8" s="824">
        <f>M8*H8</f>
        <v>2.6854836315100172E-2</v>
      </c>
      <c r="M8" s="828">
        <f>RSD_Balance!R11</f>
        <v>3.9492406345735545E-2</v>
      </c>
      <c r="N8" s="815">
        <v>3.5</v>
      </c>
      <c r="P8" s="395" t="s">
        <v>266</v>
      </c>
      <c r="Q8" s="395" t="str">
        <f>_xlfn.TEXTJOIN(",",TRUE,IF(LEFT(Regions!$C$3,1)&lt;&gt;"*",Regions!$C$3,""),IF(LEFT(Regions!$D$3,1)&lt;&gt;"*",Regions!$D$3,""))</f>
        <v>IE,National</v>
      </c>
      <c r="R8" s="395" t="str">
        <f>_xlfn.TEXTJOIN("",TRUE,,LEFT(SETUP!B$3,1),"-",COMM!E33,"_",RSD_Balance!A11,"_",SETUP!$B$64)</f>
        <v>R-RSDCK_LPG_X0</v>
      </c>
      <c r="S8" s="395" t="str">
        <f>_xlfn.TEXTJOIN(" ",TRUE,COMM!F33,"LPG Technology")</f>
        <v>Residential Cooking Demand LPG Technology</v>
      </c>
      <c r="T8" s="810" t="s">
        <v>13</v>
      </c>
      <c r="U8" s="395" t="s">
        <v>275</v>
      </c>
      <c r="V8" s="810"/>
      <c r="W8" s="395"/>
    </row>
    <row r="9" spans="2:23" ht="15">
      <c r="B9" s="819" t="str">
        <f>_xlfn.TEXTJOIN(",",TRUE,IF(LEFT(Regions!$C$3,1)&lt;&gt;"*",Regions!$C$3,""),IF(LEFT(Regions!$D$3,1)&lt;&gt;"*",Regions!$D$3,""))</f>
        <v>IE,National</v>
      </c>
      <c r="C9" s="817" t="str">
        <f t="shared" ref="C9:D13" si="5">R9</f>
        <v>R-RSDCW_X0</v>
      </c>
      <c r="D9" s="817" t="str">
        <f t="shared" si="5"/>
        <v>Residential Cloth Washing Demand Technology</v>
      </c>
      <c r="E9" s="817" t="str">
        <f>COMM!$E$24</f>
        <v>RSDELC</v>
      </c>
      <c r="F9" s="817" t="str">
        <f>COMM!E34</f>
        <v>RSDCW</v>
      </c>
      <c r="G9" s="818">
        <f>DwellingStocks!$L$28/1000*RSD_Balance!U36</f>
        <v>1691.9090516249996</v>
      </c>
      <c r="H9" s="817">
        <v>0.7</v>
      </c>
      <c r="I9" s="820">
        <f>L9/G9/K9</f>
        <v>6.7195931921959313E-3</v>
      </c>
      <c r="J9" s="821">
        <v>10</v>
      </c>
      <c r="K9" s="830">
        <f t="shared" si="1"/>
        <v>6.9379200000000002E-2</v>
      </c>
      <c r="L9" s="818">
        <f t="shared" si="0"/>
        <v>0.78876799986757473</v>
      </c>
      <c r="M9" s="822">
        <f>RSD_Balance!T29</f>
        <v>1.1268114283822497</v>
      </c>
      <c r="N9" s="816">
        <v>2.2000000000000002</v>
      </c>
      <c r="P9" s="294" t="s">
        <v>266</v>
      </c>
      <c r="Q9" s="294" t="str">
        <f>_xlfn.TEXTJOIN(",",TRUE,IF(LEFT(Regions!$C$3,1)&lt;&gt;"*",Regions!$C$3,""),IF(LEFT(Regions!$D$3,1)&lt;&gt;"*",Regions!$D$3,""))</f>
        <v>IE,National</v>
      </c>
      <c r="R9" s="294" t="str">
        <f>_xlfn.TEXTJOIN("",TRUE,,LEFT(SETUP!B$3,1),"-",COMM!E34,"_",SETUP!$B$64)</f>
        <v>R-RSDCW_X0</v>
      </c>
      <c r="S9" s="294" t="str">
        <f>_xlfn.TEXTJOIN(" ",TRUE,COMM!F34,"Technology")</f>
        <v>Residential Cloth Washing Demand Technology</v>
      </c>
      <c r="T9" s="294" t="s">
        <v>13</v>
      </c>
      <c r="U9" s="294" t="s">
        <v>275</v>
      </c>
      <c r="V9" s="294"/>
      <c r="W9" s="294"/>
    </row>
    <row r="10" spans="2:23" ht="15">
      <c r="B10" s="823" t="str">
        <f>_xlfn.TEXTJOIN(",",TRUE,IF(LEFT(Regions!$C$3,1)&lt;&gt;"*",Regions!$C$3,""),IF(LEFT(Regions!$D$3,1)&lt;&gt;"*",Regions!$D$3,""))</f>
        <v>IE,National</v>
      </c>
      <c r="C10" s="824" t="str">
        <f t="shared" si="5"/>
        <v>R-RSDCD_X0</v>
      </c>
      <c r="D10" s="825" t="str">
        <f t="shared" si="5"/>
        <v>Residential Cloth Drying Demand Technology</v>
      </c>
      <c r="E10" s="825" t="str">
        <f>COMM!$E$24</f>
        <v>RSDELC</v>
      </c>
      <c r="F10" s="824" t="str">
        <f>COMM!E35</f>
        <v>RSDCD</v>
      </c>
      <c r="G10" s="826">
        <f>DwellingStocks!$L$28/1000*RSD_Balance!U37</f>
        <v>1124.4687850799999</v>
      </c>
      <c r="H10" s="824">
        <v>0.6</v>
      </c>
      <c r="I10" s="827">
        <f>L10/G10/K10</f>
        <v>1.1863013698630135E-2</v>
      </c>
      <c r="J10" s="825">
        <v>10</v>
      </c>
      <c r="K10" s="824">
        <f t="shared" si="1"/>
        <v>7.8840000000000007E-2</v>
      </c>
      <c r="L10" s="824">
        <f t="shared" si="0"/>
        <v>1.0516931653096222</v>
      </c>
      <c r="M10" s="828">
        <f>RSD_Balance!U26</f>
        <v>1.7528219421827038</v>
      </c>
      <c r="N10" s="815">
        <v>2.5</v>
      </c>
      <c r="P10" s="395" t="s">
        <v>266</v>
      </c>
      <c r="Q10" s="395" t="str">
        <f>_xlfn.TEXTJOIN(",",TRUE,IF(LEFT(Regions!$C$3,1)&lt;&gt;"*",Regions!$C$3,""),IF(LEFT(Regions!$D$3,1)&lt;&gt;"*",Regions!$D$3,""))</f>
        <v>IE,National</v>
      </c>
      <c r="R10" s="395" t="str">
        <f>_xlfn.TEXTJOIN("",TRUE,,LEFT(SETUP!B$3,1),"-",COMM!E35,"_",SETUP!$B$64)</f>
        <v>R-RSDCD_X0</v>
      </c>
      <c r="S10" s="395" t="str">
        <f>_xlfn.TEXTJOIN(" ",TRUE,COMM!F35,"Technology")</f>
        <v>Residential Cloth Drying Demand Technology</v>
      </c>
      <c r="T10" s="810" t="s">
        <v>13</v>
      </c>
      <c r="U10" s="395" t="s">
        <v>275</v>
      </c>
      <c r="V10" s="810"/>
      <c r="W10" s="395"/>
    </row>
    <row r="11" spans="2:23" ht="15">
      <c r="B11" s="819" t="str">
        <f>_xlfn.TEXTJOIN(",",TRUE,IF(LEFT(Regions!$C$3,1)&lt;&gt;"*",Regions!$C$3,""),IF(LEFT(Regions!$D$3,1)&lt;&gt;"*",Regions!$D$3,""))</f>
        <v>IE,National</v>
      </c>
      <c r="C11" s="817" t="str">
        <f t="shared" si="5"/>
        <v>R-RSDDW_X0</v>
      </c>
      <c r="D11" s="817" t="str">
        <f t="shared" si="5"/>
        <v>Residential Dish Washing Demand Technology</v>
      </c>
      <c r="E11" s="817" t="str">
        <f>COMM!$E$24</f>
        <v>RSDELC</v>
      </c>
      <c r="F11" s="817" t="str">
        <f>COMM!E36</f>
        <v>RSDDW</v>
      </c>
      <c r="G11" s="818">
        <f>DwellingStocks!$L$28/1000*RSD_Balance!U39</f>
        <v>1122.7334937449998</v>
      </c>
      <c r="H11" s="817">
        <v>0.7</v>
      </c>
      <c r="I11" s="820">
        <f>L11/G11/K11</f>
        <v>1.0896637608966376E-2</v>
      </c>
      <c r="J11" s="821">
        <v>10</v>
      </c>
      <c r="K11" s="830">
        <f t="shared" si="1"/>
        <v>6.9379200000000002E-2</v>
      </c>
      <c r="L11" s="818">
        <f t="shared" si="0"/>
        <v>0.8487865212712199</v>
      </c>
      <c r="M11" s="822">
        <f>RSD_Balance!V29</f>
        <v>1.2125521732445999</v>
      </c>
      <c r="N11" s="816">
        <v>2.2000000000000002</v>
      </c>
      <c r="P11" s="294" t="s">
        <v>266</v>
      </c>
      <c r="Q11" s="294" t="str">
        <f>_xlfn.TEXTJOIN(",",TRUE,IF(LEFT(Regions!$C$3,1)&lt;&gt;"*",Regions!$C$3,""),IF(LEFT(Regions!$D$3,1)&lt;&gt;"*",Regions!$D$3,""))</f>
        <v>IE,National</v>
      </c>
      <c r="R11" s="294" t="str">
        <f>_xlfn.TEXTJOIN("",TRUE,,LEFT(SETUP!B$3,1),"-",COMM!E36,"_",SETUP!$B$64)</f>
        <v>R-RSDDW_X0</v>
      </c>
      <c r="S11" s="294" t="str">
        <f>_xlfn.TEXTJOIN(" ",TRUE,COMM!F36,"Technology")</f>
        <v>Residential Dish Washing Demand Technology</v>
      </c>
      <c r="T11" s="294" t="s">
        <v>13</v>
      </c>
      <c r="U11" s="294" t="s">
        <v>275</v>
      </c>
      <c r="V11" s="294"/>
      <c r="W11" s="294"/>
    </row>
    <row r="12" spans="2:23" ht="15">
      <c r="B12" s="823" t="str">
        <f>_xlfn.TEXTJOIN(",",TRUE,IF(LEFT(Regions!$C$3,1)&lt;&gt;"*",Regions!$C$3,""),IF(LEFT(Regions!$D$3,1)&lt;&gt;"*",Regions!$D$3,""))</f>
        <v>IE,National</v>
      </c>
      <c r="C12" s="824" t="str">
        <f t="shared" si="5"/>
        <v>R-RSDOE_X0</v>
      </c>
      <c r="D12" s="825" t="str">
        <f t="shared" si="5"/>
        <v>Residential ELC Appliances Demand Technology</v>
      </c>
      <c r="E12" s="825" t="str">
        <f>COMM!$E$24</f>
        <v>RSDELC</v>
      </c>
      <c r="F12" s="824" t="str">
        <f>COMM!E37</f>
        <v>RSDOE</v>
      </c>
      <c r="G12" s="826">
        <f>DwellingStocks!$L$28/1000*1</f>
        <v>1735.2913349999997</v>
      </c>
      <c r="H12" s="824">
        <v>0.85</v>
      </c>
      <c r="I12" s="827">
        <f>L12/G12/K12</f>
        <v>0.93569571451266109</v>
      </c>
      <c r="J12" s="825">
        <v>10</v>
      </c>
      <c r="K12" s="824">
        <f t="shared" si="1"/>
        <v>5.6764799999999994E-3</v>
      </c>
      <c r="L12" s="824">
        <f t="shared" si="0"/>
        <v>9.2169270601309012</v>
      </c>
      <c r="M12" s="828">
        <f>RSD_Balance!W26</f>
        <v>10.843443600154002</v>
      </c>
      <c r="N12" s="815">
        <v>0.18</v>
      </c>
      <c r="P12" s="395" t="s">
        <v>266</v>
      </c>
      <c r="Q12" s="395" t="str">
        <f>_xlfn.TEXTJOIN(",",TRUE,IF(LEFT(Regions!$C$3,1)&lt;&gt;"*",Regions!$C$3,""),IF(LEFT(Regions!$D$3,1)&lt;&gt;"*",Regions!$D$3,""))</f>
        <v>IE,National</v>
      </c>
      <c r="R12" s="395" t="str">
        <f>_xlfn.TEXTJOIN("",TRUE,,LEFT(SETUP!B$3,1),"-",COMM!E37,"_",SETUP!$B$64)</f>
        <v>R-RSDOE_X0</v>
      </c>
      <c r="S12" s="395" t="str">
        <f>_xlfn.TEXTJOIN(" ",TRUE,COMM!F37,"Technology")</f>
        <v>Residential ELC Appliances Demand Technology</v>
      </c>
      <c r="T12" s="810" t="s">
        <v>13</v>
      </c>
      <c r="U12" s="395" t="s">
        <v>275</v>
      </c>
      <c r="V12" s="810"/>
      <c r="W12" s="395"/>
    </row>
    <row r="13" spans="2:23" ht="15">
      <c r="B13" s="819" t="str">
        <f>_xlfn.TEXTJOIN(",",TRUE,IF(LEFT(Regions!$C$3,1)&lt;&gt;"*",Regions!$C$3,""),IF(LEFT(Regions!$D$3,1)&lt;&gt;"*",Regions!$D$3,""))</f>
        <v>IE,National</v>
      </c>
      <c r="C13" s="817" t="str">
        <f t="shared" si="5"/>
        <v>R-RSDOA_X0</v>
      </c>
      <c r="D13" s="817" t="str">
        <f t="shared" si="5"/>
        <v>Residential Other Applications Demand Technology</v>
      </c>
      <c r="E13" s="817" t="str">
        <f>COMM!$E$24</f>
        <v>RSDELC</v>
      </c>
      <c r="F13" s="817" t="str">
        <f>COMM!E38</f>
        <v>RSDOA</v>
      </c>
      <c r="G13" s="818">
        <f>DwellingStocks!$L$28/1000*1</f>
        <v>1735.2913349999997</v>
      </c>
      <c r="H13" s="817">
        <v>0.85</v>
      </c>
      <c r="I13" s="820">
        <f>L13/G13/K13</f>
        <v>0</v>
      </c>
      <c r="J13" s="821">
        <v>10</v>
      </c>
      <c r="K13" s="830">
        <f t="shared" si="1"/>
        <v>5.6764799999999994E-3</v>
      </c>
      <c r="L13" s="818">
        <f t="shared" si="0"/>
        <v>0</v>
      </c>
      <c r="M13" s="822">
        <v>0</v>
      </c>
      <c r="N13" s="816">
        <v>0.18</v>
      </c>
      <c r="P13" s="294" t="s">
        <v>266</v>
      </c>
      <c r="Q13" s="294" t="str">
        <f>_xlfn.TEXTJOIN(",",TRUE,IF(LEFT(Regions!$C$3,1)&lt;&gt;"*",Regions!$C$3,""),IF(LEFT(Regions!$D$3,1)&lt;&gt;"*",Regions!$D$3,""))</f>
        <v>IE,National</v>
      </c>
      <c r="R13" s="294" t="str">
        <f>_xlfn.TEXTJOIN("",TRUE,,LEFT(SETUP!B$3,1),"-",COMM!E38,"_",SETUP!$B$64)</f>
        <v>R-RSDOA_X0</v>
      </c>
      <c r="S13" s="294" t="str">
        <f>_xlfn.TEXTJOIN(" ",TRUE,COMM!F38,"Technology")</f>
        <v>Residential Other Applications Demand Technology</v>
      </c>
      <c r="T13" s="294" t="s">
        <v>13</v>
      </c>
      <c r="U13" s="294" t="s">
        <v>275</v>
      </c>
      <c r="V13" s="294"/>
      <c r="W13" s="294"/>
    </row>
    <row r="14" spans="2:23" ht="15.75"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4"/>
      <c r="P14" s="829"/>
      <c r="Q14" s="829"/>
      <c r="R14" s="829"/>
      <c r="S14" s="26"/>
      <c r="T14" s="26"/>
      <c r="U14" s="26"/>
      <c r="V14" s="26"/>
      <c r="W14" s="26"/>
    </row>
    <row r="15" spans="2:23" ht="15">
      <c r="O15" s="364"/>
      <c r="P15" s="364"/>
      <c r="Q15" s="364"/>
      <c r="R15" s="364"/>
      <c r="S15" s="364"/>
      <c r="T15" s="364"/>
    </row>
    <row r="16" spans="2:23" ht="15">
      <c r="M16" s="58"/>
      <c r="N16" s="58"/>
      <c r="O16" s="364"/>
      <c r="P16" s="364"/>
      <c r="Q16" s="364"/>
      <c r="R16" s="364"/>
    </row>
    <row r="17" spans="2:18" ht="18.75">
      <c r="B17" s="1113" t="s">
        <v>618</v>
      </c>
      <c r="C17" s="1113"/>
      <c r="D17" s="1113"/>
      <c r="E17" s="1113"/>
      <c r="F17" s="1113"/>
      <c r="G17" s="1113"/>
      <c r="O17" s="364"/>
      <c r="P17" s="364"/>
      <c r="Q17" s="364"/>
    </row>
    <row r="18" spans="2:18" ht="15.75" thickBot="1">
      <c r="O18" s="364"/>
      <c r="P18" s="364"/>
      <c r="Q18" s="364"/>
    </row>
    <row r="19" spans="2:18" ht="21.75" thickBot="1">
      <c r="B19" s="49" t="s">
        <v>277</v>
      </c>
      <c r="C19" s="49"/>
      <c r="D19" s="49"/>
      <c r="E19" s="19" t="s">
        <v>770</v>
      </c>
      <c r="F19" s="19"/>
      <c r="G19" s="19"/>
      <c r="O19" s="364"/>
      <c r="P19" s="364"/>
      <c r="Q19" s="1130" t="s">
        <v>826</v>
      </c>
      <c r="R19" s="1131"/>
    </row>
    <row r="20" spans="2:18" ht="15">
      <c r="B20" s="259" t="s">
        <v>766</v>
      </c>
      <c r="C20" s="259" t="s">
        <v>232</v>
      </c>
      <c r="D20" s="259" t="s">
        <v>278</v>
      </c>
      <c r="E20" s="259" t="s">
        <v>279</v>
      </c>
      <c r="F20" s="362">
        <v>2018</v>
      </c>
      <c r="G20" s="259" t="s">
        <v>280</v>
      </c>
      <c r="O20" s="364"/>
      <c r="P20" s="364"/>
      <c r="Q20" s="922" t="s">
        <v>865</v>
      </c>
      <c r="R20" s="926">
        <v>0.75888</v>
      </c>
    </row>
    <row r="21" spans="2:18" ht="15">
      <c r="B21" s="363" t="str">
        <f>_xlfn.TEXTJOIN(",",TRUE,IF(LEFT(Regions!$C$3,1)&lt;&gt;"*",Regions!$C$3,""),IF(LEFT(Regions!$D$3,1)&lt;&gt;"*",Regions!$D$3,""))</f>
        <v>IE,National</v>
      </c>
      <c r="C21" s="363" t="str">
        <f>COMM!E32</f>
        <v>RSDRF</v>
      </c>
      <c r="D21" s="363" t="str">
        <f>COMM!F32</f>
        <v>Residential Refrigeration Demand</v>
      </c>
      <c r="E21" s="363" t="s">
        <v>282</v>
      </c>
      <c r="F21" s="366">
        <f>L5</f>
        <v>1.1544546193487999</v>
      </c>
      <c r="G21" s="363" t="s">
        <v>275</v>
      </c>
      <c r="O21" s="364"/>
      <c r="P21" s="364"/>
      <c r="Q21" s="923" t="s">
        <v>852</v>
      </c>
      <c r="R21" s="925">
        <v>0.22769700000000001</v>
      </c>
    </row>
    <row r="22" spans="2:18" ht="15.75" thickBot="1">
      <c r="B22" s="361" t="str">
        <f>_xlfn.TEXTJOIN(",",TRUE,IF(LEFT(Regions!$C$3,1)&lt;&gt;"*",Regions!$C$3,""),IF(LEFT(Regions!$D$3,1)&lt;&gt;"*",Regions!$D$3,""))</f>
        <v>IE,National</v>
      </c>
      <c r="C22" s="361" t="str">
        <f>COMM!E33</f>
        <v>RSDCK</v>
      </c>
      <c r="D22" s="361" t="str">
        <f>COMM!F33</f>
        <v>Residential Cooking Demand</v>
      </c>
      <c r="E22" s="361" t="s">
        <v>282</v>
      </c>
      <c r="F22" s="367">
        <f>SUM(L6:L8)</f>
        <v>2.0006897535500086</v>
      </c>
      <c r="G22" s="361" t="s">
        <v>275</v>
      </c>
      <c r="O22" s="364"/>
      <c r="P22" s="364"/>
      <c r="Q22" s="924" t="s">
        <v>776</v>
      </c>
      <c r="R22" s="927">
        <v>1.3422788999999999E-2</v>
      </c>
    </row>
    <row r="23" spans="2:18" ht="15">
      <c r="B23" s="363" t="str">
        <f>_xlfn.TEXTJOIN(",",TRUE,IF(LEFT(Regions!$C$3,1)&lt;&gt;"*",Regions!$C$3,""),IF(LEFT(Regions!$D$3,1)&lt;&gt;"*",Regions!$D$3,""))</f>
        <v>IE,National</v>
      </c>
      <c r="C23" s="363" t="str">
        <f>COMM!E34</f>
        <v>RSDCW</v>
      </c>
      <c r="D23" s="363" t="str">
        <f>COMM!F34</f>
        <v>Residential Cloth Washing Demand</v>
      </c>
      <c r="E23" s="363" t="s">
        <v>282</v>
      </c>
      <c r="F23" s="366">
        <f>L9</f>
        <v>0.78876799986757473</v>
      </c>
      <c r="G23" s="363" t="s">
        <v>275</v>
      </c>
      <c r="O23" s="364"/>
      <c r="P23" s="364"/>
      <c r="Q23" s="364"/>
    </row>
    <row r="24" spans="2:18" ht="15">
      <c r="B24" s="361" t="str">
        <f>_xlfn.TEXTJOIN(",",TRUE,IF(LEFT(Regions!$C$3,1)&lt;&gt;"*",Regions!$C$3,""),IF(LEFT(Regions!$D$3,1)&lt;&gt;"*",Regions!$D$3,""))</f>
        <v>IE,National</v>
      </c>
      <c r="C24" s="361" t="str">
        <f>COMM!E35</f>
        <v>RSDCD</v>
      </c>
      <c r="D24" s="361" t="str">
        <f>COMM!F35</f>
        <v>Residential Cloth Drying Demand</v>
      </c>
      <c r="E24" s="361" t="s">
        <v>282</v>
      </c>
      <c r="F24" s="367">
        <f>L10</f>
        <v>1.0516931653096222</v>
      </c>
      <c r="G24" s="361" t="s">
        <v>275</v>
      </c>
      <c r="O24" s="364"/>
      <c r="P24" s="364"/>
      <c r="Q24" s="364"/>
    </row>
    <row r="25" spans="2:18" ht="15">
      <c r="B25" s="363" t="str">
        <f>_xlfn.TEXTJOIN(",",TRUE,IF(LEFT(Regions!$C$3,1)&lt;&gt;"*",Regions!$C$3,""),IF(LEFT(Regions!$D$3,1)&lt;&gt;"*",Regions!$D$3,""))</f>
        <v>IE,National</v>
      </c>
      <c r="C25" s="363" t="str">
        <f>COMM!E36</f>
        <v>RSDDW</v>
      </c>
      <c r="D25" s="363" t="str">
        <f>COMM!F36</f>
        <v>Residential Dish Washing Demand</v>
      </c>
      <c r="E25" s="363" t="s">
        <v>282</v>
      </c>
      <c r="F25" s="366">
        <f>L11</f>
        <v>0.8487865212712199</v>
      </c>
      <c r="G25" s="363" t="s">
        <v>275</v>
      </c>
      <c r="O25" s="364"/>
      <c r="P25" s="364"/>
      <c r="Q25" s="364"/>
    </row>
    <row r="26" spans="2:18" ht="15">
      <c r="B26" s="361" t="str">
        <f>_xlfn.TEXTJOIN(",",TRUE,IF(LEFT(Regions!$C$3,1)&lt;&gt;"*",Regions!$C$3,""),IF(LEFT(Regions!$D$3,1)&lt;&gt;"*",Regions!$D$3,""))</f>
        <v>IE,National</v>
      </c>
      <c r="C26" s="361" t="str">
        <f>COMM!E37</f>
        <v>RSDOE</v>
      </c>
      <c r="D26" s="361" t="str">
        <f>COMM!F37</f>
        <v>Residential ELC Appliances Demand</v>
      </c>
      <c r="E26" s="361" t="s">
        <v>282</v>
      </c>
      <c r="F26" s="367">
        <f>L12</f>
        <v>9.2169270601309012</v>
      </c>
      <c r="G26" s="361" t="s">
        <v>275</v>
      </c>
      <c r="O26" s="364"/>
      <c r="P26" s="364"/>
      <c r="Q26" s="364"/>
    </row>
    <row r="27" spans="2:18" ht="15">
      <c r="B27" s="363" t="str">
        <f>_xlfn.TEXTJOIN(",",TRUE,IF(LEFT(Regions!$C$3,1)&lt;&gt;"*",Regions!$C$3,""),IF(LEFT(Regions!$D$3,1)&lt;&gt;"*",Regions!$D$3,""))</f>
        <v>IE,National</v>
      </c>
      <c r="C27" s="363" t="str">
        <f>COMM!E38</f>
        <v>RSDOA</v>
      </c>
      <c r="D27" s="363" t="str">
        <f>COMM!F38</f>
        <v>Residential Other Applications Demand</v>
      </c>
      <c r="E27" s="363" t="s">
        <v>282</v>
      </c>
      <c r="F27" s="366">
        <f>L13</f>
        <v>0</v>
      </c>
      <c r="G27" s="363" t="s">
        <v>275</v>
      </c>
      <c r="O27" s="364"/>
      <c r="P27" s="364"/>
      <c r="Q27" s="364"/>
    </row>
    <row r="28" spans="2:18" ht="15">
      <c r="O28" s="364"/>
      <c r="P28" s="364"/>
      <c r="Q28" s="364"/>
    </row>
    <row r="29" spans="2:18" ht="15">
      <c r="C29" s="364"/>
      <c r="D29" s="364"/>
      <c r="E29" s="364"/>
      <c r="F29" s="364"/>
      <c r="G29" s="364"/>
      <c r="H29" s="364"/>
      <c r="I29" s="364"/>
      <c r="J29" s="364"/>
      <c r="K29" s="364"/>
      <c r="L29" s="364"/>
      <c r="M29" s="364"/>
      <c r="N29" s="364"/>
      <c r="O29" s="364"/>
      <c r="P29" s="364"/>
      <c r="Q29" s="364"/>
      <c r="R29" s="364"/>
    </row>
    <row r="30" spans="2:18" ht="15">
      <c r="C30" s="364"/>
      <c r="D30" s="364"/>
      <c r="E30" s="364"/>
      <c r="F30" s="364"/>
      <c r="G30" s="364"/>
      <c r="H30" s="364"/>
      <c r="I30" s="364"/>
      <c r="J30" s="364"/>
      <c r="K30" s="364"/>
      <c r="L30" s="364"/>
      <c r="M30" s="364"/>
      <c r="N30" s="364"/>
      <c r="O30" s="364"/>
      <c r="P30" s="364"/>
      <c r="Q30" s="364"/>
      <c r="R30" s="364"/>
    </row>
    <row r="31" spans="2:18" ht="15">
      <c r="C31" s="364"/>
      <c r="D31" s="364"/>
      <c r="E31" s="364"/>
      <c r="F31" s="364"/>
      <c r="G31" s="364"/>
      <c r="H31" s="364"/>
      <c r="I31" s="364"/>
      <c r="J31" s="364"/>
      <c r="K31" s="364"/>
      <c r="L31" s="364"/>
      <c r="M31" s="364"/>
      <c r="N31" s="364"/>
      <c r="O31" s="364"/>
      <c r="P31" s="364"/>
      <c r="Q31" s="364"/>
      <c r="R31" s="364"/>
    </row>
    <row r="32" spans="2:18" ht="15">
      <c r="C32" s="364"/>
      <c r="D32" s="364"/>
      <c r="E32" s="364"/>
      <c r="F32" s="364"/>
      <c r="G32" s="364"/>
      <c r="H32" s="364"/>
      <c r="I32" s="364"/>
      <c r="J32" s="364"/>
      <c r="K32" s="364"/>
      <c r="L32" s="364"/>
      <c r="M32" s="364"/>
      <c r="N32" s="364"/>
      <c r="O32" s="364"/>
      <c r="P32" s="364"/>
      <c r="Q32" s="364"/>
      <c r="R32" s="364"/>
    </row>
    <row r="33" spans="3:18" ht="15">
      <c r="C33" s="364"/>
      <c r="D33" s="364"/>
      <c r="E33" s="364"/>
      <c r="F33" s="364"/>
      <c r="G33" s="364"/>
      <c r="H33" s="364"/>
      <c r="I33" s="364"/>
      <c r="J33" s="364"/>
      <c r="K33" s="364"/>
      <c r="L33" s="364"/>
      <c r="M33" s="364"/>
      <c r="N33" s="364"/>
      <c r="O33" s="364"/>
      <c r="P33" s="364"/>
      <c r="Q33" s="364"/>
      <c r="R33" s="364"/>
    </row>
    <row r="34" spans="3:18" ht="15">
      <c r="C34" s="364"/>
      <c r="D34" s="364"/>
      <c r="E34" s="364"/>
      <c r="F34" s="364"/>
      <c r="G34" s="364"/>
      <c r="H34" s="364"/>
      <c r="I34" s="364"/>
      <c r="J34" s="364"/>
      <c r="K34" s="364"/>
      <c r="L34" s="364"/>
      <c r="M34" s="364"/>
      <c r="N34" s="364"/>
      <c r="O34" s="364"/>
      <c r="P34" s="364"/>
      <c r="Q34" s="364"/>
      <c r="R34" s="364"/>
    </row>
    <row r="35" spans="3:18" ht="15">
      <c r="C35" s="364"/>
      <c r="D35" s="364"/>
      <c r="E35" s="364"/>
      <c r="F35" s="364"/>
      <c r="G35" s="364"/>
      <c r="H35" s="364"/>
      <c r="I35" s="364"/>
      <c r="J35" s="364"/>
      <c r="K35" s="364"/>
      <c r="L35" s="364"/>
      <c r="M35" s="364"/>
      <c r="N35" s="364"/>
      <c r="O35" s="364"/>
      <c r="P35" s="364"/>
      <c r="Q35" s="364"/>
      <c r="R35" s="364"/>
    </row>
    <row r="36" spans="3:18" ht="15">
      <c r="C36" s="364"/>
      <c r="D36" s="364"/>
      <c r="E36" s="364"/>
      <c r="F36" s="364"/>
      <c r="G36" s="364"/>
      <c r="H36" s="364"/>
      <c r="I36" s="364"/>
      <c r="J36" s="364"/>
      <c r="K36" s="364"/>
      <c r="L36" s="364"/>
      <c r="M36" s="364"/>
      <c r="N36" s="364"/>
      <c r="O36" s="364"/>
      <c r="P36" s="364"/>
      <c r="Q36" s="364"/>
      <c r="R36" s="364"/>
    </row>
    <row r="37" spans="3:18" ht="15">
      <c r="C37" s="364"/>
      <c r="D37" s="364"/>
      <c r="E37" s="364"/>
      <c r="F37" s="364"/>
      <c r="G37" s="364"/>
      <c r="H37" s="364"/>
      <c r="I37" s="364"/>
      <c r="J37" s="364"/>
      <c r="K37" s="364"/>
      <c r="L37" s="364"/>
      <c r="M37" s="364"/>
      <c r="N37" s="364"/>
      <c r="O37" s="364"/>
      <c r="P37" s="364"/>
      <c r="Q37" s="364"/>
      <c r="R37" s="364"/>
    </row>
    <row r="38" spans="3:18" ht="15">
      <c r="C38" s="364"/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</row>
    <row r="39" spans="3:18" ht="15">
      <c r="C39" s="364"/>
      <c r="D39" s="364"/>
      <c r="E39" s="364"/>
      <c r="F39" s="364"/>
      <c r="G39" s="364"/>
      <c r="H39" s="364"/>
      <c r="I39" s="364"/>
      <c r="J39" s="364"/>
      <c r="K39" s="364"/>
      <c r="L39" s="364"/>
      <c r="M39" s="364"/>
      <c r="N39" s="364"/>
      <c r="O39" s="364"/>
      <c r="P39" s="364"/>
      <c r="Q39" s="364"/>
      <c r="R39" s="364"/>
    </row>
    <row r="40" spans="3:18" ht="15">
      <c r="C40" s="364"/>
      <c r="D40" s="364"/>
      <c r="E40" s="364"/>
      <c r="F40" s="364"/>
      <c r="G40" s="364"/>
      <c r="H40" s="364"/>
      <c r="I40" s="364"/>
      <c r="J40" s="364"/>
      <c r="K40" s="364"/>
      <c r="L40" s="364"/>
      <c r="M40" s="364"/>
      <c r="N40" s="364"/>
      <c r="O40" s="364"/>
      <c r="P40" s="364"/>
      <c r="Q40" s="364"/>
      <c r="R40" s="364"/>
    </row>
    <row r="41" spans="3:18" ht="15">
      <c r="C41" s="364"/>
      <c r="D41" s="364"/>
      <c r="E41" s="364"/>
      <c r="F41" s="364"/>
      <c r="G41" s="364"/>
      <c r="H41" s="364"/>
      <c r="I41" s="364"/>
      <c r="J41" s="364"/>
      <c r="K41" s="364"/>
      <c r="L41" s="364"/>
      <c r="M41" s="364"/>
      <c r="N41" s="364"/>
      <c r="O41" s="364"/>
      <c r="P41" s="364"/>
      <c r="Q41" s="364"/>
      <c r="R41" s="364"/>
    </row>
    <row r="42" spans="3:18" ht="15">
      <c r="C42" s="364"/>
      <c r="D42" s="364"/>
      <c r="E42" s="364"/>
      <c r="F42" s="364"/>
      <c r="G42" s="364"/>
      <c r="H42" s="364"/>
      <c r="I42" s="364"/>
      <c r="J42" s="364"/>
      <c r="K42" s="364"/>
      <c r="L42" s="364"/>
      <c r="M42" s="364"/>
      <c r="N42" s="364"/>
      <c r="O42" s="364"/>
      <c r="P42" s="364"/>
      <c r="Q42" s="364"/>
      <c r="R42" s="364"/>
    </row>
    <row r="43" spans="3:18" ht="15">
      <c r="C43" s="364"/>
      <c r="D43" s="364"/>
      <c r="E43" s="364"/>
      <c r="F43" s="364"/>
      <c r="G43" s="364"/>
      <c r="H43" s="364"/>
      <c r="I43" s="364"/>
      <c r="J43" s="364"/>
      <c r="K43" s="364"/>
      <c r="L43" s="364"/>
      <c r="M43" s="364"/>
      <c r="N43" s="364"/>
      <c r="O43" s="364"/>
      <c r="P43" s="364"/>
      <c r="Q43" s="364"/>
      <c r="R43" s="364"/>
    </row>
    <row r="44" spans="3:18" ht="15">
      <c r="C44" s="364"/>
      <c r="D44" s="364"/>
      <c r="E44" s="364"/>
      <c r="F44" s="364"/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/>
      <c r="R44" s="364"/>
    </row>
    <row r="45" spans="3:18" ht="15">
      <c r="C45" s="364"/>
      <c r="D45" s="364"/>
      <c r="E45" s="364"/>
      <c r="F45" s="364"/>
      <c r="G45" s="364"/>
      <c r="H45" s="364"/>
      <c r="I45" s="364"/>
      <c r="J45" s="364"/>
      <c r="K45" s="364"/>
      <c r="L45" s="364"/>
      <c r="M45" s="364"/>
      <c r="N45" s="364"/>
      <c r="O45" s="364"/>
      <c r="P45" s="364"/>
      <c r="Q45" s="364"/>
      <c r="R45" s="364"/>
    </row>
    <row r="46" spans="3:18" ht="15">
      <c r="C46" s="364"/>
      <c r="D46" s="364"/>
      <c r="E46" s="364"/>
      <c r="F46" s="364"/>
      <c r="G46" s="364"/>
      <c r="H46" s="364"/>
      <c r="I46" s="364"/>
      <c r="J46" s="364"/>
      <c r="K46" s="364"/>
      <c r="L46" s="364"/>
      <c r="M46" s="364"/>
      <c r="N46" s="364"/>
      <c r="O46" s="364"/>
      <c r="P46" s="364"/>
      <c r="Q46" s="364"/>
      <c r="R46" s="364"/>
    </row>
    <row r="47" spans="3:18" ht="15">
      <c r="C47" s="364"/>
      <c r="D47" s="364"/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/>
      <c r="Q47" s="364"/>
      <c r="R47" s="364"/>
    </row>
    <row r="48" spans="3:18" ht="15">
      <c r="C48" s="364"/>
      <c r="D48" s="364"/>
      <c r="E48" s="364"/>
      <c r="F48" s="364"/>
      <c r="G48" s="364"/>
      <c r="H48" s="364"/>
      <c r="I48" s="364"/>
      <c r="J48" s="364"/>
      <c r="K48" s="364"/>
      <c r="L48" s="364"/>
      <c r="M48" s="364"/>
      <c r="N48" s="364"/>
      <c r="O48" s="364"/>
      <c r="P48" s="364"/>
      <c r="Q48" s="364"/>
      <c r="R48" s="364"/>
    </row>
    <row r="49" spans="3:18" ht="15">
      <c r="C49" s="364"/>
      <c r="D49" s="364"/>
      <c r="E49" s="364"/>
      <c r="F49" s="364"/>
      <c r="G49" s="364"/>
      <c r="H49" s="364"/>
      <c r="I49" s="364"/>
      <c r="J49" s="364"/>
      <c r="K49" s="364"/>
      <c r="L49" s="364"/>
      <c r="M49" s="364"/>
      <c r="N49" s="364"/>
      <c r="O49" s="364"/>
      <c r="P49" s="364"/>
      <c r="Q49" s="364"/>
      <c r="R49" s="364"/>
    </row>
    <row r="50" spans="3:18" ht="15">
      <c r="C50" s="364"/>
      <c r="E50" s="364"/>
      <c r="F50" s="364"/>
      <c r="G50" s="364"/>
      <c r="H50" s="364"/>
      <c r="I50" s="364"/>
      <c r="J50" s="364"/>
      <c r="K50" s="364"/>
      <c r="L50" s="364"/>
      <c r="M50" s="364"/>
      <c r="N50" s="364"/>
      <c r="O50" s="364"/>
      <c r="P50" s="364"/>
      <c r="Q50" s="364"/>
      <c r="R50" s="364"/>
    </row>
    <row r="51" spans="3:18" ht="15">
      <c r="C51" s="364"/>
      <c r="D51" s="364"/>
      <c r="E51" s="364"/>
      <c r="F51" s="364"/>
      <c r="G51" s="364"/>
      <c r="H51" s="364"/>
      <c r="I51" s="364"/>
      <c r="J51" s="364"/>
      <c r="K51" s="364"/>
      <c r="L51" s="364"/>
      <c r="M51" s="364"/>
      <c r="N51" s="364"/>
      <c r="O51" s="364"/>
      <c r="P51" s="364"/>
      <c r="Q51" s="364"/>
      <c r="R51" s="364"/>
    </row>
    <row r="52" spans="3:18" ht="15">
      <c r="C52" s="364"/>
      <c r="D52" s="364"/>
      <c r="E52" s="364"/>
      <c r="F52" s="364"/>
      <c r="G52" s="364"/>
      <c r="H52" s="364"/>
      <c r="I52" s="364"/>
      <c r="J52" s="364"/>
      <c r="K52" s="364"/>
      <c r="L52" s="364"/>
      <c r="M52" s="364"/>
      <c r="N52" s="364"/>
      <c r="O52" s="364"/>
      <c r="P52" s="364"/>
      <c r="Q52" s="364"/>
      <c r="R52" s="364"/>
    </row>
    <row r="53" spans="3:18" ht="15">
      <c r="C53" s="364"/>
      <c r="D53" s="364"/>
      <c r="E53" s="364"/>
      <c r="F53" s="364"/>
      <c r="G53" s="364"/>
      <c r="H53" s="364"/>
      <c r="I53" s="364"/>
      <c r="J53" s="364"/>
      <c r="K53" s="364"/>
      <c r="L53" s="364"/>
      <c r="M53" s="364"/>
      <c r="N53" s="364"/>
      <c r="O53" s="364"/>
      <c r="P53" s="364"/>
      <c r="Q53" s="364"/>
      <c r="R53" s="364"/>
    </row>
    <row r="54" spans="3:18" ht="15">
      <c r="C54" s="364"/>
      <c r="D54" s="364"/>
      <c r="E54" s="364"/>
      <c r="F54" s="364"/>
      <c r="G54" s="364"/>
      <c r="H54" s="364"/>
      <c r="I54" s="364"/>
      <c r="J54" s="364"/>
      <c r="K54" s="364"/>
      <c r="L54" s="364"/>
      <c r="M54" s="364"/>
      <c r="N54" s="364"/>
      <c r="O54" s="364"/>
      <c r="P54" s="364"/>
      <c r="Q54" s="364"/>
      <c r="R54" s="364"/>
    </row>
    <row r="55" spans="3:18" ht="15">
      <c r="C55" s="364"/>
      <c r="D55" s="364"/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/>
      <c r="Q55" s="364"/>
      <c r="R55" s="364"/>
    </row>
    <row r="56" spans="3:18" ht="15">
      <c r="C56" s="364"/>
      <c r="D56" s="364"/>
      <c r="E56" s="364"/>
      <c r="F56" s="364"/>
      <c r="G56" s="364"/>
      <c r="H56" s="364"/>
      <c r="I56" s="364"/>
      <c r="J56" s="364"/>
      <c r="K56" s="364"/>
      <c r="L56" s="364"/>
      <c r="M56" s="364"/>
      <c r="N56" s="364"/>
      <c r="O56" s="364"/>
      <c r="P56" s="364"/>
      <c r="Q56" s="364"/>
      <c r="R56" s="364"/>
    </row>
    <row r="57" spans="3:18" ht="15">
      <c r="C57" s="364"/>
      <c r="D57" s="364"/>
      <c r="E57" s="364"/>
      <c r="F57" s="364"/>
      <c r="G57" s="364"/>
      <c r="H57" s="364"/>
      <c r="I57" s="364"/>
      <c r="J57" s="364"/>
      <c r="K57" s="364"/>
      <c r="L57" s="364"/>
      <c r="M57" s="364"/>
      <c r="N57" s="364"/>
      <c r="O57" s="364"/>
      <c r="P57" s="364"/>
      <c r="Q57" s="364"/>
      <c r="R57" s="364"/>
    </row>
    <row r="58" spans="3:18" ht="15">
      <c r="C58" s="364"/>
      <c r="D58" s="364"/>
      <c r="E58" s="364"/>
      <c r="F58" s="364"/>
      <c r="G58" s="364"/>
      <c r="H58" s="364"/>
      <c r="I58" s="364"/>
      <c r="J58" s="364"/>
      <c r="K58" s="364"/>
      <c r="L58" s="364"/>
      <c r="M58" s="364"/>
      <c r="N58" s="364"/>
      <c r="O58" s="364"/>
      <c r="P58" s="364"/>
      <c r="Q58" s="364"/>
      <c r="R58" s="364"/>
    </row>
    <row r="59" spans="3:18" ht="15">
      <c r="C59" s="364"/>
      <c r="D59" s="364"/>
      <c r="E59" s="364"/>
      <c r="F59" s="364"/>
      <c r="G59" s="364"/>
      <c r="H59" s="364"/>
      <c r="I59" s="364"/>
      <c r="J59" s="364"/>
      <c r="K59" s="364"/>
      <c r="L59" s="364"/>
      <c r="M59" s="364"/>
      <c r="N59" s="364"/>
      <c r="O59" s="364"/>
      <c r="P59" s="364"/>
      <c r="Q59" s="364"/>
      <c r="R59" s="364"/>
    </row>
    <row r="60" spans="3:18" ht="15">
      <c r="C60" s="364"/>
      <c r="D60" s="364"/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/>
      <c r="Q60" s="364"/>
      <c r="R60" s="364"/>
    </row>
    <row r="61" spans="3:18" ht="15">
      <c r="C61" s="364"/>
      <c r="D61" s="364"/>
      <c r="E61" s="364"/>
      <c r="F61" s="364"/>
      <c r="G61" s="364"/>
      <c r="H61" s="364"/>
      <c r="I61" s="364"/>
      <c r="J61" s="364"/>
      <c r="K61" s="364"/>
      <c r="L61" s="364"/>
      <c r="M61" s="364"/>
      <c r="N61" s="364"/>
      <c r="O61" s="364"/>
      <c r="P61" s="364"/>
      <c r="Q61" s="364"/>
      <c r="R61" s="364"/>
    </row>
    <row r="62" spans="3:18" ht="15">
      <c r="C62" s="364"/>
      <c r="D62" s="364"/>
      <c r="E62" s="364"/>
      <c r="F62" s="364"/>
      <c r="G62" s="364"/>
      <c r="H62" s="364"/>
      <c r="I62" s="364"/>
      <c r="J62" s="364"/>
      <c r="K62" s="364"/>
      <c r="L62" s="364"/>
      <c r="M62" s="364"/>
      <c r="N62" s="364"/>
      <c r="O62" s="364"/>
      <c r="P62" s="364"/>
      <c r="Q62" s="364"/>
      <c r="R62" s="364"/>
    </row>
    <row r="63" spans="3:18" ht="15">
      <c r="C63" s="364"/>
      <c r="D63" s="364"/>
      <c r="E63" s="364"/>
      <c r="F63" s="364"/>
      <c r="G63" s="364"/>
      <c r="H63" s="364"/>
      <c r="I63" s="364"/>
      <c r="J63" s="364"/>
      <c r="K63" s="364"/>
      <c r="L63" s="364"/>
      <c r="M63" s="364"/>
      <c r="N63" s="364"/>
      <c r="O63" s="364"/>
      <c r="P63" s="364"/>
      <c r="Q63" s="364"/>
      <c r="R63" s="364"/>
    </row>
    <row r="64" spans="3:18" ht="15">
      <c r="C64" s="364"/>
      <c r="D64" s="364"/>
      <c r="E64" s="364"/>
      <c r="F64" s="364"/>
      <c r="G64" s="364"/>
      <c r="H64" s="364"/>
      <c r="I64" s="364"/>
      <c r="J64" s="364"/>
      <c r="K64" s="364"/>
      <c r="L64" s="364"/>
      <c r="M64" s="364"/>
      <c r="N64" s="364"/>
      <c r="O64" s="364"/>
      <c r="P64" s="364"/>
      <c r="Q64" s="364"/>
      <c r="R64" s="364"/>
    </row>
    <row r="65" spans="3:18" ht="15">
      <c r="C65" s="364"/>
      <c r="D65" s="364"/>
      <c r="E65" s="364"/>
      <c r="F65" s="364"/>
      <c r="G65" s="364"/>
      <c r="H65" s="364"/>
      <c r="I65" s="364"/>
      <c r="J65" s="364"/>
      <c r="K65" s="364"/>
      <c r="L65" s="364"/>
      <c r="M65" s="364"/>
      <c r="N65" s="364"/>
      <c r="O65" s="364"/>
      <c r="P65" s="364"/>
      <c r="Q65" s="364"/>
      <c r="R65" s="364"/>
    </row>
    <row r="66" spans="3:18" ht="15">
      <c r="C66" s="364"/>
      <c r="D66" s="364"/>
      <c r="E66" s="364"/>
      <c r="F66" s="364"/>
      <c r="G66" s="364"/>
      <c r="H66" s="364"/>
      <c r="I66" s="364"/>
      <c r="J66" s="364"/>
      <c r="K66" s="364"/>
      <c r="L66" s="364"/>
      <c r="M66" s="364"/>
      <c r="N66" s="364"/>
      <c r="O66" s="364"/>
      <c r="P66" s="364"/>
      <c r="Q66" s="364"/>
      <c r="R66" s="364"/>
    </row>
    <row r="67" spans="3:18" ht="15">
      <c r="C67" s="364"/>
      <c r="D67" s="364"/>
      <c r="E67" s="364"/>
      <c r="F67" s="364"/>
      <c r="G67" s="364"/>
      <c r="H67" s="364"/>
      <c r="I67" s="364"/>
      <c r="J67" s="364"/>
      <c r="K67" s="364"/>
      <c r="L67" s="364"/>
      <c r="M67" s="364"/>
      <c r="N67" s="364"/>
      <c r="O67" s="364"/>
      <c r="P67" s="364"/>
      <c r="Q67" s="364"/>
      <c r="R67" s="364"/>
    </row>
    <row r="68" spans="3:18" ht="15">
      <c r="C68" s="364"/>
      <c r="D68" s="364"/>
      <c r="E68" s="364"/>
      <c r="F68" s="364"/>
      <c r="G68" s="364"/>
      <c r="H68" s="364"/>
      <c r="I68" s="364"/>
      <c r="J68" s="364"/>
      <c r="K68" s="364"/>
      <c r="L68" s="364"/>
      <c r="M68" s="364"/>
      <c r="N68" s="364"/>
      <c r="O68" s="364"/>
      <c r="P68" s="364"/>
      <c r="Q68" s="364"/>
      <c r="R68" s="364"/>
    </row>
    <row r="69" spans="3:18" ht="15">
      <c r="C69" s="364"/>
      <c r="D69" s="364"/>
      <c r="E69" s="364"/>
      <c r="F69" s="364"/>
      <c r="G69" s="364"/>
      <c r="H69" s="364"/>
      <c r="I69" s="364"/>
      <c r="J69" s="364"/>
      <c r="K69" s="364"/>
      <c r="L69" s="364"/>
      <c r="M69" s="364"/>
      <c r="N69" s="364"/>
      <c r="O69" s="364"/>
      <c r="P69" s="364"/>
      <c r="Q69" s="364"/>
      <c r="R69" s="364"/>
    </row>
    <row r="70" spans="3:18" ht="15">
      <c r="C70" s="364"/>
      <c r="D70" s="364"/>
      <c r="E70" s="364"/>
      <c r="F70" s="364"/>
      <c r="G70" s="364"/>
      <c r="H70" s="364"/>
      <c r="I70" s="364"/>
      <c r="J70" s="364"/>
      <c r="K70" s="364"/>
      <c r="L70" s="364"/>
      <c r="M70" s="364"/>
      <c r="N70" s="364"/>
      <c r="O70" s="364"/>
      <c r="P70" s="364"/>
      <c r="Q70" s="364"/>
      <c r="R70" s="364"/>
    </row>
    <row r="71" spans="3:18" ht="15">
      <c r="C71" s="364"/>
      <c r="D71" s="364"/>
      <c r="E71" s="364"/>
      <c r="F71" s="364"/>
      <c r="G71" s="364"/>
      <c r="H71" s="364"/>
      <c r="I71" s="364"/>
      <c r="J71" s="364"/>
      <c r="K71" s="364"/>
      <c r="L71" s="364"/>
      <c r="M71" s="364"/>
      <c r="N71" s="364"/>
      <c r="O71" s="364"/>
      <c r="P71" s="364"/>
      <c r="Q71" s="364"/>
      <c r="R71" s="364"/>
    </row>
    <row r="72" spans="3:18" ht="15">
      <c r="C72" s="364"/>
      <c r="D72" s="364"/>
      <c r="E72" s="364"/>
      <c r="F72" s="364"/>
      <c r="G72" s="364"/>
      <c r="H72" s="364"/>
      <c r="I72" s="364"/>
      <c r="J72" s="364"/>
      <c r="K72" s="364"/>
      <c r="L72" s="364"/>
      <c r="M72" s="364"/>
      <c r="N72" s="364"/>
      <c r="O72" s="364"/>
      <c r="P72" s="364"/>
      <c r="Q72" s="364"/>
      <c r="R72" s="364"/>
    </row>
    <row r="73" spans="3:18" ht="15">
      <c r="C73" s="364"/>
      <c r="D73" s="364"/>
      <c r="E73" s="364"/>
      <c r="F73" s="364"/>
      <c r="G73" s="364"/>
      <c r="H73" s="364"/>
      <c r="I73" s="364"/>
      <c r="J73" s="364"/>
      <c r="K73" s="364"/>
      <c r="L73" s="364"/>
      <c r="M73" s="364"/>
      <c r="N73" s="364"/>
      <c r="O73" s="364"/>
      <c r="P73" s="364"/>
      <c r="Q73" s="364"/>
      <c r="R73" s="364"/>
    </row>
    <row r="74" spans="3:18" ht="15">
      <c r="C74" s="364"/>
      <c r="D74" s="364"/>
      <c r="E74" s="364"/>
      <c r="F74" s="364"/>
      <c r="G74" s="364"/>
      <c r="H74" s="364"/>
      <c r="I74" s="364"/>
      <c r="J74" s="364"/>
      <c r="K74" s="364"/>
      <c r="L74" s="364"/>
      <c r="M74" s="364"/>
      <c r="N74" s="364"/>
      <c r="O74" s="364"/>
      <c r="P74" s="364"/>
      <c r="Q74" s="364"/>
      <c r="R74" s="364"/>
    </row>
    <row r="75" spans="3:18" ht="15">
      <c r="C75" s="364"/>
      <c r="D75" s="364"/>
      <c r="E75" s="364"/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364"/>
    </row>
    <row r="76" spans="3:18" ht="15">
      <c r="C76" s="364"/>
      <c r="D76" s="364"/>
      <c r="E76" s="364"/>
      <c r="F76" s="364"/>
      <c r="G76" s="364"/>
      <c r="H76" s="364"/>
      <c r="I76" s="364"/>
      <c r="J76" s="364"/>
      <c r="K76" s="364"/>
      <c r="L76" s="364"/>
      <c r="M76" s="364"/>
      <c r="N76" s="364"/>
      <c r="O76" s="364"/>
      <c r="P76" s="364"/>
      <c r="Q76" s="364"/>
      <c r="R76" s="364"/>
    </row>
    <row r="77" spans="3:18" ht="15">
      <c r="C77" s="364"/>
      <c r="D77" s="364"/>
      <c r="E77" s="364"/>
      <c r="F77" s="364"/>
      <c r="G77" s="364"/>
      <c r="H77" s="364"/>
      <c r="I77" s="364"/>
      <c r="J77" s="364"/>
      <c r="K77" s="364"/>
      <c r="L77" s="364"/>
      <c r="M77" s="364"/>
      <c r="N77" s="364"/>
      <c r="O77" s="364"/>
      <c r="P77" s="364"/>
      <c r="Q77" s="364"/>
      <c r="R77" s="364"/>
    </row>
    <row r="78" spans="3:18" ht="15">
      <c r="C78" s="364"/>
      <c r="D78" s="364"/>
      <c r="E78" s="364"/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</row>
    <row r="79" spans="3:18" ht="15">
      <c r="C79" s="364"/>
      <c r="D79" s="364"/>
      <c r="E79" s="364"/>
      <c r="F79" s="364"/>
      <c r="G79" s="364"/>
      <c r="H79" s="364"/>
      <c r="I79" s="364"/>
      <c r="J79" s="364"/>
      <c r="K79" s="364"/>
      <c r="L79" s="364"/>
      <c r="M79" s="364"/>
      <c r="N79" s="364"/>
      <c r="O79" s="364"/>
      <c r="P79" s="364"/>
      <c r="Q79" s="364"/>
      <c r="R79" s="364"/>
    </row>
    <row r="80" spans="3:18" ht="15">
      <c r="C80" s="364"/>
      <c r="D80" s="364"/>
      <c r="E80" s="364"/>
      <c r="F80" s="364"/>
      <c r="G80" s="364"/>
      <c r="H80" s="364"/>
      <c r="I80" s="364"/>
      <c r="J80" s="364"/>
      <c r="K80" s="364"/>
      <c r="L80" s="364"/>
      <c r="M80" s="364"/>
      <c r="N80" s="364"/>
      <c r="O80" s="364"/>
      <c r="P80" s="364"/>
      <c r="Q80" s="364"/>
      <c r="R80" s="364"/>
    </row>
    <row r="81" spans="3:18" ht="15">
      <c r="C81" s="364"/>
      <c r="D81" s="364"/>
      <c r="E81" s="364"/>
      <c r="F81" s="364"/>
      <c r="G81" s="364"/>
      <c r="H81" s="364"/>
      <c r="I81" s="364"/>
      <c r="J81" s="364"/>
      <c r="K81" s="364"/>
      <c r="L81" s="364"/>
      <c r="M81" s="364"/>
      <c r="N81" s="364"/>
      <c r="O81" s="364"/>
      <c r="P81" s="364"/>
      <c r="Q81" s="364"/>
      <c r="R81" s="364"/>
    </row>
    <row r="82" spans="3:18" ht="15">
      <c r="C82" s="364"/>
      <c r="D82" s="364"/>
      <c r="E82" s="364"/>
      <c r="F82" s="364"/>
      <c r="G82" s="364"/>
      <c r="H82" s="364"/>
      <c r="I82" s="364"/>
      <c r="J82" s="364"/>
      <c r="K82" s="364"/>
      <c r="L82" s="364"/>
      <c r="M82" s="364"/>
      <c r="N82" s="364"/>
      <c r="O82" s="364"/>
      <c r="P82" s="364"/>
      <c r="Q82" s="364"/>
      <c r="R82" s="364"/>
    </row>
    <row r="83" spans="3:18" ht="15">
      <c r="C83" s="364"/>
      <c r="D83" s="364"/>
      <c r="E83" s="364"/>
      <c r="F83" s="364"/>
      <c r="G83" s="364"/>
      <c r="H83" s="364"/>
      <c r="I83" s="364"/>
      <c r="J83" s="364"/>
      <c r="K83" s="364"/>
      <c r="L83" s="364"/>
      <c r="M83" s="364"/>
      <c r="N83" s="364"/>
      <c r="O83" s="364"/>
      <c r="P83" s="364"/>
      <c r="Q83" s="364"/>
      <c r="R83" s="364"/>
    </row>
    <row r="84" spans="3:18" ht="15">
      <c r="C84" s="364"/>
      <c r="D84" s="364"/>
      <c r="E84" s="364"/>
      <c r="F84" s="364"/>
      <c r="G84" s="364"/>
      <c r="H84" s="364"/>
      <c r="I84" s="364"/>
      <c r="J84" s="364"/>
      <c r="K84" s="364"/>
      <c r="L84" s="364"/>
      <c r="M84" s="364"/>
      <c r="N84" s="364"/>
      <c r="O84" s="364"/>
      <c r="P84" s="364"/>
      <c r="Q84" s="364"/>
      <c r="R84" s="364"/>
    </row>
    <row r="85" spans="3:18" ht="15">
      <c r="C85" s="364"/>
      <c r="D85" s="364"/>
      <c r="E85" s="364"/>
      <c r="F85" s="364"/>
      <c r="G85" s="364"/>
      <c r="H85" s="364"/>
      <c r="I85" s="364"/>
      <c r="J85" s="364"/>
      <c r="K85" s="364"/>
      <c r="L85" s="364"/>
      <c r="M85" s="364"/>
      <c r="N85" s="364"/>
      <c r="O85" s="364"/>
      <c r="P85" s="364"/>
      <c r="Q85" s="364"/>
      <c r="R85" s="364"/>
    </row>
    <row r="86" spans="3:18" ht="15">
      <c r="C86" s="364"/>
      <c r="D86" s="364"/>
      <c r="E86" s="364"/>
      <c r="F86" s="364"/>
      <c r="G86" s="364"/>
      <c r="H86" s="364"/>
      <c r="I86" s="364"/>
      <c r="J86" s="364"/>
      <c r="K86" s="364"/>
      <c r="L86" s="364"/>
      <c r="M86" s="364"/>
      <c r="N86" s="364"/>
      <c r="O86" s="364"/>
      <c r="P86" s="364"/>
      <c r="Q86" s="364"/>
      <c r="R86" s="364"/>
    </row>
    <row r="87" spans="3:18" ht="15">
      <c r="C87" s="364"/>
      <c r="D87" s="364"/>
      <c r="E87" s="364"/>
      <c r="F87" s="364"/>
      <c r="G87" s="364"/>
      <c r="H87" s="364"/>
      <c r="I87" s="364"/>
      <c r="J87" s="364"/>
      <c r="K87" s="364"/>
      <c r="L87" s="364"/>
      <c r="M87" s="364"/>
      <c r="N87" s="364"/>
      <c r="O87" s="364"/>
      <c r="P87" s="364"/>
      <c r="Q87" s="364"/>
      <c r="R87" s="364"/>
    </row>
    <row r="88" spans="3:18" ht="15">
      <c r="C88" s="364"/>
      <c r="D88" s="364"/>
      <c r="E88" s="364"/>
      <c r="F88" s="364"/>
      <c r="G88" s="364"/>
      <c r="H88" s="364"/>
      <c r="I88" s="364"/>
      <c r="J88" s="364"/>
      <c r="K88" s="364"/>
      <c r="L88" s="364"/>
      <c r="M88" s="364"/>
      <c r="N88" s="364"/>
      <c r="O88" s="364"/>
      <c r="P88" s="364"/>
      <c r="Q88" s="364"/>
      <c r="R88" s="364"/>
    </row>
    <row r="89" spans="3:18" ht="15">
      <c r="C89" s="364"/>
      <c r="D89" s="364"/>
      <c r="E89" s="364"/>
      <c r="F89" s="364"/>
      <c r="G89" s="364"/>
      <c r="H89" s="364"/>
      <c r="I89" s="364"/>
      <c r="J89" s="364"/>
      <c r="K89" s="364"/>
      <c r="L89" s="364"/>
      <c r="M89" s="364"/>
      <c r="N89" s="364"/>
      <c r="O89" s="364"/>
      <c r="P89" s="364"/>
      <c r="Q89" s="364"/>
      <c r="R89" s="364"/>
    </row>
    <row r="90" spans="3:18" ht="15">
      <c r="C90" s="364"/>
      <c r="D90" s="364"/>
      <c r="E90" s="364"/>
      <c r="F90" s="364"/>
      <c r="G90" s="364"/>
      <c r="H90" s="364"/>
      <c r="I90" s="364"/>
      <c r="J90" s="364"/>
      <c r="K90" s="364"/>
      <c r="L90" s="364"/>
      <c r="M90" s="364"/>
      <c r="N90" s="364"/>
      <c r="O90" s="364"/>
      <c r="P90" s="364"/>
      <c r="Q90" s="364"/>
      <c r="R90" s="364"/>
    </row>
    <row r="91" spans="3:18" ht="15">
      <c r="C91" s="364"/>
      <c r="D91" s="364"/>
      <c r="E91" s="364"/>
      <c r="F91" s="364"/>
      <c r="G91" s="364"/>
      <c r="H91" s="364"/>
      <c r="I91" s="364"/>
      <c r="J91" s="364"/>
      <c r="K91" s="364"/>
      <c r="L91" s="364"/>
      <c r="M91" s="364"/>
      <c r="N91" s="364"/>
      <c r="O91" s="364"/>
      <c r="P91" s="364"/>
      <c r="Q91" s="364"/>
      <c r="R91" s="364"/>
    </row>
    <row r="92" spans="3:18" ht="15">
      <c r="C92" s="364"/>
      <c r="D92" s="364"/>
      <c r="E92" s="364"/>
      <c r="F92" s="364"/>
      <c r="G92" s="364"/>
      <c r="H92" s="364"/>
      <c r="I92" s="364"/>
      <c r="J92" s="364"/>
      <c r="K92" s="364"/>
      <c r="L92" s="364"/>
      <c r="M92" s="364"/>
      <c r="N92" s="364"/>
      <c r="O92" s="364"/>
      <c r="P92" s="364"/>
      <c r="Q92" s="364"/>
      <c r="R92" s="364"/>
    </row>
    <row r="93" spans="3:18" ht="15">
      <c r="C93" s="364"/>
      <c r="D93" s="364"/>
      <c r="E93" s="364"/>
      <c r="F93" s="364"/>
      <c r="G93" s="364"/>
      <c r="H93" s="364"/>
      <c r="I93" s="364"/>
      <c r="J93" s="364"/>
      <c r="K93" s="364"/>
      <c r="L93" s="364"/>
      <c r="M93" s="364"/>
      <c r="N93" s="364"/>
      <c r="O93" s="364"/>
      <c r="P93" s="364"/>
      <c r="Q93" s="364"/>
      <c r="R93" s="364"/>
    </row>
    <row r="94" spans="3:18" ht="15">
      <c r="C94" s="364"/>
      <c r="D94" s="364"/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</row>
    <row r="95" spans="3:18" ht="15">
      <c r="C95" s="364"/>
      <c r="D95" s="364"/>
      <c r="E95" s="364"/>
      <c r="F95" s="364"/>
      <c r="G95" s="364"/>
      <c r="H95" s="364"/>
      <c r="I95" s="364"/>
      <c r="J95" s="364"/>
      <c r="K95" s="364"/>
      <c r="L95" s="364"/>
      <c r="M95" s="364"/>
      <c r="N95" s="364"/>
      <c r="O95" s="364"/>
      <c r="P95" s="364"/>
      <c r="Q95" s="364"/>
      <c r="R95" s="364"/>
    </row>
    <row r="96" spans="3:18" ht="15">
      <c r="C96" s="364"/>
      <c r="D96" s="364"/>
      <c r="E96" s="364"/>
      <c r="F96" s="364"/>
      <c r="G96" s="364"/>
      <c r="H96" s="364"/>
      <c r="I96" s="364"/>
      <c r="J96" s="364"/>
      <c r="K96" s="364"/>
      <c r="L96" s="364"/>
      <c r="M96" s="364"/>
      <c r="N96" s="364"/>
      <c r="O96" s="364"/>
      <c r="P96" s="364"/>
      <c r="Q96" s="364"/>
      <c r="R96" s="364"/>
    </row>
    <row r="97" spans="3:18" ht="15">
      <c r="C97" s="364"/>
      <c r="D97" s="364"/>
      <c r="E97" s="364"/>
      <c r="F97" s="364"/>
      <c r="G97" s="364"/>
      <c r="H97" s="364"/>
      <c r="I97" s="364"/>
      <c r="J97" s="364"/>
      <c r="K97" s="364"/>
      <c r="L97" s="364"/>
      <c r="M97" s="364"/>
      <c r="N97" s="364"/>
      <c r="O97" s="364"/>
      <c r="P97" s="364"/>
      <c r="Q97" s="364"/>
      <c r="R97" s="364"/>
    </row>
    <row r="98" spans="3:18" ht="15">
      <c r="C98" s="364"/>
      <c r="D98" s="364"/>
      <c r="E98" s="364"/>
      <c r="F98" s="364"/>
      <c r="G98" s="364"/>
      <c r="H98" s="364"/>
      <c r="I98" s="364"/>
      <c r="J98" s="364"/>
      <c r="K98" s="364"/>
      <c r="L98" s="364"/>
      <c r="M98" s="364"/>
      <c r="N98" s="364"/>
      <c r="O98" s="364"/>
      <c r="P98" s="364"/>
      <c r="Q98" s="364"/>
      <c r="R98" s="364"/>
    </row>
    <row r="99" spans="3:18" ht="15">
      <c r="C99" s="364"/>
      <c r="D99" s="364"/>
      <c r="E99" s="364"/>
      <c r="F99" s="364"/>
      <c r="G99" s="364"/>
      <c r="H99" s="364"/>
      <c r="I99" s="364"/>
      <c r="J99" s="364"/>
      <c r="K99" s="364"/>
      <c r="L99" s="364"/>
      <c r="M99" s="364"/>
      <c r="N99" s="364"/>
      <c r="O99" s="364"/>
      <c r="P99" s="364"/>
      <c r="Q99" s="364"/>
      <c r="R99" s="364"/>
    </row>
    <row r="100" spans="3:18" ht="15">
      <c r="C100" s="364"/>
      <c r="D100" s="364"/>
      <c r="E100" s="364"/>
      <c r="F100" s="364"/>
      <c r="G100" s="364"/>
      <c r="H100" s="364"/>
      <c r="I100" s="364"/>
      <c r="J100" s="364"/>
      <c r="K100" s="364"/>
      <c r="L100" s="364"/>
      <c r="M100" s="364"/>
      <c r="N100" s="364"/>
      <c r="O100" s="364"/>
      <c r="P100" s="364"/>
      <c r="Q100" s="364"/>
      <c r="R100" s="364"/>
    </row>
    <row r="101" spans="3:18" ht="15">
      <c r="C101" s="364"/>
      <c r="D101" s="364"/>
      <c r="E101" s="364"/>
      <c r="F101" s="364"/>
      <c r="G101" s="364"/>
      <c r="H101" s="364"/>
      <c r="I101" s="364"/>
      <c r="J101" s="364"/>
      <c r="K101" s="364"/>
      <c r="L101" s="364"/>
      <c r="M101" s="364"/>
      <c r="N101" s="364"/>
      <c r="O101" s="364"/>
      <c r="P101" s="364"/>
      <c r="Q101" s="364"/>
      <c r="R101" s="364"/>
    </row>
    <row r="102" spans="3:18" ht="15">
      <c r="C102" s="364"/>
      <c r="D102" s="364"/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</row>
    <row r="103" spans="3:18" ht="15">
      <c r="C103" s="364"/>
      <c r="D103" s="364"/>
      <c r="E103" s="364"/>
      <c r="F103" s="364"/>
      <c r="G103" s="364"/>
      <c r="H103" s="364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</row>
    <row r="104" spans="3:18" ht="15">
      <c r="C104" s="364"/>
      <c r="D104" s="364"/>
      <c r="E104" s="364"/>
      <c r="F104" s="364"/>
      <c r="G104" s="364"/>
      <c r="H104" s="364"/>
      <c r="I104" s="364"/>
      <c r="J104" s="364"/>
      <c r="K104" s="364"/>
      <c r="L104" s="364"/>
      <c r="M104" s="364"/>
      <c r="N104" s="364"/>
      <c r="O104" s="364"/>
      <c r="P104" s="364"/>
      <c r="Q104" s="364"/>
      <c r="R104" s="364"/>
    </row>
    <row r="105" spans="3:18" ht="15">
      <c r="C105" s="364"/>
      <c r="D105" s="364"/>
      <c r="E105" s="364"/>
      <c r="F105" s="364"/>
      <c r="G105" s="364"/>
      <c r="H105" s="364"/>
      <c r="I105" s="364"/>
      <c r="J105" s="364"/>
      <c r="K105" s="364"/>
      <c r="L105" s="364"/>
      <c r="M105" s="364"/>
      <c r="N105" s="364"/>
      <c r="O105" s="364"/>
      <c r="P105" s="364"/>
      <c r="Q105" s="364"/>
      <c r="R105" s="364"/>
    </row>
    <row r="106" spans="3:18" ht="15">
      <c r="C106" s="364"/>
      <c r="D106" s="364"/>
      <c r="E106" s="364"/>
      <c r="F106" s="364"/>
      <c r="G106" s="364"/>
      <c r="H106" s="364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</row>
    <row r="107" spans="3:18" ht="15">
      <c r="C107" s="364"/>
      <c r="D107" s="364"/>
      <c r="E107" s="364"/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</row>
    <row r="108" spans="3:18" ht="15">
      <c r="C108" s="364"/>
      <c r="D108" s="364"/>
      <c r="E108" s="364"/>
      <c r="F108" s="364"/>
      <c r="G108" s="364"/>
      <c r="H108" s="364"/>
      <c r="I108" s="364"/>
      <c r="J108" s="364"/>
      <c r="K108" s="364"/>
      <c r="L108" s="364"/>
      <c r="M108" s="364"/>
      <c r="N108" s="364"/>
      <c r="O108" s="364"/>
      <c r="P108" s="364"/>
      <c r="Q108" s="364"/>
      <c r="R108" s="364"/>
    </row>
    <row r="109" spans="3:18" ht="15">
      <c r="C109" s="364"/>
      <c r="D109" s="364"/>
      <c r="E109" s="364"/>
      <c r="F109" s="364"/>
      <c r="G109" s="364"/>
      <c r="H109" s="364"/>
      <c r="I109" s="364"/>
      <c r="J109" s="364"/>
      <c r="K109" s="364"/>
      <c r="L109" s="364"/>
      <c r="M109" s="364"/>
      <c r="N109" s="364"/>
      <c r="O109" s="364"/>
      <c r="P109" s="364"/>
      <c r="Q109" s="364"/>
      <c r="R109" s="364"/>
    </row>
    <row r="110" spans="3:18" ht="15">
      <c r="C110" s="364"/>
      <c r="D110" s="364"/>
      <c r="E110" s="364"/>
      <c r="F110" s="364"/>
      <c r="G110" s="364"/>
      <c r="H110" s="364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</row>
    <row r="111" spans="3:18" ht="15">
      <c r="C111" s="364"/>
      <c r="D111" s="364"/>
      <c r="E111" s="364"/>
      <c r="F111" s="364"/>
      <c r="G111" s="364"/>
      <c r="H111" s="364"/>
      <c r="I111" s="364"/>
      <c r="J111" s="364"/>
      <c r="K111" s="364"/>
      <c r="L111" s="364"/>
      <c r="M111" s="364"/>
      <c r="N111" s="364"/>
      <c r="O111" s="364"/>
      <c r="P111" s="364"/>
      <c r="Q111" s="364"/>
      <c r="R111" s="364"/>
    </row>
    <row r="112" spans="3:18" ht="15">
      <c r="C112" s="364"/>
      <c r="D112" s="364"/>
      <c r="E112" s="364"/>
      <c r="F112" s="364"/>
      <c r="G112" s="364"/>
      <c r="H112" s="364"/>
      <c r="I112" s="364"/>
      <c r="J112" s="364"/>
      <c r="K112" s="364"/>
      <c r="L112" s="364"/>
      <c r="M112" s="364"/>
      <c r="N112" s="364"/>
    </row>
    <row r="113" spans="3:14" ht="15">
      <c r="C113" s="364"/>
      <c r="D113" s="364"/>
      <c r="E113" s="364"/>
      <c r="F113" s="364"/>
      <c r="G113" s="364"/>
      <c r="H113" s="364"/>
      <c r="I113" s="364"/>
      <c r="J113" s="364"/>
      <c r="K113" s="364"/>
      <c r="L113" s="364"/>
      <c r="M113" s="364"/>
      <c r="N113" s="364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CH128"/>
  <sheetViews>
    <sheetView zoomScale="60" zoomScaleNormal="60" workbookViewId="0">
      <selection activeCell="J28" sqref="J2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86" width="15.7109375" customWidth="1"/>
    <col min="87" max="87" width="10.85546875" customWidth="1"/>
  </cols>
  <sheetData>
    <row r="1" spans="1:26" ht="21.75" thickBot="1">
      <c r="A1" s="50" t="s">
        <v>283</v>
      </c>
      <c r="B1" s="33"/>
      <c r="C1" s="33"/>
      <c r="D1" s="33"/>
      <c r="E1" s="33"/>
      <c r="F1" s="33"/>
      <c r="G1" s="33"/>
      <c r="H1" s="33"/>
      <c r="I1" s="33"/>
      <c r="J1" s="33"/>
      <c r="K1" s="33"/>
      <c r="W1" s="1002" t="s">
        <v>288</v>
      </c>
      <c r="X1" s="1002" t="s">
        <v>361</v>
      </c>
      <c r="Y1" s="1002" t="s">
        <v>920</v>
      </c>
      <c r="Z1" s="1002" t="s">
        <v>921</v>
      </c>
    </row>
    <row r="2" spans="1:26" ht="13.5" thickBot="1">
      <c r="W2" s="1003" t="s">
        <v>48</v>
      </c>
      <c r="X2" s="1003" t="s">
        <v>297</v>
      </c>
      <c r="Y2" s="1003">
        <v>542.8910000000003</v>
      </c>
      <c r="Z2" s="1003">
        <v>224</v>
      </c>
    </row>
    <row r="3" spans="1:26" ht="15.75" thickBot="1">
      <c r="B3" s="193" t="s">
        <v>284</v>
      </c>
      <c r="C3" s="194" t="s">
        <v>42</v>
      </c>
      <c r="D3" s="194" t="s">
        <v>44</v>
      </c>
      <c r="E3" s="194" t="s">
        <v>46</v>
      </c>
      <c r="F3" s="195" t="s">
        <v>285</v>
      </c>
      <c r="W3" s="1004"/>
      <c r="X3" s="1004" t="s">
        <v>44</v>
      </c>
      <c r="Y3" s="1004">
        <v>28916.856000000025</v>
      </c>
      <c r="Z3" s="1004">
        <v>6467</v>
      </c>
    </row>
    <row r="4" spans="1:26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W4" s="1003"/>
      <c r="X4" s="1003" t="s">
        <v>46</v>
      </c>
      <c r="Y4" s="1003">
        <v>12185.145000000006</v>
      </c>
      <c r="Z4" s="1003">
        <v>2470</v>
      </c>
    </row>
    <row r="5" spans="1:26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W5" s="1004" t="s">
        <v>50</v>
      </c>
      <c r="X5" s="1004" t="s">
        <v>297</v>
      </c>
      <c r="Y5" s="1004">
        <v>640.02699999999982</v>
      </c>
      <c r="Z5" s="1004">
        <v>297</v>
      </c>
    </row>
    <row r="6" spans="1:26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W6" s="1003"/>
      <c r="X6" s="1003" t="s">
        <v>44</v>
      </c>
      <c r="Y6" s="1003">
        <v>8343.1630000000023</v>
      </c>
      <c r="Z6" s="1003">
        <v>2181</v>
      </c>
    </row>
    <row r="7" spans="1:26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W7" s="1004"/>
      <c r="X7" s="1004" t="s">
        <v>46</v>
      </c>
      <c r="Y7" s="1004">
        <v>7908.4610000000011</v>
      </c>
      <c r="Z7" s="1004">
        <v>1724</v>
      </c>
    </row>
    <row r="8" spans="1:26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W8" s="1003" t="s">
        <v>52</v>
      </c>
      <c r="X8" s="1003" t="s">
        <v>297</v>
      </c>
      <c r="Y8" s="1003">
        <v>563.12200000000007</v>
      </c>
      <c r="Z8" s="1003">
        <v>228</v>
      </c>
    </row>
    <row r="9" spans="1:26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W9" s="1004"/>
      <c r="X9" s="1004" t="s">
        <v>44</v>
      </c>
      <c r="Y9" s="1004">
        <v>4943.5540000000019</v>
      </c>
      <c r="Z9" s="1004">
        <v>1354</v>
      </c>
    </row>
    <row r="10" spans="1:26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W10" s="1003"/>
      <c r="X10" s="1003" t="s">
        <v>46</v>
      </c>
      <c r="Y10" s="1003">
        <v>11986.291000000001</v>
      </c>
      <c r="Z10" s="1003">
        <v>2549</v>
      </c>
    </row>
    <row r="11" spans="1:26" ht="15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W11" s="1004" t="s">
        <v>54</v>
      </c>
      <c r="X11" s="1004" t="s">
        <v>297</v>
      </c>
      <c r="Y11" s="1004">
        <v>414.33799999999997</v>
      </c>
      <c r="Z11" s="1004">
        <v>118</v>
      </c>
    </row>
    <row r="12" spans="1:26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W12" s="1003"/>
      <c r="X12" s="1003" t="s">
        <v>44</v>
      </c>
      <c r="Y12" s="1003">
        <v>5456.0730000000049</v>
      </c>
      <c r="Z12" s="1003">
        <v>1457</v>
      </c>
    </row>
    <row r="13" spans="1:26" ht="15.75" thickBot="1">
      <c r="B13" s="220" t="s">
        <v>218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W13" s="1004"/>
      <c r="X13" s="1004" t="s">
        <v>46</v>
      </c>
      <c r="Y13" s="1004">
        <v>17784.11</v>
      </c>
      <c r="Z13" s="1004">
        <v>3768</v>
      </c>
    </row>
    <row r="14" spans="1:26">
      <c r="W14" s="1003" t="s">
        <v>56</v>
      </c>
      <c r="X14" s="1003" t="s">
        <v>297</v>
      </c>
      <c r="Y14" s="1003">
        <v>567.74099999999999</v>
      </c>
      <c r="Z14" s="1003">
        <v>137</v>
      </c>
    </row>
    <row r="15" spans="1:26" ht="15">
      <c r="E15" s="261" t="s">
        <v>286</v>
      </c>
      <c r="W15" s="1004"/>
      <c r="X15" s="1004" t="s">
        <v>44</v>
      </c>
      <c r="Y15" s="1004">
        <v>12032.288000000002</v>
      </c>
      <c r="Z15" s="1004">
        <v>3046</v>
      </c>
    </row>
    <row r="16" spans="1:26" ht="21.75" thickBot="1">
      <c r="O16" s="1135" t="s">
        <v>641</v>
      </c>
      <c r="P16" s="1135"/>
      <c r="Q16" s="1135"/>
      <c r="R16" s="1135" t="s">
        <v>642</v>
      </c>
      <c r="S16" s="1135"/>
      <c r="T16" s="1135"/>
      <c r="W16" s="1003"/>
      <c r="X16" s="1003" t="s">
        <v>46</v>
      </c>
      <c r="Y16" s="1003">
        <v>32485.54299999994</v>
      </c>
      <c r="Z16" s="1003">
        <v>7025</v>
      </c>
    </row>
    <row r="17" spans="2:86" ht="21.75" thickBot="1">
      <c r="H17" s="1135" t="s">
        <v>572</v>
      </c>
      <c r="I17" s="1135"/>
      <c r="J17" s="1135"/>
      <c r="K17" s="1135"/>
      <c r="L17" s="1135"/>
      <c r="O17" s="224" t="s">
        <v>42</v>
      </c>
      <c r="P17" s="224" t="s">
        <v>44</v>
      </c>
      <c r="Q17" s="224" t="s">
        <v>46</v>
      </c>
      <c r="R17" s="224" t="s">
        <v>42</v>
      </c>
      <c r="S17" s="224" t="s">
        <v>44</v>
      </c>
      <c r="T17" s="224" t="s">
        <v>46</v>
      </c>
      <c r="W17" s="1004" t="s">
        <v>58</v>
      </c>
      <c r="X17" s="1004" t="s">
        <v>297</v>
      </c>
      <c r="Y17" s="1004">
        <v>217.03099999999998</v>
      </c>
      <c r="Z17" s="1004">
        <v>59</v>
      </c>
    </row>
    <row r="18" spans="2:86" ht="15.75" thickBot="1">
      <c r="B18" s="186" t="s">
        <v>284</v>
      </c>
      <c r="C18" s="187" t="s">
        <v>42</v>
      </c>
      <c r="D18" s="187" t="s">
        <v>44</v>
      </c>
      <c r="E18" s="188" t="s">
        <v>46</v>
      </c>
      <c r="F18" s="189" t="s">
        <v>285</v>
      </c>
      <c r="H18" s="223" t="s">
        <v>287</v>
      </c>
      <c r="I18" s="224" t="s">
        <v>42</v>
      </c>
      <c r="J18" s="224" t="s">
        <v>44</v>
      </c>
      <c r="K18" s="224" t="s">
        <v>46</v>
      </c>
      <c r="L18" s="225" t="s">
        <v>285</v>
      </c>
      <c r="N18" s="213" t="s">
        <v>48</v>
      </c>
      <c r="O18" s="368">
        <v>1.4285714285714286</v>
      </c>
      <c r="P18" s="368">
        <v>1.375</v>
      </c>
      <c r="Q18" s="368">
        <v>1.3478893740902476</v>
      </c>
      <c r="R18" s="310">
        <f t="shared" ref="R18:R26" si="0">O18*I19</f>
        <v>20628.426938295335</v>
      </c>
      <c r="S18" s="310">
        <f t="shared" ref="S18:S26" si="1">P18*J19</f>
        <v>51129.47637486802</v>
      </c>
      <c r="T18" s="371">
        <f t="shared" ref="T18:T26" si="2">Q18*K19</f>
        <v>42264.023389486123</v>
      </c>
      <c r="W18" s="1003"/>
      <c r="X18" s="1003" t="s">
        <v>44</v>
      </c>
      <c r="Y18" s="1003">
        <v>4728.6260000000038</v>
      </c>
      <c r="Z18" s="1003">
        <v>1179</v>
      </c>
    </row>
    <row r="19" spans="2:86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3">SUM(C19:E19)</f>
        <v>47214</v>
      </c>
      <c r="H19" s="213" t="s">
        <v>48</v>
      </c>
      <c r="I19" s="310">
        <f>'Fuel-Age_Adj'!AZ33+SUM(Table10[Apartment])</f>
        <v>14439.898856806734</v>
      </c>
      <c r="J19" s="310">
        <f>'Fuel-Age_Adj'!AZ46+SUM(Table10[Scheme/Attached])</f>
        <v>37185.073727176743</v>
      </c>
      <c r="K19" s="310">
        <f>'Fuel-Age_Adj'!AZ59+SUM(Table10[Single/Detached])</f>
        <v>31355.706337556119</v>
      </c>
      <c r="L19" s="311">
        <f t="shared" ref="L19:L27" si="4">SUM(I19:K19)</f>
        <v>82980.678921539598</v>
      </c>
      <c r="N19" s="210" t="s">
        <v>50</v>
      </c>
      <c r="O19" s="369">
        <v>1</v>
      </c>
      <c r="P19" s="369">
        <v>1</v>
      </c>
      <c r="Q19" s="369">
        <v>1</v>
      </c>
      <c r="R19" s="312">
        <f t="shared" si="0"/>
        <v>7459.2913438514906</v>
      </c>
      <c r="S19" s="312">
        <f t="shared" si="1"/>
        <v>9537.7783975583752</v>
      </c>
      <c r="T19" s="372">
        <f t="shared" si="2"/>
        <v>9433.9012004747347</v>
      </c>
      <c r="W19" s="1004"/>
      <c r="X19" s="1004" t="s">
        <v>46</v>
      </c>
      <c r="Y19" s="1004">
        <v>11250.568000000007</v>
      </c>
      <c r="Z19" s="1004">
        <v>2572</v>
      </c>
    </row>
    <row r="20" spans="2:86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3"/>
        <v>9968</v>
      </c>
      <c r="H20" s="210" t="s">
        <v>50</v>
      </c>
      <c r="I20" s="312">
        <f>'Fuel-Age_Adj'!BA33</f>
        <v>7459.2913438514906</v>
      </c>
      <c r="J20" s="312">
        <f>'Fuel-Age_Adj'!BA46</f>
        <v>9537.7783975583752</v>
      </c>
      <c r="K20" s="312">
        <f>'Fuel-Age_Adj'!BA59</f>
        <v>9433.9012004747347</v>
      </c>
      <c r="L20" s="313">
        <f t="shared" si="4"/>
        <v>26430.9709418846</v>
      </c>
      <c r="N20" s="214" t="s">
        <v>52</v>
      </c>
      <c r="O20" s="370">
        <v>1</v>
      </c>
      <c r="P20" s="370">
        <v>1</v>
      </c>
      <c r="Q20" s="370">
        <v>1</v>
      </c>
      <c r="R20" s="314">
        <f t="shared" si="0"/>
        <v>14041.847426430093</v>
      </c>
      <c r="S20" s="314">
        <f t="shared" si="1"/>
        <v>17545.09295382088</v>
      </c>
      <c r="T20" s="373">
        <f t="shared" si="2"/>
        <v>20090.949195825138</v>
      </c>
      <c r="W20" s="1003" t="s">
        <v>60</v>
      </c>
      <c r="X20" s="1003" t="s">
        <v>297</v>
      </c>
      <c r="Y20" s="1003">
        <v>93.331999999999994</v>
      </c>
      <c r="Z20" s="1003">
        <v>43</v>
      </c>
    </row>
    <row r="21" spans="2:86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3"/>
        <v>23599</v>
      </c>
      <c r="H21" s="214" t="s">
        <v>52</v>
      </c>
      <c r="I21" s="314">
        <f>'Fuel-Age_Adj'!BB33</f>
        <v>14041.847426430093</v>
      </c>
      <c r="J21" s="314">
        <f>'Fuel-Age_Adj'!BB46</f>
        <v>17545.09295382088</v>
      </c>
      <c r="K21" s="314">
        <f>'Fuel-Age_Adj'!BB59</f>
        <v>20090.949195825138</v>
      </c>
      <c r="L21" s="315">
        <f t="shared" si="4"/>
        <v>51677.889576076108</v>
      </c>
      <c r="N21" s="210" t="s">
        <v>54</v>
      </c>
      <c r="O21" s="369">
        <v>1</v>
      </c>
      <c r="P21" s="369">
        <v>1</v>
      </c>
      <c r="Q21" s="369">
        <v>1</v>
      </c>
      <c r="R21" s="312">
        <f t="shared" si="0"/>
        <v>19924.480375055824</v>
      </c>
      <c r="S21" s="312">
        <f t="shared" si="1"/>
        <v>49768.849685929476</v>
      </c>
      <c r="T21" s="372">
        <f t="shared" si="2"/>
        <v>53466.210043981671</v>
      </c>
      <c r="W21" s="1004"/>
      <c r="X21" s="1004" t="s">
        <v>44</v>
      </c>
      <c r="Y21" s="1004">
        <v>1512.0119999999995</v>
      </c>
      <c r="Z21" s="1004">
        <v>390</v>
      </c>
    </row>
    <row r="22" spans="2:86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3"/>
        <v>60821</v>
      </c>
      <c r="H22" s="210" t="s">
        <v>54</v>
      </c>
      <c r="I22" s="312">
        <f>'Fuel-Age_Adj'!BC33</f>
        <v>19924.480375055824</v>
      </c>
      <c r="J22" s="312">
        <f>'Fuel-Age_Adj'!BC46</f>
        <v>49768.849685929476</v>
      </c>
      <c r="K22" s="312">
        <f>'Fuel-Age_Adj'!BC59</f>
        <v>53466.210043981671</v>
      </c>
      <c r="L22" s="313">
        <f t="shared" si="4"/>
        <v>123159.54010496697</v>
      </c>
      <c r="N22" s="214" t="s">
        <v>56</v>
      </c>
      <c r="O22" s="370">
        <v>0.62350597609561753</v>
      </c>
      <c r="P22" s="370">
        <v>0.63854266538830295</v>
      </c>
      <c r="Q22" s="370">
        <v>0.65110565110565111</v>
      </c>
      <c r="R22" s="314">
        <f t="shared" si="0"/>
        <v>36727.496963354082</v>
      </c>
      <c r="S22" s="314">
        <f t="shared" si="1"/>
        <v>180165.78839768126</v>
      </c>
      <c r="T22" s="373">
        <f t="shared" si="2"/>
        <v>163635.17790575436</v>
      </c>
      <c r="W22" s="1003"/>
      <c r="X22" s="1003" t="s">
        <v>46</v>
      </c>
      <c r="Y22" s="1003">
        <v>3675.9540000000006</v>
      </c>
      <c r="Z22" s="1003">
        <v>891</v>
      </c>
    </row>
    <row r="23" spans="2:86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3"/>
        <v>305301</v>
      </c>
      <c r="H23" s="214" t="s">
        <v>56</v>
      </c>
      <c r="I23" s="314">
        <f>'Fuel-Age_Adj'!BD33</f>
        <v>58904.8034364337</v>
      </c>
      <c r="J23" s="314">
        <f>'Fuel-Age_Adj'!BD46</f>
        <v>282151.52747564798</v>
      </c>
      <c r="K23" s="314">
        <f>'Fuel-Age_Adj'!BD59</f>
        <v>251318.93361374349</v>
      </c>
      <c r="L23" s="315">
        <f t="shared" si="4"/>
        <v>592375.26452582516</v>
      </c>
      <c r="N23" s="210" t="s">
        <v>58</v>
      </c>
      <c r="O23" s="369">
        <v>0.64275466284074612</v>
      </c>
      <c r="P23" s="369">
        <v>0.6669136717302705</v>
      </c>
      <c r="Q23" s="369">
        <v>0.67542972699696668</v>
      </c>
      <c r="R23" s="312">
        <f t="shared" si="0"/>
        <v>28113.665794547433</v>
      </c>
      <c r="S23" s="312">
        <f t="shared" si="1"/>
        <v>125131.02640900291</v>
      </c>
      <c r="T23" s="372">
        <f t="shared" si="2"/>
        <v>112572.38085312897</v>
      </c>
      <c r="W23" s="1004" t="s">
        <v>62</v>
      </c>
      <c r="X23" s="1004" t="s">
        <v>297</v>
      </c>
      <c r="Y23" s="1004">
        <v>27.580000000000005</v>
      </c>
      <c r="Z23" s="1004">
        <v>6</v>
      </c>
    </row>
    <row r="24" spans="2:86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3"/>
        <v>188007</v>
      </c>
      <c r="H24" s="210" t="s">
        <v>58</v>
      </c>
      <c r="I24" s="312">
        <f>'Fuel-Age_Adj'!BE33</f>
        <v>43739.341649106158</v>
      </c>
      <c r="J24" s="312">
        <f>'Fuel-Age_Adj'!BE46</f>
        <v>187627.02237661046</v>
      </c>
      <c r="K24" s="312">
        <f>'Fuel-Age_Adj'!BE59</f>
        <v>166667.79141279124</v>
      </c>
      <c r="L24" s="313">
        <f t="shared" si="4"/>
        <v>398034.15543850785</v>
      </c>
      <c r="N24" s="214" t="s">
        <v>60</v>
      </c>
      <c r="O24" s="370">
        <v>0.65947786606129399</v>
      </c>
      <c r="P24" s="370">
        <v>0.68235651381718798</v>
      </c>
      <c r="Q24" s="370">
        <v>0.68787878787878787</v>
      </c>
      <c r="R24" s="314">
        <f t="shared" si="0"/>
        <v>16993.344189187668</v>
      </c>
      <c r="S24" s="314">
        <f t="shared" si="1"/>
        <v>69203.844283713814</v>
      </c>
      <c r="T24" s="373">
        <f t="shared" si="2"/>
        <v>55991.061950391217</v>
      </c>
      <c r="W24" s="1003"/>
      <c r="X24" s="1003" t="s">
        <v>44</v>
      </c>
      <c r="Y24" s="1003">
        <v>314.67699999999996</v>
      </c>
      <c r="Z24" s="1003">
        <v>86</v>
      </c>
    </row>
    <row r="25" spans="2:86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3"/>
        <v>89391</v>
      </c>
      <c r="H25" s="214" t="s">
        <v>60</v>
      </c>
      <c r="I25" s="314">
        <f>'Fuel-Age_Adj'!BF33</f>
        <v>25767.876472761334</v>
      </c>
      <c r="J25" s="314">
        <f>'Fuel-Age_Adj'!BF46</f>
        <v>101418.89596184672</v>
      </c>
      <c r="K25" s="314">
        <f>'Fuel-Age_Adj'!BF59</f>
        <v>81396.697989555512</v>
      </c>
      <c r="L25" s="315">
        <f t="shared" si="4"/>
        <v>208583.47042416356</v>
      </c>
      <c r="N25" s="210" t="s">
        <v>62</v>
      </c>
      <c r="O25" s="369">
        <v>0.67760942760942755</v>
      </c>
      <c r="P25" s="369">
        <v>0.69366197183098599</v>
      </c>
      <c r="Q25" s="369">
        <v>0.69895091794679653</v>
      </c>
      <c r="R25" s="312">
        <f t="shared" si="0"/>
        <v>8355.7192320215872</v>
      </c>
      <c r="S25" s="312">
        <f t="shared" si="1"/>
        <v>34768.978124585461</v>
      </c>
      <c r="T25" s="372">
        <f t="shared" si="2"/>
        <v>30223.340670968584</v>
      </c>
      <c r="W25" s="1004"/>
      <c r="X25" s="1004" t="s">
        <v>46</v>
      </c>
      <c r="Y25" s="1004">
        <v>1180.5279999999998</v>
      </c>
      <c r="Z25" s="1004">
        <v>307</v>
      </c>
    </row>
    <row r="26" spans="2:86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3"/>
        <v>39698</v>
      </c>
      <c r="H26" s="210" t="s">
        <v>62</v>
      </c>
      <c r="I26" s="312">
        <f>'Fuel-Age_Adj'!BG33</f>
        <v>12331.173226884033</v>
      </c>
      <c r="J26" s="312">
        <f>'Fuel-Age_Adj'!BG46</f>
        <v>50123.806027321167</v>
      </c>
      <c r="K26" s="312">
        <f>'Fuel-Age_Adj'!BG59</f>
        <v>43241.005762967114</v>
      </c>
      <c r="L26" s="313">
        <f t="shared" si="4"/>
        <v>105695.98501717232</v>
      </c>
      <c r="N26" s="374" t="s">
        <v>64</v>
      </c>
      <c r="O26" s="375">
        <v>0.56219445953286251</v>
      </c>
      <c r="P26" s="375">
        <v>0.54586660910856888</v>
      </c>
      <c r="Q26" s="375">
        <v>0.55669942286694751</v>
      </c>
      <c r="R26" s="376">
        <f t="shared" si="0"/>
        <v>8551.6367409636478</v>
      </c>
      <c r="S26" s="376">
        <f t="shared" si="1"/>
        <v>28770.813628890308</v>
      </c>
      <c r="T26" s="377">
        <f t="shared" si="2"/>
        <v>43665.016200037615</v>
      </c>
      <c r="W26" s="1003" t="s">
        <v>64</v>
      </c>
      <c r="X26" s="1003" t="s">
        <v>44</v>
      </c>
      <c r="Y26" s="1003">
        <v>105.64699999999998</v>
      </c>
      <c r="Z26" s="1003">
        <v>30</v>
      </c>
    </row>
    <row r="27" spans="2:86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3"/>
        <v>51247</v>
      </c>
      <c r="H27" s="226" t="s">
        <v>64</v>
      </c>
      <c r="I27" s="316">
        <f>'Fuel-Age_Adj'!BH33</f>
        <v>15211.172212670604</v>
      </c>
      <c r="J27" s="316">
        <f>'Fuel-Age_Adj'!BH46</f>
        <v>52706.674394088106</v>
      </c>
      <c r="K27" s="316">
        <f>'Fuel-Age_Adj'!BH59</f>
        <v>78435.533443104825</v>
      </c>
      <c r="L27" s="315">
        <f t="shared" si="4"/>
        <v>146353.38004986354</v>
      </c>
      <c r="R27" s="378">
        <f>SUM(R18:R26)/I28</f>
        <v>0.75911621330408707</v>
      </c>
      <c r="S27" s="378">
        <f>SUM(S18:S26)/J28</f>
        <v>0.71824259248378497</v>
      </c>
      <c r="T27" s="378">
        <f>SUM(T18:T26)/K28</f>
        <v>0.72251454937400827</v>
      </c>
      <c r="W27" s="1004"/>
      <c r="X27" s="1004" t="s">
        <v>46</v>
      </c>
      <c r="Y27" s="1004">
        <v>912.80199999999991</v>
      </c>
      <c r="Z27" s="1004">
        <v>244</v>
      </c>
    </row>
    <row r="28" spans="2:86" ht="15.75" thickBot="1">
      <c r="B28" s="203" t="s">
        <v>218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3"/>
        <v>815246</v>
      </c>
      <c r="H28" s="227" t="s">
        <v>218</v>
      </c>
      <c r="I28" s="317">
        <f>SUM(I19:I27)</f>
        <v>211819.88499999998</v>
      </c>
      <c r="J28" s="317">
        <f>SUM(J19:J27)</f>
        <v>788064.72099999979</v>
      </c>
      <c r="K28" s="317">
        <f>SUM(K19:K27)</f>
        <v>735406.72899999993</v>
      </c>
      <c r="L28" s="318">
        <f>SUM(I28:K28)</f>
        <v>1735291.3349999997</v>
      </c>
      <c r="Y28" s="365">
        <f>SUM(Y2:Y27)</f>
        <v>168788.3599999999</v>
      </c>
      <c r="Z28" s="365">
        <f>SUM(Z2:Z27)</f>
        <v>38852</v>
      </c>
      <c r="AB28">
        <v>0.56000000000000005</v>
      </c>
    </row>
    <row r="29" spans="2:86" ht="15">
      <c r="C29" s="261"/>
      <c r="Y29" s="1006">
        <f>AB29/Y28</f>
        <v>921.62753403137572</v>
      </c>
      <c r="Z29" s="1006">
        <f>AB29/Z28</f>
        <v>4003.9122825079789</v>
      </c>
      <c r="AB29" s="1005">
        <v>155560000</v>
      </c>
      <c r="AC29" s="58" t="s">
        <v>922</v>
      </c>
    </row>
    <row r="30" spans="2:86" ht="15">
      <c r="C30" s="261"/>
      <c r="K30" s="351" t="s">
        <v>570</v>
      </c>
      <c r="X30" s="58" t="s">
        <v>923</v>
      </c>
      <c r="Y30">
        <v>25</v>
      </c>
      <c r="Z30" s="58" t="s">
        <v>13</v>
      </c>
    </row>
    <row r="31" spans="2:86" ht="15.75" thickBot="1">
      <c r="C31" s="261"/>
    </row>
    <row r="32" spans="2:86" ht="15.75" thickBot="1">
      <c r="C32" s="261"/>
      <c r="I32" s="223" t="s">
        <v>296</v>
      </c>
      <c r="J32" s="1014" t="s">
        <v>296</v>
      </c>
      <c r="K32" s="1016" t="s">
        <v>296</v>
      </c>
      <c r="L32" s="223" t="s">
        <v>338</v>
      </c>
      <c r="M32" s="1014" t="s">
        <v>338</v>
      </c>
      <c r="N32" s="1016" t="s">
        <v>338</v>
      </c>
      <c r="O32" s="223" t="s">
        <v>327</v>
      </c>
      <c r="P32" s="1014" t="s">
        <v>327</v>
      </c>
      <c r="Q32" s="1016" t="s">
        <v>327</v>
      </c>
      <c r="R32" s="223" t="s">
        <v>328</v>
      </c>
      <c r="S32" s="1014" t="s">
        <v>328</v>
      </c>
      <c r="T32" s="1016" t="s">
        <v>328</v>
      </c>
      <c r="U32" s="223" t="s">
        <v>329</v>
      </c>
      <c r="V32" s="1014" t="s">
        <v>329</v>
      </c>
      <c r="W32" s="1016" t="s">
        <v>329</v>
      </c>
      <c r="X32" s="223" t="s">
        <v>331</v>
      </c>
      <c r="Y32" s="1014" t="s">
        <v>331</v>
      </c>
      <c r="Z32" s="1016" t="s">
        <v>331</v>
      </c>
      <c r="AA32" s="223" t="s">
        <v>332</v>
      </c>
      <c r="AB32" s="1014" t="s">
        <v>332</v>
      </c>
      <c r="AC32" s="1016" t="s">
        <v>332</v>
      </c>
      <c r="AD32" s="223" t="s">
        <v>333</v>
      </c>
      <c r="AE32" s="1014" t="s">
        <v>333</v>
      </c>
      <c r="AF32" s="1016" t="s">
        <v>333</v>
      </c>
      <c r="AG32" s="223" t="s">
        <v>335</v>
      </c>
      <c r="AH32" s="1014" t="s">
        <v>335</v>
      </c>
      <c r="AI32" s="1016" t="s">
        <v>335</v>
      </c>
      <c r="AJ32" s="223" t="s">
        <v>336</v>
      </c>
      <c r="AK32" s="1014" t="s">
        <v>336</v>
      </c>
      <c r="AL32" s="1016" t="s">
        <v>336</v>
      </c>
      <c r="AM32" s="223" t="s">
        <v>337</v>
      </c>
      <c r="AN32" s="1014" t="s">
        <v>337</v>
      </c>
      <c r="AO32" s="1016" t="s">
        <v>337</v>
      </c>
      <c r="AP32" s="223" t="s">
        <v>339</v>
      </c>
      <c r="AQ32" s="1014" t="s">
        <v>339</v>
      </c>
      <c r="AR32" s="1016" t="s">
        <v>339</v>
      </c>
      <c r="AS32" s="223" t="s">
        <v>326</v>
      </c>
      <c r="AT32" s="1014" t="s">
        <v>326</v>
      </c>
      <c r="AU32" s="1016" t="s">
        <v>326</v>
      </c>
      <c r="AV32" s="223" t="s">
        <v>330</v>
      </c>
      <c r="AW32" s="1014" t="s">
        <v>330</v>
      </c>
      <c r="AX32" s="1016" t="s">
        <v>330</v>
      </c>
      <c r="AY32" s="223" t="s">
        <v>341</v>
      </c>
      <c r="AZ32" s="1014" t="s">
        <v>341</v>
      </c>
      <c r="BA32" s="1016" t="s">
        <v>341</v>
      </c>
      <c r="BB32" s="223" t="s">
        <v>342</v>
      </c>
      <c r="BC32" s="1014" t="s">
        <v>342</v>
      </c>
      <c r="BD32" s="1016" t="s">
        <v>342</v>
      </c>
      <c r="BE32" s="223" t="s">
        <v>343</v>
      </c>
      <c r="BF32" s="1014" t="s">
        <v>343</v>
      </c>
      <c r="BG32" s="1016" t="s">
        <v>343</v>
      </c>
      <c r="BH32" s="223" t="s">
        <v>344</v>
      </c>
      <c r="BI32" s="1014" t="s">
        <v>344</v>
      </c>
      <c r="BJ32" s="1016" t="s">
        <v>344</v>
      </c>
      <c r="BK32" s="223" t="s">
        <v>340</v>
      </c>
      <c r="BL32" s="1014" t="s">
        <v>340</v>
      </c>
      <c r="BM32" s="1016" t="s">
        <v>340</v>
      </c>
      <c r="BN32" s="223" t="s">
        <v>345</v>
      </c>
      <c r="BO32" s="1014" t="s">
        <v>345</v>
      </c>
      <c r="BP32" s="1016" t="s">
        <v>345</v>
      </c>
      <c r="BQ32" s="223" t="s">
        <v>346</v>
      </c>
      <c r="BR32" s="1014" t="s">
        <v>346</v>
      </c>
      <c r="BS32" s="1016" t="s">
        <v>346</v>
      </c>
      <c r="BT32" s="223" t="s">
        <v>347</v>
      </c>
      <c r="BU32" s="1014" t="s">
        <v>347</v>
      </c>
      <c r="BV32" s="1016" t="s">
        <v>347</v>
      </c>
      <c r="BW32" s="223" t="s">
        <v>348</v>
      </c>
      <c r="BX32" s="1014" t="s">
        <v>348</v>
      </c>
      <c r="BY32" s="1016" t="s">
        <v>348</v>
      </c>
      <c r="BZ32" s="223" t="s">
        <v>308</v>
      </c>
      <c r="CA32" s="1014" t="s">
        <v>308</v>
      </c>
      <c r="CB32" s="1016" t="s">
        <v>308</v>
      </c>
      <c r="CC32" s="223" t="s">
        <v>334</v>
      </c>
      <c r="CD32" s="1014" t="s">
        <v>334</v>
      </c>
      <c r="CE32" s="1016" t="s">
        <v>334</v>
      </c>
      <c r="CF32" s="223" t="s">
        <v>349</v>
      </c>
      <c r="CG32" s="1014" t="s">
        <v>349</v>
      </c>
      <c r="CH32" s="1016" t="s">
        <v>349</v>
      </c>
    </row>
    <row r="33" spans="2:86" ht="15.75" thickBot="1">
      <c r="C33" s="261"/>
      <c r="F33" s="58"/>
      <c r="H33" s="223" t="s">
        <v>287</v>
      </c>
      <c r="I33" s="1017" t="s">
        <v>297</v>
      </c>
      <c r="J33" s="1007" t="s">
        <v>44</v>
      </c>
      <c r="K33" s="1018" t="s">
        <v>46</v>
      </c>
      <c r="L33" s="1017" t="s">
        <v>297</v>
      </c>
      <c r="M33" s="1007" t="s">
        <v>44</v>
      </c>
      <c r="N33" s="1018" t="s">
        <v>46</v>
      </c>
      <c r="O33" s="1017" t="s">
        <v>297</v>
      </c>
      <c r="P33" s="1007" t="s">
        <v>44</v>
      </c>
      <c r="Q33" s="1018" t="s">
        <v>46</v>
      </c>
      <c r="R33" s="1017" t="s">
        <v>297</v>
      </c>
      <c r="S33" s="1007" t="s">
        <v>44</v>
      </c>
      <c r="T33" s="1018" t="s">
        <v>46</v>
      </c>
      <c r="U33" s="1017" t="s">
        <v>297</v>
      </c>
      <c r="V33" s="1007" t="s">
        <v>44</v>
      </c>
      <c r="W33" s="1018" t="s">
        <v>46</v>
      </c>
      <c r="X33" s="1017" t="s">
        <v>297</v>
      </c>
      <c r="Y33" s="1007" t="s">
        <v>44</v>
      </c>
      <c r="Z33" s="1018" t="s">
        <v>46</v>
      </c>
      <c r="AA33" s="1017" t="s">
        <v>297</v>
      </c>
      <c r="AB33" s="1007" t="s">
        <v>44</v>
      </c>
      <c r="AC33" s="1018" t="s">
        <v>46</v>
      </c>
      <c r="AD33" s="1017" t="s">
        <v>297</v>
      </c>
      <c r="AE33" s="1007" t="s">
        <v>44</v>
      </c>
      <c r="AF33" s="1018" t="s">
        <v>46</v>
      </c>
      <c r="AG33" s="1017" t="s">
        <v>297</v>
      </c>
      <c r="AH33" s="1007" t="s">
        <v>44</v>
      </c>
      <c r="AI33" s="1018" t="s">
        <v>46</v>
      </c>
      <c r="AJ33" s="1017" t="s">
        <v>297</v>
      </c>
      <c r="AK33" s="1007" t="s">
        <v>44</v>
      </c>
      <c r="AL33" s="1018" t="s">
        <v>46</v>
      </c>
      <c r="AM33" s="1017" t="s">
        <v>297</v>
      </c>
      <c r="AN33" s="1007" t="s">
        <v>44</v>
      </c>
      <c r="AO33" s="1018" t="s">
        <v>46</v>
      </c>
      <c r="AP33" s="1017" t="s">
        <v>297</v>
      </c>
      <c r="AQ33" s="1007" t="s">
        <v>44</v>
      </c>
      <c r="AR33" s="1018" t="s">
        <v>46</v>
      </c>
      <c r="AS33" s="1017" t="s">
        <v>297</v>
      </c>
      <c r="AT33" s="1007" t="s">
        <v>44</v>
      </c>
      <c r="AU33" s="1018" t="s">
        <v>46</v>
      </c>
      <c r="AV33" s="1017" t="s">
        <v>297</v>
      </c>
      <c r="AW33" s="1007" t="s">
        <v>44</v>
      </c>
      <c r="AX33" s="1018" t="s">
        <v>46</v>
      </c>
      <c r="AY33" s="1017" t="s">
        <v>297</v>
      </c>
      <c r="AZ33" s="1007" t="s">
        <v>44</v>
      </c>
      <c r="BA33" s="1018" t="s">
        <v>46</v>
      </c>
      <c r="BB33" s="1017" t="s">
        <v>297</v>
      </c>
      <c r="BC33" s="1007" t="s">
        <v>44</v>
      </c>
      <c r="BD33" s="1018" t="s">
        <v>46</v>
      </c>
      <c r="BE33" s="1017" t="s">
        <v>297</v>
      </c>
      <c r="BF33" s="1007" t="s">
        <v>44</v>
      </c>
      <c r="BG33" s="1018" t="s">
        <v>46</v>
      </c>
      <c r="BH33" s="1017" t="s">
        <v>297</v>
      </c>
      <c r="BI33" s="1007" t="s">
        <v>44</v>
      </c>
      <c r="BJ33" s="1018" t="s">
        <v>46</v>
      </c>
      <c r="BK33" s="1017" t="s">
        <v>297</v>
      </c>
      <c r="BL33" s="1007" t="s">
        <v>44</v>
      </c>
      <c r="BM33" s="1018" t="s">
        <v>46</v>
      </c>
      <c r="BN33" s="1017" t="s">
        <v>297</v>
      </c>
      <c r="BO33" s="1007" t="s">
        <v>44</v>
      </c>
      <c r="BP33" s="1018" t="s">
        <v>46</v>
      </c>
      <c r="BQ33" s="1017" t="s">
        <v>297</v>
      </c>
      <c r="BR33" s="1007" t="s">
        <v>44</v>
      </c>
      <c r="BS33" s="1018" t="s">
        <v>46</v>
      </c>
      <c r="BT33" s="1017" t="s">
        <v>297</v>
      </c>
      <c r="BU33" s="1007" t="s">
        <v>44</v>
      </c>
      <c r="BV33" s="1018" t="s">
        <v>46</v>
      </c>
      <c r="BW33" s="1017" t="s">
        <v>297</v>
      </c>
      <c r="BX33" s="1007" t="s">
        <v>44</v>
      </c>
      <c r="BY33" s="1018" t="s">
        <v>46</v>
      </c>
      <c r="BZ33" s="1017" t="s">
        <v>297</v>
      </c>
      <c r="CA33" s="1007" t="s">
        <v>44</v>
      </c>
      <c r="CB33" s="1018" t="s">
        <v>46</v>
      </c>
      <c r="CC33" s="1017" t="s">
        <v>297</v>
      </c>
      <c r="CD33" s="1007" t="s">
        <v>44</v>
      </c>
      <c r="CE33" s="1018" t="s">
        <v>46</v>
      </c>
      <c r="CF33" s="1017" t="s">
        <v>297</v>
      </c>
      <c r="CG33" s="1007" t="s">
        <v>44</v>
      </c>
      <c r="CH33" s="1018" t="s">
        <v>46</v>
      </c>
    </row>
    <row r="34" spans="2:86" ht="15">
      <c r="C34" s="261"/>
      <c r="H34" s="1009" t="s">
        <v>48</v>
      </c>
      <c r="I34" s="1023" cm="1">
        <f t="array" ref="I34">SUMPRODUCT((Table8[A])*(Table8[Adjusted Total]/Table8[BER Total])*(Table8[Archetype]=I33)*(Table8[County]=I32))+SUM(Table10[Alias]=I33)+SUMPRODUCT((Table10[Apartment])*(Table10[Alias]=I32))</f>
        <v>10.977084614250678</v>
      </c>
      <c r="J34" s="310" cm="1">
        <f t="array" ref="J34">SUMPRODUCT((Table8[A])*(Table8[Adjusted Total]/Table8[BER Total])*(Table8[Archetype]=J33)*(Table8[County]=J32))+SUMPRODUCT((Table10[Scheme/Attached])*(Table10[Alias]=I32))</f>
        <v>629.39079271278581</v>
      </c>
      <c r="K34" s="371" cm="1">
        <f t="array" ref="K34">SUMPRODUCT((Table8[A])*(Table8[Adjusted Total]/Table8[BER Total])*(Table8[Archetype]=K33)*(Table8[County]=K32))+SUMPRODUCT((Table10[Single/Detached])*(Table10[Alias]=I32))</f>
        <v>467.49294443943541</v>
      </c>
      <c r="L34" s="1023" cm="1">
        <f t="array" ref="L34">SUMPRODUCT((Table8[A])*(Table8[Adjusted Total]/Table8[BER Total])*(Table8[Archetype]=L33)*(Table8[County]=L32))</f>
        <v>9317.2305952282823</v>
      </c>
      <c r="M34" s="310" cm="1">
        <f t="array" ref="M34">SUMPRODUCT((Table8[A])*(Table8[Adjusted Total]/Table8[BER Total])*(Table8[Archetype]=M33)*(Table8[County]=M32))</f>
        <v>30190.149545010125</v>
      </c>
      <c r="N34" s="371" cm="1">
        <f t="array" ref="N34">SUMPRODUCT((Table8[A])*(Table8[Adjusted Total]/Table8[BER Total])*(Table8[Archetype]=N33)*(Table8[County]=N32))</f>
        <v>4984.0158084525256</v>
      </c>
      <c r="O34" s="1023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10" cm="1">
        <f t="array" ref="P34">SUMPRODUCT((Table8[A])*(Table8[Adjusted Total]/Table8[BER Total])*(Table8[Archetype]=P33)*(Table8[County]=P32))+SUMPRODUCT((Table10[Scheme/Attached])*(Table10[Alias]=O32))</f>
        <v>8491.6250547331547</v>
      </c>
      <c r="Q34" s="371" cm="1">
        <f t="array" ref="Q34">SUMPRODUCT((Table8[A])*(Table8[Adjusted Total]/Table8[BER Total])*(Table8[Archetype]=Q33)*(Table8[County]=Q32))+SUMPRODUCT((Table10[Single/Detached])*(Table10[Alias]=O32))</f>
        <v>2501.9451434121074</v>
      </c>
      <c r="R34" s="1023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10" cm="1">
        <f t="array" ref="S34">SUMPRODUCT((Table8[A])*(Table8[Adjusted Total]/Table8[BER Total])*(Table8[Archetype]=S33)*(Table8[County]=S32))+SUMPRODUCT((Table10[Scheme/Attached])*(Table10[Alias]=R32))</f>
        <v>409.17285393349761</v>
      </c>
      <c r="T34" s="371" cm="1">
        <f t="array" ref="T34">SUMPRODUCT((Table8[A])*(Table8[Adjusted Total]/Table8[BER Total])*(Table8[Archetype]=T33)*(Table8[County]=T32))+SUMPRODUCT((Table10[Single/Detached])*(Table10[Alias]=R32))</f>
        <v>1075.3594871171822</v>
      </c>
      <c r="U34" s="1023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10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71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23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10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71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23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10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71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23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10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71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23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10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71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23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10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71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23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10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71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23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10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71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23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10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71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23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10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71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23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10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71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23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10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71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23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10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71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23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10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71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23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10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71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23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10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71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23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10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71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23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10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71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23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10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71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23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10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71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23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10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71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23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10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71" cm="1">
        <f t="array" ref="CH34">SUMPRODUCT((Table8[A])*(Table8[Adjusted Total]/Table8[BER Total])*(Table8[Archetype]=CH33)*(Table8[County]=CH32))+SUMPRODUCT((Table10[Single/Detached])*(Table10[Alias]=CF32))</f>
        <v>583.87374508255459</v>
      </c>
    </row>
    <row r="35" spans="2:86" ht="15">
      <c r="C35" s="261"/>
      <c r="H35" s="1010" t="s">
        <v>50</v>
      </c>
      <c r="I35" s="1024" cm="1">
        <f t="array" ref="I35">SUMPRODUCT((Table8[B1])*(Table8[Adjusted Total]/Table8[BER Total])*(Table8[Archetype]=I33)*(Table8[County]=I32))</f>
        <v>9.2798640999182496</v>
      </c>
      <c r="J35" s="312" cm="1">
        <f t="array" ref="J35">SUMPRODUCT((Table8[B1])*(Table8[Adjusted Total]/Table8[BER Total])*(Table8[Archetype]=J33)*(Table8[County]=J32))</f>
        <v>56.252224325744479</v>
      </c>
      <c r="K35" s="372" cm="1">
        <f t="array" ref="K35">SUMPRODUCT((Table8[B1])*(Table8[Adjusted Total]/Table8[BER Total])*(Table8[Archetype]=K33)*(Table8[County]=K32))</f>
        <v>122.12331509566668</v>
      </c>
      <c r="L35" s="1024" cm="1">
        <f t="array" ref="L35">SUMPRODUCT((Table8[B1])*(Table8[Adjusted Total]/Table8[BER Total])*(Table8[Archetype]=L33)*(Table8[County]=L32))</f>
        <v>3879.5577189656774</v>
      </c>
      <c r="M35" s="312" cm="1">
        <f t="array" ref="M35">SUMPRODUCT((Table8[B1])*(Table8[Adjusted Total]/Table8[BER Total])*(Table8[Archetype]=M33)*(Table8[County]=M32))</f>
        <v>2042.305945386244</v>
      </c>
      <c r="N35" s="372" cm="1">
        <f t="array" ref="N35">SUMPRODUCT((Table8[B1])*(Table8[Adjusted Total]/Table8[BER Total])*(Table8[Archetype]=N33)*(Table8[County]=N32))</f>
        <v>846.66737684329325</v>
      </c>
      <c r="O35" s="1024" cm="1">
        <f t="array" ref="O35">SUMPRODUCT((Table8[B1])*(Table8[Adjusted Total]/Table8[BER Total])*(Table8[Archetype]=O33)*(Table8[County]=O32))</f>
        <v>19.211992602239075</v>
      </c>
      <c r="P35" s="312" cm="1">
        <f t="array" ref="P35">SUMPRODUCT((Table8[B1])*(Table8[Adjusted Total]/Table8[BER Total])*(Table8[Archetype]=P33)*(Table8[County]=P32))</f>
        <v>389.22779303523942</v>
      </c>
      <c r="Q35" s="372" cm="1">
        <f t="array" ref="Q35">SUMPRODUCT((Table8[B1])*(Table8[Adjusted Total]/Table8[BER Total])*(Table8[Archetype]=Q33)*(Table8[County]=Q32))</f>
        <v>367.48320159114041</v>
      </c>
      <c r="R35" s="1024" cm="1">
        <f t="array" ref="R35">SUMPRODUCT((Table8[B1])*(Table8[Adjusted Total]/Table8[BER Total])*(Table8[Archetype]=R33)*(Table8[County]=R32))</f>
        <v>14.912875269250542</v>
      </c>
      <c r="S35" s="312" cm="1">
        <f t="array" ref="S35">SUMPRODUCT((Table8[B1])*(Table8[Adjusted Total]/Table8[BER Total])*(Table8[Archetype]=S33)*(Table8[County]=S32))</f>
        <v>126.47997242746837</v>
      </c>
      <c r="T35" s="372" cm="1">
        <f t="array" ref="T35">SUMPRODUCT((Table8[B1])*(Table8[Adjusted Total]/Table8[BER Total])*(Table8[Archetype]=T33)*(Table8[County]=T32))</f>
        <v>212.85039161267719</v>
      </c>
      <c r="U35" s="1024" cm="1">
        <f t="array" ref="U35">SUMPRODUCT((Table8[B1])*(Table8[Adjusted Total]/Table8[BER Total])*(Table8[Archetype]=U33)*(Table8[County]=U32))</f>
        <v>8.1776224057210225</v>
      </c>
      <c r="V35" s="312" cm="1">
        <f t="array" ref="V35">SUMPRODUCT((Table8[B1])*(Table8[Adjusted Total]/Table8[BER Total])*(Table8[Archetype]=V33)*(Table8[County]=V32))</f>
        <v>148.56626238081995</v>
      </c>
      <c r="W35" s="372" cm="1">
        <f t="array" ref="W35">SUMPRODUCT((Table8[B1])*(Table8[Adjusted Total]/Table8[BER Total])*(Table8[Archetype]=W33)*(Table8[County]=W32))</f>
        <v>128.66823477069238</v>
      </c>
      <c r="X35" s="1024" cm="1">
        <f t="array" ref="X35">SUMPRODUCT((Table8[B1])*(Table8[Adjusted Total]/Table8[BER Total])*(Table8[Archetype]=X33)*(Table8[County]=X32))</f>
        <v>3.585329076164042</v>
      </c>
      <c r="Y35" s="312" cm="1">
        <f t="array" ref="Y35">SUMPRODUCT((Table8[B1])*(Table8[Adjusted Total]/Table8[BER Total])*(Table8[Archetype]=Y33)*(Table8[County]=Y32))</f>
        <v>157.69521416157164</v>
      </c>
      <c r="Z35" s="372" cm="1">
        <f t="array" ref="Z35">SUMPRODUCT((Table8[B1])*(Table8[Adjusted Total]/Table8[BER Total])*(Table8[Archetype]=Z33)*(Table8[County]=Z32))</f>
        <v>109.49576034253809</v>
      </c>
      <c r="AA35" s="1024" cm="1">
        <f t="array" ref="AA35">SUMPRODUCT((Table8[B1])*(Table8[Adjusted Total]/Table8[BER Total])*(Table8[Archetype]=AA33)*(Table8[County]=AA32))</f>
        <v>53.27890269897496</v>
      </c>
      <c r="AB35" s="312" cm="1">
        <f t="array" ref="AB35">SUMPRODUCT((Table8[B1])*(Table8[Adjusted Total]/Table8[BER Total])*(Table8[Archetype]=AB33)*(Table8[County]=AB32))</f>
        <v>475.15203337345048</v>
      </c>
      <c r="AC35" s="372" cm="1">
        <f t="array" ref="AC35">SUMPRODUCT((Table8[B1])*(Table8[Adjusted Total]/Table8[BER Total])*(Table8[Archetype]=AC33)*(Table8[County]=AC32))</f>
        <v>289.73384612615905</v>
      </c>
      <c r="AD35" s="1024" cm="1">
        <f t="array" ref="AD35">SUMPRODUCT((Table8[B1])*(Table8[Adjusted Total]/Table8[BER Total])*(Table8[Archetype]=AD33)*(Table8[County]=AD32))</f>
        <v>78.704653993169501</v>
      </c>
      <c r="AE35" s="312" cm="1">
        <f t="array" ref="AE35">SUMPRODUCT((Table8[B1])*(Table8[Adjusted Total]/Table8[BER Total])*(Table8[Archetype]=AE33)*(Table8[County]=AE32))</f>
        <v>279.25560206332625</v>
      </c>
      <c r="AF35" s="372" cm="1">
        <f t="array" ref="AF35">SUMPRODUCT((Table8[B1])*(Table8[Adjusted Total]/Table8[BER Total])*(Table8[Archetype]=AF33)*(Table8[County]=AF32))</f>
        <v>355.66139766064578</v>
      </c>
      <c r="AG35" s="1024" cm="1">
        <f t="array" ref="AG35">SUMPRODUCT((Table8[B1])*(Table8[Adjusted Total]/Table8[BER Total])*(Table8[Archetype]=AG33)*(Table8[County]=AG32))</f>
        <v>0</v>
      </c>
      <c r="AH35" s="312" cm="1">
        <f t="array" ref="AH35">SUMPRODUCT((Table8[B1])*(Table8[Adjusted Total]/Table8[BER Total])*(Table8[Archetype]=AH33)*(Table8[County]=AH32))</f>
        <v>35.94092958182668</v>
      </c>
      <c r="AI35" s="372" cm="1">
        <f t="array" ref="AI35">SUMPRODUCT((Table8[B1])*(Table8[Adjusted Total]/Table8[BER Total])*(Table8[Archetype]=AI33)*(Table8[County]=AI32))</f>
        <v>148.5951624816982</v>
      </c>
      <c r="AJ35" s="1024" cm="1">
        <f t="array" ref="AJ35">SUMPRODUCT((Table8[B1])*(Table8[Adjusted Total]/Table8[BER Total])*(Table8[Archetype]=AJ33)*(Table8[County]=AJ32))</f>
        <v>38.53647404366631</v>
      </c>
      <c r="AK35" s="312" cm="1">
        <f t="array" ref="AK35">SUMPRODUCT((Table8[B1])*(Table8[Adjusted Total]/Table8[BER Total])*(Table8[Archetype]=AK33)*(Table8[County]=AK32))</f>
        <v>29.544404203263625</v>
      </c>
      <c r="AL35" s="372" cm="1">
        <f t="array" ref="AL35">SUMPRODUCT((Table8[B1])*(Table8[Adjusted Total]/Table8[BER Total])*(Table8[Archetype]=AL33)*(Table8[County]=AL32))</f>
        <v>139.25904889812827</v>
      </c>
      <c r="AM35" s="1024" cm="1">
        <f t="array" ref="AM35">SUMPRODUCT((Table8[B1])*(Table8[Adjusted Total]/Table8[BER Total])*(Table8[Archetype]=AM33)*(Table8[County]=AM32))</f>
        <v>25.830971295278061</v>
      </c>
      <c r="AN35" s="312" cm="1">
        <f t="array" ref="AN35">SUMPRODUCT((Table8[B1])*(Table8[Adjusted Total]/Table8[BER Total])*(Table8[Archetype]=AN33)*(Table8[County]=AN32))</f>
        <v>143.10442140608447</v>
      </c>
      <c r="AO35" s="372" cm="1">
        <f t="array" ref="AO35">SUMPRODUCT((Table8[B1])*(Table8[Adjusted Total]/Table8[BER Total])*(Table8[Archetype]=AO33)*(Table8[County]=AO32))</f>
        <v>287.10307092951456</v>
      </c>
      <c r="AP35" s="1024" cm="1">
        <f t="array" ref="AP35">SUMPRODUCT((Table8[B1])*(Table8[Adjusted Total]/Table8[BER Total])*(Table8[Archetype]=AP33)*(Table8[County]=AP32))</f>
        <v>109.36635397320441</v>
      </c>
      <c r="AQ35" s="312" cm="1">
        <f t="array" ref="AQ35">SUMPRODUCT((Table8[B1])*(Table8[Adjusted Total]/Table8[BER Total])*(Table8[Archetype]=AQ33)*(Table8[County]=AQ32))</f>
        <v>188.1879388180264</v>
      </c>
      <c r="AR35" s="372" cm="1">
        <f t="array" ref="AR35">SUMPRODUCT((Table8[B1])*(Table8[Adjusted Total]/Table8[BER Total])*(Table8[Archetype]=AR33)*(Table8[County]=AR32))</f>
        <v>233.19134962091178</v>
      </c>
      <c r="AS35" s="1024" cm="1">
        <f t="array" ref="AS35">SUMPRODUCT((Table8[B1])*(Table8[Adjusted Total]/Table8[BER Total])*(Table8[Archetype]=AS33)*(Table8[County]=AS32))</f>
        <v>1.2858304335706623</v>
      </c>
      <c r="AT35" s="312" cm="1">
        <f t="array" ref="AT35">SUMPRODUCT((Table8[B1])*(Table8[Adjusted Total]/Table8[BER Total])*(Table8[Archetype]=AT33)*(Table8[County]=AT32))</f>
        <v>84.771663699014425</v>
      </c>
      <c r="AU35" s="372" cm="1">
        <f t="array" ref="AU35">SUMPRODUCT((Table8[B1])*(Table8[Adjusted Total]/Table8[BER Total])*(Table8[Archetype]=AU33)*(Table8[County]=AU32))</f>
        <v>192.72717299827923</v>
      </c>
      <c r="AV35" s="1024" cm="1">
        <f t="array" ref="AV35">SUMPRODUCT((Table8[B1])*(Table8[Adjusted Total]/Table8[BER Total])*(Table8[Archetype]=AV33)*(Table8[County]=AV32))</f>
        <v>661.16165910752591</v>
      </c>
      <c r="AW35" s="312" cm="1">
        <f t="array" ref="AW35">SUMPRODUCT((Table8[B1])*(Table8[Adjusted Total]/Table8[BER Total])*(Table8[Archetype]=AW33)*(Table8[County]=AW32))</f>
        <v>1019.6405613550453</v>
      </c>
      <c r="AX35" s="372" cm="1">
        <f t="array" ref="AX35">SUMPRODUCT((Table8[B1])*(Table8[Adjusted Total]/Table8[BER Total])*(Table8[Archetype]=AX33)*(Table8[County]=AX32))</f>
        <v>1244.8498339622822</v>
      </c>
      <c r="AY35" s="1024" cm="1">
        <f t="array" ref="AY35">SUMPRODUCT((Table8[B1])*(Table8[Adjusted Total]/Table8[BER Total])*(Table8[Archetype]=AY33)*(Table8[County]=AY32))</f>
        <v>42.605646774192664</v>
      </c>
      <c r="AZ35" s="312" cm="1">
        <f t="array" ref="AZ35">SUMPRODUCT((Table8[B1])*(Table8[Adjusted Total]/Table8[BER Total])*(Table8[Archetype]=AZ33)*(Table8[County]=AZ32))</f>
        <v>176.74208196569424</v>
      </c>
      <c r="BA35" s="372" cm="1">
        <f t="array" ref="BA35">SUMPRODUCT((Table8[B1])*(Table8[Adjusted Total]/Table8[BER Total])*(Table8[Archetype]=BA33)*(Table8[County]=BA32))</f>
        <v>633.90151287867172</v>
      </c>
      <c r="BB35" s="1024" cm="1">
        <f t="array" ref="BB35">SUMPRODUCT((Table8[B1])*(Table8[Adjusted Total]/Table8[BER Total])*(Table8[Archetype]=BB33)*(Table8[County]=BB32))</f>
        <v>69.194421278598924</v>
      </c>
      <c r="BC35" s="312" cm="1">
        <f t="array" ref="BC35">SUMPRODUCT((Table8[B1])*(Table8[Adjusted Total]/Table8[BER Total])*(Table8[Archetype]=BC33)*(Table8[County]=BC32))</f>
        <v>235.05700105517636</v>
      </c>
      <c r="BD35" s="372" cm="1">
        <f t="array" ref="BD35">SUMPRODUCT((Table8[B1])*(Table8[Adjusted Total]/Table8[BER Total])*(Table8[Archetype]=BD33)*(Table8[County]=BD32))</f>
        <v>270.55002609827488</v>
      </c>
      <c r="BE35" s="1024" cm="1">
        <f t="array" ref="BE35">SUMPRODUCT((Table8[B1])*(Table8[Adjusted Total]/Table8[BER Total])*(Table8[Archetype]=BE33)*(Table8[County]=BE32))</f>
        <v>16.854268626284391</v>
      </c>
      <c r="BF35" s="312" cm="1">
        <f t="array" ref="BF35">SUMPRODUCT((Table8[B1])*(Table8[Adjusted Total]/Table8[BER Total])*(Table8[Archetype]=BF33)*(Table8[County]=BF32))</f>
        <v>205.88599718364441</v>
      </c>
      <c r="BG35" s="372" cm="1">
        <f t="array" ref="BG35">SUMPRODUCT((Table8[B1])*(Table8[Adjusted Total]/Table8[BER Total])*(Table8[Archetype]=BG33)*(Table8[County]=BG32))</f>
        <v>381.42936725340383</v>
      </c>
      <c r="BH35" s="1024" cm="1">
        <f t="array" ref="BH35">SUMPRODUCT((Table8[B1])*(Table8[Adjusted Total]/Table8[BER Total])*(Table8[Archetype]=BH33)*(Table8[County]=BH32))</f>
        <v>18.706514038054259</v>
      </c>
      <c r="BI35" s="312" cm="1">
        <f t="array" ref="BI35">SUMPRODUCT((Table8[B1])*(Table8[Adjusted Total]/Table8[BER Total])*(Table8[Archetype]=BI33)*(Table8[County]=BI32))</f>
        <v>263.46556892252573</v>
      </c>
      <c r="BJ35" s="372" cm="1">
        <f t="array" ref="BJ35">SUMPRODUCT((Table8[B1])*(Table8[Adjusted Total]/Table8[BER Total])*(Table8[Archetype]=BJ33)*(Table8[County]=BJ32))</f>
        <v>266.43764216236093</v>
      </c>
      <c r="BK35" s="1024" cm="1">
        <f t="array" ref="BK35">SUMPRODUCT((Table8[B1])*(Table8[Adjusted Total]/Table8[BER Total])*(Table8[Archetype]=BK33)*(Table8[County]=BK32))</f>
        <v>70.812631399005028</v>
      </c>
      <c r="BL35" s="312" cm="1">
        <f t="array" ref="BL35">SUMPRODUCT((Table8[B1])*(Table8[Adjusted Total]/Table8[BER Total])*(Table8[Archetype]=BL33)*(Table8[County]=BL32))</f>
        <v>160.81239443278591</v>
      </c>
      <c r="BM35" s="372" cm="1">
        <f t="array" ref="BM35">SUMPRODUCT((Table8[B1])*(Table8[Adjusted Total]/Table8[BER Total])*(Table8[Archetype]=BM33)*(Table8[County]=BM32))</f>
        <v>599.40483730921778</v>
      </c>
      <c r="BN35" s="1024" cm="1">
        <f t="array" ref="BN35">SUMPRODUCT((Table8[B1])*(Table8[Adjusted Total]/Table8[BER Total])*(Table8[Archetype]=BN33)*(Table8[County]=BN32))</f>
        <v>1.0207219784121402</v>
      </c>
      <c r="BO35" s="312" cm="1">
        <f t="array" ref="BO35">SUMPRODUCT((Table8[B1])*(Table8[Adjusted Total]/Table8[BER Total])*(Table8[Archetype]=BO33)*(Table8[County]=BO32))</f>
        <v>0</v>
      </c>
      <c r="BP35" s="372" cm="1">
        <f t="array" ref="BP35">SUMPRODUCT((Table8[B1])*(Table8[Adjusted Total]/Table8[BER Total])*(Table8[Archetype]=BP33)*(Table8[County]=BP32))</f>
        <v>75.112744355104894</v>
      </c>
      <c r="BQ35" s="1024" cm="1">
        <f t="array" ref="BQ35">SUMPRODUCT((Table8[B1])*(Table8[Adjusted Total]/Table8[BER Total])*(Table8[Archetype]=BQ33)*(Table8[County]=BQ32))</f>
        <v>11.015909788802345</v>
      </c>
      <c r="BR35" s="312" cm="1">
        <f t="array" ref="BR35">SUMPRODUCT((Table8[B1])*(Table8[Adjusted Total]/Table8[BER Total])*(Table8[Archetype]=BR33)*(Table8[County]=BR32))</f>
        <v>139.83273659454599</v>
      </c>
      <c r="BS35" s="372" cm="1">
        <f t="array" ref="BS35">SUMPRODUCT((Table8[B1])*(Table8[Adjusted Total]/Table8[BER Total])*(Table8[Archetype]=BS33)*(Table8[County]=BS32))</f>
        <v>299.94430492002152</v>
      </c>
      <c r="BT35" s="1024" cm="1">
        <f t="array" ref="BT35">SUMPRODUCT((Table8[B1])*(Table8[Adjusted Total]/Table8[BER Total])*(Table8[Archetype]=BT33)*(Table8[County]=BT32))</f>
        <v>11.5166974613897</v>
      </c>
      <c r="BU35" s="312" cm="1">
        <f t="array" ref="BU35">SUMPRODUCT((Table8[B1])*(Table8[Adjusted Total]/Table8[BER Total])*(Table8[Archetype]=BU33)*(Table8[County]=BU32))</f>
        <v>17.317051217140424</v>
      </c>
      <c r="BV35" s="372" cm="1">
        <f t="array" ref="BV35">SUMPRODUCT((Table8[B1])*(Table8[Adjusted Total]/Table8[BER Total])*(Table8[Archetype]=BV33)*(Table8[County]=BV32))</f>
        <v>81.804609103641766</v>
      </c>
      <c r="BW35" s="1024" cm="1">
        <f t="array" ref="BW35">SUMPRODUCT((Table8[B1])*(Table8[Adjusted Total]/Table8[BER Total])*(Table8[Archetype]=BW33)*(Table8[County]=BW32))</f>
        <v>7.0228130422058666</v>
      </c>
      <c r="BX35" s="312" cm="1">
        <f t="array" ref="BX35">SUMPRODUCT((Table8[B1])*(Table8[Adjusted Total]/Table8[BER Total])*(Table8[Archetype]=BX33)*(Table8[County]=BX32))</f>
        <v>115.74451614501439</v>
      </c>
      <c r="BY35" s="372" cm="1">
        <f t="array" ref="BY35">SUMPRODUCT((Table8[B1])*(Table8[Adjusted Total]/Table8[BER Total])*(Table8[Archetype]=BY33)*(Table8[County]=BY32))</f>
        <v>179.78583084080256</v>
      </c>
      <c r="BZ35" s="1024" cm="1">
        <f t="array" ref="BZ35">SUMPRODUCT((Table8[B1])*(Table8[Adjusted Total]/Table8[BER Total])*(Table8[Archetype]=BZ33)*(Table8[County]=BZ32))</f>
        <v>2.8188199931811315</v>
      </c>
      <c r="CA35" s="312" cm="1">
        <f t="array" ref="CA35">SUMPRODUCT((Table8[B1])*(Table8[Adjusted Total]/Table8[BER Total])*(Table8[Archetype]=CA33)*(Table8[County]=CA32))</f>
        <v>63.670071147187166</v>
      </c>
      <c r="CB35" s="372" cm="1">
        <f t="array" ref="CB35">SUMPRODUCT((Table8[B1])*(Table8[Adjusted Total]/Table8[BER Total])*(Table8[Archetype]=CB33)*(Table8[County]=CB32))</f>
        <v>157.47913172361709</v>
      </c>
      <c r="CC35" s="1024" cm="1">
        <f t="array" ref="CC35">SUMPRODUCT((Table8[B1])*(Table8[Adjusted Total]/Table8[BER Total])*(Table8[Archetype]=CC33)*(Table8[County]=CC32))</f>
        <v>37.693637091293482</v>
      </c>
      <c r="CD35" s="312" cm="1">
        <f t="array" ref="CD35">SUMPRODUCT((Table8[B1])*(Table8[Adjusted Total]/Table8[BER Total])*(Table8[Archetype]=CD33)*(Table8[County]=CD32))</f>
        <v>71.81133822797355</v>
      </c>
      <c r="CE35" s="372" cm="1">
        <f t="array" ref="CE35">SUMPRODUCT((Table8[B1])*(Table8[Adjusted Total]/Table8[BER Total])*(Table8[Archetype]=CE33)*(Table8[County]=CE32))</f>
        <v>353.46991530883668</v>
      </c>
      <c r="CF35" s="1024" cm="1">
        <f t="array" ref="CF35">SUMPRODUCT((Table8[B1])*(Table8[Adjusted Total]/Table8[BER Total])*(Table8[Archetype]=CF33)*(Table8[County]=CF32))</f>
        <v>5.4092816216012301</v>
      </c>
      <c r="CG35" s="312" cm="1">
        <f t="array" ref="CG35">SUMPRODUCT((Table8[B1])*(Table8[Adjusted Total]/Table8[BER Total])*(Table8[Archetype]=CG33)*(Table8[County]=CG32))</f>
        <v>99.481599257371329</v>
      </c>
      <c r="CH35" s="372" cm="1">
        <f t="array" ref="CH35">SUMPRODUCT((Table8[B1])*(Table8[Adjusted Total]/Table8[BER Total])*(Table8[Archetype]=CH33)*(Table8[County]=CH32))</f>
        <v>207.42901387031404</v>
      </c>
    </row>
    <row r="36" spans="2:86" ht="15">
      <c r="C36" s="261"/>
      <c r="H36" s="1011" t="s">
        <v>52</v>
      </c>
      <c r="I36" s="1025" cm="1">
        <f t="array" ref="I36">SUMPRODUCT((Table8[B2])*(Table8[Adjusted Total]/Table8[BER Total])*(Table8[Archetype]=I33)*(Table8[County]=I32))</f>
        <v>10.605558971335142</v>
      </c>
      <c r="J36" s="314" cm="1">
        <f t="array" ref="J36">SUMPRODUCT((Table8[B2])*(Table8[Adjusted Total]/Table8[BER Total])*(Table8[Archetype]=J33)*(Table8[County]=J32))</f>
        <v>205.32061878896735</v>
      </c>
      <c r="K36" s="373" cm="1">
        <f t="array" ref="K36">SUMPRODUCT((Table8[B2])*(Table8[Adjusted Total]/Table8[BER Total])*(Table8[Archetype]=K33)*(Table8[County]=K32))</f>
        <v>231.78506742646942</v>
      </c>
      <c r="L36" s="1025" cm="1">
        <f t="array" ref="L36">SUMPRODUCT((Table8[B2])*(Table8[Adjusted Total]/Table8[BER Total])*(Table8[Archetype]=L33)*(Table8[County]=L32))</f>
        <v>9792.4474391647527</v>
      </c>
      <c r="M36" s="314" cm="1">
        <f t="array" ref="M36">SUMPRODUCT((Table8[B2])*(Table8[Adjusted Total]/Table8[BER Total])*(Table8[Archetype]=M33)*(Table8[County]=M32))</f>
        <v>5891.9997429588639</v>
      </c>
      <c r="N36" s="373" cm="1">
        <f t="array" ref="N36">SUMPRODUCT((Table8[B2])*(Table8[Adjusted Total]/Table8[BER Total])*(Table8[Archetype]=N33)*(Table8[County]=N32))</f>
        <v>1801.6294181665426</v>
      </c>
      <c r="O36" s="1025" cm="1">
        <f t="array" ref="O36">SUMPRODUCT((Table8[B2])*(Table8[Adjusted Total]/Table8[BER Total])*(Table8[Archetype]=O33)*(Table8[County]=O32))</f>
        <v>235.78354557293412</v>
      </c>
      <c r="P36" s="314" cm="1">
        <f t="array" ref="P36">SUMPRODUCT((Table8[B2])*(Table8[Adjusted Total]/Table8[BER Total])*(Table8[Archetype]=P33)*(Table8[County]=P32))</f>
        <v>551.86288026592626</v>
      </c>
      <c r="Q36" s="373" cm="1">
        <f t="array" ref="Q36">SUMPRODUCT((Table8[B2])*(Table8[Adjusted Total]/Table8[BER Total])*(Table8[Archetype]=Q33)*(Table8[County]=Q32))</f>
        <v>943.38971154740523</v>
      </c>
      <c r="R36" s="1025" cm="1">
        <f t="array" ref="R36">SUMPRODUCT((Table8[B2])*(Table8[Adjusted Total]/Table8[BER Total])*(Table8[Archetype]=R33)*(Table8[County]=R32))</f>
        <v>69.593417923169199</v>
      </c>
      <c r="S36" s="314" cm="1">
        <f t="array" ref="S36">SUMPRODUCT((Table8[B2])*(Table8[Adjusted Total]/Table8[BER Total])*(Table8[Archetype]=S33)*(Table8[County]=S32))</f>
        <v>266.58086496251025</v>
      </c>
      <c r="T36" s="373" cm="1">
        <f t="array" ref="T36">SUMPRODUCT((Table8[B2])*(Table8[Adjusted Total]/Table8[BER Total])*(Table8[Archetype]=T33)*(Table8[County]=T32))</f>
        <v>439.65818595405455</v>
      </c>
      <c r="U36" s="1025" cm="1">
        <f t="array" ref="U36">SUMPRODUCT((Table8[B2])*(Table8[Adjusted Total]/Table8[BER Total])*(Table8[Archetype]=U33)*(Table8[County]=U32))</f>
        <v>112.85118919895011</v>
      </c>
      <c r="V36" s="314" cm="1">
        <f t="array" ref="V36">SUMPRODUCT((Table8[B2])*(Table8[Adjusted Total]/Table8[BER Total])*(Table8[Archetype]=V33)*(Table8[County]=V32))</f>
        <v>214.79459621323369</v>
      </c>
      <c r="W36" s="373" cm="1">
        <f t="array" ref="W36">SUMPRODUCT((Table8[B2])*(Table8[Adjusted Total]/Table8[BER Total])*(Table8[Archetype]=W33)*(Table8[County]=W32))</f>
        <v>380.02013525297519</v>
      </c>
      <c r="X36" s="1025" cm="1">
        <f t="array" ref="X36">SUMPRODUCT((Table8[B2])*(Table8[Adjusted Total]/Table8[BER Total])*(Table8[Archetype]=X33)*(Table8[County]=X32))</f>
        <v>7.1706581523280839</v>
      </c>
      <c r="Y36" s="314" cm="1">
        <f t="array" ref="Y36">SUMPRODUCT((Table8[B2])*(Table8[Adjusted Total]/Table8[BER Total])*(Table8[Archetype]=Y33)*(Table8[County]=Y32))</f>
        <v>101.25692698795652</v>
      </c>
      <c r="Z36" s="373" cm="1">
        <f t="array" ref="Z36">SUMPRODUCT((Table8[B2])*(Table8[Adjusted Total]/Table8[BER Total])*(Table8[Archetype]=Z33)*(Table8[County]=Z32))</f>
        <v>227.00340558818871</v>
      </c>
      <c r="AA36" s="1025" cm="1">
        <f t="array" ref="AA36">SUMPRODUCT((Table8[B2])*(Table8[Adjusted Total]/Table8[BER Total])*(Table8[Archetype]=AA33)*(Table8[County]=AA32))</f>
        <v>218.58011363682036</v>
      </c>
      <c r="AB36" s="314" cm="1">
        <f t="array" ref="AB36">SUMPRODUCT((Table8[B2])*(Table8[Adjusted Total]/Table8[BER Total])*(Table8[Archetype]=AB33)*(Table8[County]=AB32))</f>
        <v>540.01920516504788</v>
      </c>
      <c r="AC36" s="373" cm="1">
        <f t="array" ref="AC36">SUMPRODUCT((Table8[B2])*(Table8[Adjusted Total]/Table8[BER Total])*(Table8[Archetype]=AC33)*(Table8[County]=AC32))</f>
        <v>669.02179014585806</v>
      </c>
      <c r="AD36" s="1025" cm="1">
        <f t="array" ref="AD36">SUMPRODUCT((Table8[B2])*(Table8[Adjusted Total]/Table8[BER Total])*(Table8[Archetype]=AD33)*(Table8[County]=AD32))</f>
        <v>369.037377612417</v>
      </c>
      <c r="AE36" s="314" cm="1">
        <f t="array" ref="AE36">SUMPRODUCT((Table8[B2])*(Table8[Adjusted Total]/Table8[BER Total])*(Table8[Archetype]=AE33)*(Table8[County]=AE32))</f>
        <v>544.54842402348618</v>
      </c>
      <c r="AF36" s="373" cm="1">
        <f t="array" ref="AF36">SUMPRODUCT((Table8[B2])*(Table8[Adjusted Total]/Table8[BER Total])*(Table8[Archetype]=AF33)*(Table8[County]=AF32))</f>
        <v>912.86425399565746</v>
      </c>
      <c r="AG36" s="1025" cm="1">
        <f t="array" ref="AG36">SUMPRODUCT((Table8[B2])*(Table8[Adjusted Total]/Table8[BER Total])*(Table8[Archetype]=AG33)*(Table8[County]=AG32))</f>
        <v>20.501788054471191</v>
      </c>
      <c r="AH36" s="314" cm="1">
        <f t="array" ref="AH36">SUMPRODUCT((Table8[B2])*(Table8[Adjusted Total]/Table8[BER Total])*(Table8[Archetype]=AH33)*(Table8[County]=AH32))</f>
        <v>139.98046258185127</v>
      </c>
      <c r="AI36" s="373" cm="1">
        <f t="array" ref="AI36">SUMPRODUCT((Table8[B2])*(Table8[Adjusted Total]/Table8[BER Total])*(Table8[Archetype]=AI33)*(Table8[County]=AI32))</f>
        <v>293.88821024158085</v>
      </c>
      <c r="AJ36" s="1025" cm="1">
        <f t="array" ref="AJ36">SUMPRODUCT((Table8[B2])*(Table8[Adjusted Total]/Table8[BER Total])*(Table8[Archetype]=AJ33)*(Table8[County]=AJ32))</f>
        <v>167.43433550006739</v>
      </c>
      <c r="AK36" s="314" cm="1">
        <f t="array" ref="AK36">SUMPRODUCT((Table8[B2])*(Table8[Adjusted Total]/Table8[BER Total])*(Table8[Archetype]=AK33)*(Table8[County]=AK32))</f>
        <v>217.23826620046782</v>
      </c>
      <c r="AL36" s="373" cm="1">
        <f t="array" ref="AL36">SUMPRODUCT((Table8[B2])*(Table8[Adjusted Total]/Table8[BER Total])*(Table8[Archetype]=AL33)*(Table8[County]=AL32))</f>
        <v>343.88459013619428</v>
      </c>
      <c r="AM36" s="1025" cm="1">
        <f t="array" ref="AM36">SUMPRODUCT((Table8[B2])*(Table8[Adjusted Total]/Table8[BER Total])*(Table8[Archetype]=AM33)*(Table8[County]=AM32))</f>
        <v>50.431896338400023</v>
      </c>
      <c r="AN36" s="314" cm="1">
        <f t="array" ref="AN36">SUMPRODUCT((Table8[B2])*(Table8[Adjusted Total]/Table8[BER Total])*(Table8[Archetype]=AN33)*(Table8[County]=AN32))</f>
        <v>154.7524557065797</v>
      </c>
      <c r="AO36" s="373" cm="1">
        <f t="array" ref="AO36">SUMPRODUCT((Table8[B2])*(Table8[Adjusted Total]/Table8[BER Total])*(Table8[Archetype]=AO33)*(Table8[County]=AO32))</f>
        <v>809.95744400440287</v>
      </c>
      <c r="AP36" s="1025" cm="1">
        <f t="array" ref="AP36">SUMPRODUCT((Table8[B2])*(Table8[Adjusted Total]/Table8[BER Total])*(Table8[Archetype]=AP33)*(Table8[County]=AP32))</f>
        <v>285.46472054022848</v>
      </c>
      <c r="AQ36" s="314" cm="1">
        <f t="array" ref="AQ36">SUMPRODUCT((Table8[B2])*(Table8[Adjusted Total]/Table8[BER Total])*(Table8[Archetype]=AQ33)*(Table8[County]=AQ32))</f>
        <v>307.31608357439171</v>
      </c>
      <c r="AR36" s="373" cm="1">
        <f t="array" ref="AR36">SUMPRODUCT((Table8[B2])*(Table8[Adjusted Total]/Table8[BER Total])*(Table8[Archetype]=AR33)*(Table8[County]=AR32))</f>
        <v>613.10984057632982</v>
      </c>
      <c r="AS36" s="1025" cm="1">
        <f t="array" ref="AS36">SUMPRODUCT((Table8[B2])*(Table8[Adjusted Total]/Table8[BER Total])*(Table8[Archetype]=AS33)*(Table8[County]=AS32))</f>
        <v>43.718234741402519</v>
      </c>
      <c r="AT36" s="314" cm="1">
        <f t="array" ref="AT36">SUMPRODUCT((Table8[B2])*(Table8[Adjusted Total]/Table8[BER Total])*(Table8[Archetype]=AT33)*(Table8[County]=AT32))</f>
        <v>182.58512181326185</v>
      </c>
      <c r="AU36" s="373" cm="1">
        <f t="array" ref="AU36">SUMPRODUCT((Table8[B2])*(Table8[Adjusted Total]/Table8[BER Total])*(Table8[Archetype]=AU33)*(Table8[County]=AU32))</f>
        <v>595.47754734083708</v>
      </c>
      <c r="AV36" s="1025" cm="1">
        <f t="array" ref="AV36">SUMPRODUCT((Table8[B2])*(Table8[Adjusted Total]/Table8[BER Total])*(Table8[Archetype]=AV33)*(Table8[County]=AV32))</f>
        <v>1664.2476076064438</v>
      </c>
      <c r="AW36" s="314" cm="1">
        <f t="array" ref="AW36">SUMPRODUCT((Table8[B2])*(Table8[Adjusted Total]/Table8[BER Total])*(Table8[Archetype]=AW33)*(Table8[County]=AW32))</f>
        <v>2523.6103893537374</v>
      </c>
      <c r="AX36" s="373" cm="1">
        <f t="array" ref="AX36">SUMPRODUCT((Table8[B2])*(Table8[Adjusted Total]/Table8[BER Total])*(Table8[Archetype]=AX33)*(Table8[County]=AX32))</f>
        <v>3053.5594395442417</v>
      </c>
      <c r="AY36" s="1025" cm="1">
        <f t="array" ref="AY36">SUMPRODUCT((Table8[B2])*(Table8[Adjusted Total]/Table8[BER Total])*(Table8[Archetype]=AY33)*(Table8[County]=AY32))</f>
        <v>60.149148387095529</v>
      </c>
      <c r="AZ36" s="314" cm="1">
        <f t="array" ref="AZ36">SUMPRODUCT((Table8[B2])*(Table8[Adjusted Total]/Table8[BER Total])*(Table8[Archetype]=AZ33)*(Table8[County]=AZ32))</f>
        <v>259.01856839800018</v>
      </c>
      <c r="BA36" s="373" cm="1">
        <f t="array" ref="BA36">SUMPRODUCT((Table8[B2])*(Table8[Adjusted Total]/Table8[BER Total])*(Table8[Archetype]=BA33)*(Table8[County]=BA32))</f>
        <v>1250.1244975097309</v>
      </c>
      <c r="BB36" s="1025" cm="1">
        <f t="array" ref="BB36">SUMPRODUCT((Table8[B2])*(Table8[Adjusted Total]/Table8[BER Total])*(Table8[Archetype]=BB33)*(Table8[County]=BB32))</f>
        <v>210.09942460956401</v>
      </c>
      <c r="BC36" s="314" cm="1">
        <f t="array" ref="BC36">SUMPRODUCT((Table8[B2])*(Table8[Adjusted Total]/Table8[BER Total])*(Table8[Archetype]=BC33)*(Table8[County]=BC32))</f>
        <v>483.26404412742551</v>
      </c>
      <c r="BD36" s="373" cm="1">
        <f t="array" ref="BD36">SUMPRODUCT((Table8[B2])*(Table8[Adjusted Total]/Table8[BER Total])*(Table8[Archetype]=BD33)*(Table8[County]=BD32))</f>
        <v>623.0849085899664</v>
      </c>
      <c r="BE36" s="1025" cm="1">
        <f t="array" ref="BE36">SUMPRODUCT((Table8[B2])*(Table8[Adjusted Total]/Table8[BER Total])*(Table8[Archetype]=BE33)*(Table8[County]=BE32))</f>
        <v>18.72696514031599</v>
      </c>
      <c r="BF36" s="314" cm="1">
        <f t="array" ref="BF36">SUMPRODUCT((Table8[B2])*(Table8[Adjusted Total]/Table8[BER Total])*(Table8[Archetype]=BF33)*(Table8[County]=BF32))</f>
        <v>290.26550422612166</v>
      </c>
      <c r="BG36" s="373" cm="1">
        <f t="array" ref="BG36">SUMPRODUCT((Table8[B2])*(Table8[Adjusted Total]/Table8[BER Total])*(Table8[Archetype]=BG33)*(Table8[County]=BG32))</f>
        <v>728.18333748377086</v>
      </c>
      <c r="BH36" s="1025" cm="1">
        <f t="array" ref="BH36">SUMPRODUCT((Table8[B2])*(Table8[Adjusted Total]/Table8[BER Total])*(Table8[Archetype]=BH33)*(Table8[County]=BH32))</f>
        <v>44.427970840378862</v>
      </c>
      <c r="BI36" s="314" cm="1">
        <f t="array" ref="BI36">SUMPRODUCT((Table8[B2])*(Table8[Adjusted Total]/Table8[BER Total])*(Table8[Archetype]=BI33)*(Table8[County]=BI32))</f>
        <v>387.24133955726938</v>
      </c>
      <c r="BJ36" s="373" cm="1">
        <f t="array" ref="BJ36">SUMPRODUCT((Table8[B2])*(Table8[Adjusted Total]/Table8[BER Total])*(Table8[Archetype]=BJ33)*(Table8[County]=BJ32))</f>
        <v>511.34496980655132</v>
      </c>
      <c r="BK36" s="1025" cm="1">
        <f t="array" ref="BK36">SUMPRODUCT((Table8[B2])*(Table8[Adjusted Total]/Table8[BER Total])*(Table8[Archetype]=BK33)*(Table8[County]=BK32))</f>
        <v>274.91962778437244</v>
      </c>
      <c r="BL36" s="314" cm="1">
        <f t="array" ref="BL36">SUMPRODUCT((Table8[B2])*(Table8[Adjusted Total]/Table8[BER Total])*(Table8[Archetype]=BL33)*(Table8[County]=BL32))</f>
        <v>443.02238074130236</v>
      </c>
      <c r="BM36" s="373" cm="1">
        <f t="array" ref="BM36">SUMPRODUCT((Table8[B2])*(Table8[Adjusted Total]/Table8[BER Total])*(Table8[Archetype]=BM33)*(Table8[County]=BM32))</f>
        <v>1439.5962331956425</v>
      </c>
      <c r="BN36" s="1025" cm="1">
        <f t="array" ref="BN36">SUMPRODUCT((Table8[B2])*(Table8[Adjusted Total]/Table8[BER Total])*(Table8[Archetype]=BN33)*(Table8[County]=BN32))</f>
        <v>8.1657758272971215</v>
      </c>
      <c r="BO36" s="314" cm="1">
        <f t="array" ref="BO36">SUMPRODUCT((Table8[B2])*(Table8[Adjusted Total]/Table8[BER Total])*(Table8[Archetype]=BO33)*(Table8[County]=BO32))</f>
        <v>36.503724167469748</v>
      </c>
      <c r="BP36" s="373" cm="1">
        <f t="array" ref="BP36">SUMPRODUCT((Table8[B2])*(Table8[Adjusted Total]/Table8[BER Total])*(Table8[Archetype]=BP33)*(Table8[County]=BP32))</f>
        <v>222.83447492014454</v>
      </c>
      <c r="BQ36" s="1025" cm="1">
        <f t="array" ref="BQ36">SUMPRODUCT((Table8[B2])*(Table8[Adjusted Total]/Table8[BER Total])*(Table8[Archetype]=BQ33)*(Table8[County]=BQ32))</f>
        <v>49.571594049610553</v>
      </c>
      <c r="BR36" s="314" cm="1">
        <f t="array" ref="BR36">SUMPRODUCT((Table8[B2])*(Table8[Adjusted Total]/Table8[BER Total])*(Table8[Archetype]=BR33)*(Table8[County]=BR32))</f>
        <v>234.13853569319326</v>
      </c>
      <c r="BS36" s="373" cm="1">
        <f t="array" ref="BS36">SUMPRODUCT((Table8[B2])*(Table8[Adjusted Total]/Table8[BER Total])*(Table8[Archetype]=BS33)*(Table8[County]=BS32))</f>
        <v>613.39961456617016</v>
      </c>
      <c r="BT36" s="1025" cm="1">
        <f t="array" ref="BT36">SUMPRODUCT((Table8[B2])*(Table8[Adjusted Total]/Table8[BER Total])*(Table8[Archetype]=BT33)*(Table8[County]=BT32))</f>
        <v>11.5166974613897</v>
      </c>
      <c r="BU36" s="314" cm="1">
        <f t="array" ref="BU36">SUMPRODUCT((Table8[B2])*(Table8[Adjusted Total]/Table8[BER Total])*(Table8[Archetype]=BU33)*(Table8[County]=BU32))</f>
        <v>18.891328600516825</v>
      </c>
      <c r="BV36" s="373" cm="1">
        <f t="array" ref="BV36">SUMPRODUCT((Table8[B2])*(Table8[Adjusted Total]/Table8[BER Total])*(Table8[Archetype]=BV33)*(Table8[County]=BV32))</f>
        <v>283.39453868047326</v>
      </c>
      <c r="BW36" s="1025" cm="1">
        <f t="array" ref="BW36">SUMPRODUCT((Table8[B2])*(Table8[Adjusted Total]/Table8[BER Total])*(Table8[Archetype]=BW33)*(Table8[County]=BW32))</f>
        <v>38.625471732132269</v>
      </c>
      <c r="BX36" s="314" cm="1">
        <f t="array" ref="BX36">SUMPRODUCT((Table8[B2])*(Table8[Adjusted Total]/Table8[BER Total])*(Table8[Archetype]=BX33)*(Table8[County]=BX32))</f>
        <v>121.75721828241772</v>
      </c>
      <c r="BY36" s="373" cm="1">
        <f t="array" ref="BY36">SUMPRODUCT((Table8[B2])*(Table8[Adjusted Total]/Table8[BER Total])*(Table8[Archetype]=BY33)*(Table8[County]=BY32))</f>
        <v>300.53750827119234</v>
      </c>
      <c r="BZ36" s="1025" cm="1">
        <f t="array" ref="BZ36">SUMPRODUCT((Table8[B2])*(Table8[Adjusted Total]/Table8[BER Total])*(Table8[Archetype]=BZ33)*(Table8[County]=BZ32))</f>
        <v>42.282299897716975</v>
      </c>
      <c r="CA36" s="314" cm="1">
        <f t="array" ref="CA36">SUMPRODUCT((Table8[B2])*(Table8[Adjusted Total]/Table8[BER Total])*(Table8[Archetype]=CA33)*(Table8[County]=CA32))</f>
        <v>177.03385636047165</v>
      </c>
      <c r="CB36" s="373" cm="1">
        <f t="array" ref="CB36">SUMPRODUCT((Table8[B2])*(Table8[Adjusted Total]/Table8[BER Total])*(Table8[Archetype]=CB33)*(Table8[County]=CB32))</f>
        <v>494.15865471893636</v>
      </c>
      <c r="CC36" s="1025" cm="1">
        <f t="array" ref="CC36">SUMPRODUCT((Table8[B2])*(Table8[Adjusted Total]/Table8[BER Total])*(Table8[Archetype]=CC33)*(Table8[County]=CC32))</f>
        <v>127.92991982499606</v>
      </c>
      <c r="CD36" s="314" cm="1">
        <f t="array" ref="CD36">SUMPRODUCT((Table8[B2])*(Table8[Adjusted Total]/Table8[BER Total])*(Table8[Archetype]=CD33)*(Table8[County]=CD32))</f>
        <v>150.30280094227021</v>
      </c>
      <c r="CE36" s="373" cm="1">
        <f t="array" ref="CE36">SUMPRODUCT((Table8[B2])*(Table8[Adjusted Total]/Table8[BER Total])*(Table8[Archetype]=CE33)*(Table8[County]=CE32))</f>
        <v>824.76313572061883</v>
      </c>
      <c r="CF36" s="1025" cm="1">
        <f t="array" ref="CF36">SUMPRODUCT((Table8[B2])*(Table8[Adjusted Total]/Table8[BER Total])*(Table8[Archetype]=CF33)*(Table8[County]=CF32))</f>
        <v>45.077346846676917</v>
      </c>
      <c r="CG36" s="314" cm="1">
        <f t="array" ref="CG36">SUMPRODUCT((Table8[B2])*(Table8[Adjusted Total]/Table8[BER Total])*(Table8[Archetype]=CG33)*(Table8[County]=CG32))</f>
        <v>135.65672626005181</v>
      </c>
      <c r="CH36" s="373" cm="1">
        <f t="array" ref="CH36">SUMPRODUCT((Table8[B2])*(Table8[Adjusted Total]/Table8[BER Total])*(Table8[Archetype]=CH33)*(Table8[County]=CH32))</f>
        <v>364.9214132903673</v>
      </c>
    </row>
    <row r="37" spans="2:86" ht="15">
      <c r="C37" s="261"/>
      <c r="H37" s="1010" t="s">
        <v>54</v>
      </c>
      <c r="I37" s="1024" cm="1">
        <f t="array" ref="I37">SUMPRODUCT((Table8[B3])*(Table8[Adjusted Total]/Table8[BER Total])*(Table8[Archetype]=I33)*(Table8[County]=I32))</f>
        <v>74.238912799345997</v>
      </c>
      <c r="J37" s="312" cm="1">
        <f t="array" ref="J37">SUMPRODUCT((Table8[B3])*(Table8[Adjusted Total]/Table8[BER Total])*(Table8[Archetype]=J33)*(Table8[County]=J32))</f>
        <v>572.36638251445015</v>
      </c>
      <c r="K37" s="372" cm="1">
        <f t="array" ref="K37">SUMPRODUCT((Table8[B3])*(Table8[Adjusted Total]/Table8[BER Total])*(Table8[Archetype]=K33)*(Table8[County]=K32))</f>
        <v>725.26295291508177</v>
      </c>
      <c r="L37" s="1024" cm="1">
        <f t="array" ref="L37">SUMPRODUCT((Table8[B3])*(Table8[Adjusted Total]/Table8[BER Total])*(Table8[Archetype]=L33)*(Table8[County]=L32))</f>
        <v>14102.515190964863</v>
      </c>
      <c r="M37" s="312" cm="1">
        <f t="array" ref="M37">SUMPRODUCT((Table8[B3])*(Table8[Adjusted Total]/Table8[BER Total])*(Table8[Archetype]=M33)*(Table8[County]=M32))</f>
        <v>16753.257889821252</v>
      </c>
      <c r="N37" s="372" cm="1">
        <f t="array" ref="N37">SUMPRODUCT((Table8[B3])*(Table8[Adjusted Total]/Table8[BER Total])*(Table8[Archetype]=N33)*(Table8[County]=N32))</f>
        <v>3901.0691636529646</v>
      </c>
      <c r="O37" s="1024" cm="1">
        <f t="array" ref="O37">SUMPRODUCT((Table8[B3])*(Table8[Adjusted Total]/Table8[BER Total])*(Table8[Archetype]=O33)*(Table8[County]=O32))</f>
        <v>661.94047238623727</v>
      </c>
      <c r="P37" s="312" cm="1">
        <f t="array" ref="P37">SUMPRODUCT((Table8[B3])*(Table8[Adjusted Total]/Table8[BER Total])*(Table8[Archetype]=P33)*(Table8[County]=P32))</f>
        <v>2057.6079575477916</v>
      </c>
      <c r="Q37" s="372" cm="1">
        <f t="array" ref="Q37">SUMPRODUCT((Table8[B3])*(Table8[Adjusted Total]/Table8[BER Total])*(Table8[Archetype]=Q33)*(Table8[County]=Q32))</f>
        <v>2835.6539585465612</v>
      </c>
      <c r="R37" s="1024" cm="1">
        <f t="array" ref="R37">SUMPRODUCT((Table8[B3])*(Table8[Adjusted Total]/Table8[BER Total])*(Table8[Archetype]=R33)*(Table8[County]=R32))</f>
        <v>159.07066953867243</v>
      </c>
      <c r="S37" s="312" cm="1">
        <f t="array" ref="S37">SUMPRODUCT((Table8[B3])*(Table8[Adjusted Total]/Table8[BER Total])*(Table8[Archetype]=S33)*(Table8[County]=S32))</f>
        <v>982.65209347494658</v>
      </c>
      <c r="T37" s="372" cm="1">
        <f t="array" ref="T37">SUMPRODUCT((Table8[B3])*(Table8[Adjusted Total]/Table8[BER Total])*(Table8[Archetype]=T33)*(Table8[County]=T32))</f>
        <v>1277.1023496760631</v>
      </c>
      <c r="U37" s="1024" cm="1">
        <f t="array" ref="U37">SUMPRODUCT((Table8[B3])*(Table8[Adjusted Total]/Table8[BER Total])*(Table8[Archetype]=U33)*(Table8[County]=U32))</f>
        <v>153.73930122755522</v>
      </c>
      <c r="V37" s="312" cm="1">
        <f t="array" ref="V37">SUMPRODUCT((Table8[B3])*(Table8[Adjusted Total]/Table8[BER Total])*(Table8[Archetype]=V33)*(Table8[County]=V32))</f>
        <v>1063.2332512555067</v>
      </c>
      <c r="W37" s="372" cm="1">
        <f t="array" ref="W37">SUMPRODUCT((Table8[B3])*(Table8[Adjusted Total]/Table8[BER Total])*(Table8[Archetype]=W33)*(Table8[County]=W32))</f>
        <v>1199.9060963499453</v>
      </c>
      <c r="X37" s="1024" cm="1">
        <f t="array" ref="X37">SUMPRODUCT((Table8[B3])*(Table8[Adjusted Total]/Table8[BER Total])*(Table8[Archetype]=X33)*(Table8[County]=X32))</f>
        <v>14.341316304656168</v>
      </c>
      <c r="Y37" s="312" cm="1">
        <f t="array" ref="Y37">SUMPRODUCT((Table8[B3])*(Table8[Adjusted Total]/Table8[BER Total])*(Table8[Archetype]=Y33)*(Table8[County]=Y32))</f>
        <v>353.56926964647113</v>
      </c>
      <c r="Z37" s="372" cm="1">
        <f t="array" ref="Z37">SUMPRODUCT((Table8[B3])*(Table8[Adjusted Total]/Table8[BER Total])*(Table8[Archetype]=Z33)*(Table8[County]=Z32))</f>
        <v>691.69272996871621</v>
      </c>
      <c r="AA37" s="1024" cm="1">
        <f t="array" ref="AA37">SUMPRODUCT((Table8[B3])*(Table8[Adjusted Total]/Table8[BER Total])*(Table8[Archetype]=AA33)*(Table8[County]=AA32))</f>
        <v>366.12169034167408</v>
      </c>
      <c r="AB37" s="312" cm="1">
        <f t="array" ref="AB37">SUMPRODUCT((Table8[B3])*(Table8[Adjusted Total]/Table8[BER Total])*(Table8[Archetype]=AB33)*(Table8[County]=AB32))</f>
        <v>2100.0746867529638</v>
      </c>
      <c r="AC37" s="372" cm="1">
        <f t="array" ref="AC37">SUMPRODUCT((Table8[B3])*(Table8[Adjusted Total]/Table8[BER Total])*(Table8[Archetype]=AC33)*(Table8[County]=AC32))</f>
        <v>1609.3398180280287</v>
      </c>
      <c r="AD37" s="1024" cm="1">
        <f t="array" ref="AD37">SUMPRODUCT((Table8[B3])*(Table8[Adjusted Total]/Table8[BER Total])*(Table8[Archetype]=AD33)*(Table8[County]=AD32))</f>
        <v>647.12715505494918</v>
      </c>
      <c r="AE37" s="312" cm="1">
        <f t="array" ref="AE37">SUMPRODUCT((Table8[B3])*(Table8[Adjusted Total]/Table8[BER Total])*(Table8[Archetype]=AE33)*(Table8[County]=AE32))</f>
        <v>2055.6315151883741</v>
      </c>
      <c r="AF37" s="372" cm="1">
        <f t="array" ref="AF37">SUMPRODUCT((Table8[B3])*(Table8[Adjusted Total]/Table8[BER Total])*(Table8[Archetype]=AF33)*(Table8[County]=AF32))</f>
        <v>2726.7373820649509</v>
      </c>
      <c r="AG37" s="1024" cm="1">
        <f t="array" ref="AG37">SUMPRODUCT((Table8[B3])*(Table8[Adjusted Total]/Table8[BER Total])*(Table8[Archetype]=AG33)*(Table8[County]=AG32))</f>
        <v>64.659485402562993</v>
      </c>
      <c r="AH37" s="312" cm="1">
        <f t="array" ref="AH37">SUMPRODUCT((Table8[B3])*(Table8[Adjusted Total]/Table8[BER Total])*(Table8[Archetype]=AH33)*(Table8[County]=AH32))</f>
        <v>393.45859752736573</v>
      </c>
      <c r="AI37" s="372" cm="1">
        <f t="array" ref="AI37">SUMPRODUCT((Table8[B3])*(Table8[Adjusted Total]/Table8[BER Total])*(Table8[Archetype]=AI33)*(Table8[County]=AI32))</f>
        <v>894.87308961200461</v>
      </c>
      <c r="AJ37" s="1024" cm="1">
        <f t="array" ref="AJ37">SUMPRODUCT((Table8[B3])*(Table8[Adjusted Total]/Table8[BER Total])*(Table8[Archetype]=AJ33)*(Table8[County]=AJ32))</f>
        <v>237.86306392469893</v>
      </c>
      <c r="AK37" s="312" cm="1">
        <f t="array" ref="AK37">SUMPRODUCT((Table8[B3])*(Table8[Adjusted Total]/Table8[BER Total])*(Table8[Archetype]=AK33)*(Table8[County]=AK32))</f>
        <v>962.79999580047343</v>
      </c>
      <c r="AL37" s="372" cm="1">
        <f t="array" ref="AL37">SUMPRODUCT((Table8[B3])*(Table8[Adjusted Total]/Table8[BER Total])*(Table8[Archetype]=AL33)*(Table8[County]=AL32))</f>
        <v>1128.2824982154473</v>
      </c>
      <c r="AM37" s="1024" cm="1">
        <f t="array" ref="AM37">SUMPRODUCT((Table8[B3])*(Table8[Adjusted Total]/Table8[BER Total])*(Table8[Archetype]=AM33)*(Table8[County]=AM32))</f>
        <v>136.53513398932691</v>
      </c>
      <c r="AN37" s="312" cm="1">
        <f t="array" ref="AN37">SUMPRODUCT((Table8[B3])*(Table8[Adjusted Total]/Table8[BER Total])*(Table8[Archetype]=AN33)*(Table8[County]=AN32))</f>
        <v>585.72972482490388</v>
      </c>
      <c r="AO37" s="372" cm="1">
        <f t="array" ref="AO37">SUMPRODUCT((Table8[B3])*(Table8[Adjusted Total]/Table8[BER Total])*(Table8[Archetype]=AO33)*(Table8[County]=AO32))</f>
        <v>2208.1260577180551</v>
      </c>
      <c r="AP37" s="1024" cm="1">
        <f t="array" ref="AP37">SUMPRODUCT((Table8[B3])*(Table8[Adjusted Total]/Table8[BER Total])*(Table8[Archetype]=AP33)*(Table8[County]=AP32))</f>
        <v>539.41710180004213</v>
      </c>
      <c r="AQ37" s="312" cm="1">
        <f t="array" ref="AQ37">SUMPRODUCT((Table8[B3])*(Table8[Adjusted Total]/Table8[BER Total])*(Table8[Archetype]=AQ33)*(Table8[County]=AQ32))</f>
        <v>1249.9822725160652</v>
      </c>
      <c r="AR37" s="372" cm="1">
        <f t="array" ref="AR37">SUMPRODUCT((Table8[B3])*(Table8[Adjusted Total]/Table8[BER Total])*(Table8[Archetype]=AR33)*(Table8[County]=AR32))</f>
        <v>1629.7193198225518</v>
      </c>
      <c r="AS37" s="1024" cm="1">
        <f t="array" ref="AS37">SUMPRODUCT((Table8[B3])*(Table8[Adjusted Total]/Table8[BER Total])*(Table8[Archetype]=AS33)*(Table8[County]=AS32))</f>
        <v>180.01626069989271</v>
      </c>
      <c r="AT37" s="312" cm="1">
        <f t="array" ref="AT37">SUMPRODUCT((Table8[B3])*(Table8[Adjusted Total]/Table8[BER Total])*(Table8[Archetype]=AT33)*(Table8[County]=AT32))</f>
        <v>759.68452468732164</v>
      </c>
      <c r="AU37" s="372" cm="1">
        <f t="array" ref="AU37">SUMPRODUCT((Table8[B3])*(Table8[Adjusted Total]/Table8[BER Total])*(Table8[Archetype]=AU33)*(Table8[County]=AU32))</f>
        <v>1749.369724138227</v>
      </c>
      <c r="AV37" s="1024" cm="1">
        <f t="array" ref="AV37">SUMPRODUCT((Table8[B3])*(Table8[Adjusted Total]/Table8[BER Total])*(Table8[Archetype]=AV33)*(Table8[County]=AV32))</f>
        <v>2390.2290372147077</v>
      </c>
      <c r="AW37" s="312" cm="1">
        <f t="array" ref="AW37">SUMPRODUCT((Table8[B3])*(Table8[Adjusted Total]/Table8[BER Total])*(Table8[Archetype]=AW33)*(Table8[County]=AW32))</f>
        <v>9499.0443010522704</v>
      </c>
      <c r="AX37" s="372" cm="1">
        <f t="array" ref="AX37">SUMPRODUCT((Table8[B3])*(Table8[Adjusted Total]/Table8[BER Total])*(Table8[Archetype]=AX33)*(Table8[County]=AX32))</f>
        <v>9133.4387161390205</v>
      </c>
      <c r="AY37" s="1024" cm="1">
        <f t="array" ref="AY37">SUMPRODUCT((Table8[B3])*(Table8[Adjusted Total]/Table8[BER Total])*(Table8[Archetype]=AY33)*(Table8[County]=AY32))</f>
        <v>167.91637258064168</v>
      </c>
      <c r="AZ37" s="312" cm="1">
        <f t="array" ref="AZ37">SUMPRODUCT((Table8[B3])*(Table8[Adjusted Total]/Table8[BER Total])*(Table8[Archetype]=AZ33)*(Table8[County]=AZ32))</f>
        <v>1078.7361554457891</v>
      </c>
      <c r="BA37" s="372" cm="1">
        <f t="array" ref="BA37">SUMPRODUCT((Table8[B3])*(Table8[Adjusted Total]/Table8[BER Total])*(Table8[Archetype]=BA33)*(Table8[County]=BA32))</f>
        <v>2871.4980882193213</v>
      </c>
      <c r="BB37" s="1024" cm="1">
        <f t="array" ref="BB37">SUMPRODUCT((Table8[B3])*(Table8[Adjusted Total]/Table8[BER Total])*(Table8[Archetype]=BB33)*(Table8[County]=BB32))</f>
        <v>481.84478817642525</v>
      </c>
      <c r="BC37" s="312" cm="1">
        <f t="array" ref="BC37">SUMPRODUCT((Table8[B3])*(Table8[Adjusted Total]/Table8[BER Total])*(Table8[Archetype]=BC33)*(Table8[County]=BC32))</f>
        <v>1638.823986377698</v>
      </c>
      <c r="BD37" s="372" cm="1">
        <f t="array" ref="BD37">SUMPRODUCT((Table8[B3])*(Table8[Adjusted Total]/Table8[BER Total])*(Table8[Archetype]=BD33)*(Table8[County]=BD32))</f>
        <v>2137.0719233217269</v>
      </c>
      <c r="BE37" s="1024" cm="1">
        <f t="array" ref="BE37">SUMPRODUCT((Table8[B3])*(Table8[Adjusted Total]/Table8[BER Total])*(Table8[Archetype]=BE33)*(Table8[County]=BE32))</f>
        <v>73.035164047232357</v>
      </c>
      <c r="BF37" s="312" cm="1">
        <f t="array" ref="BF37">SUMPRODUCT((Table8[B3])*(Table8[Adjusted Total]/Table8[BER Total])*(Table8[Archetype]=BF33)*(Table8[County]=BF32))</f>
        <v>1076.6825098620093</v>
      </c>
      <c r="BG37" s="372" cm="1">
        <f t="array" ref="BG37">SUMPRODUCT((Table8[B3])*(Table8[Adjusted Total]/Table8[BER Total])*(Table8[Archetype]=BG33)*(Table8[County]=BG32))</f>
        <v>2069.8544684520375</v>
      </c>
      <c r="BH37" s="1024" cm="1">
        <f t="array" ref="BH37">SUMPRODUCT((Table8[B3])*(Table8[Adjusted Total]/Table8[BER Total])*(Table8[Archetype]=BH33)*(Table8[County]=BH32))</f>
        <v>140.29885528540694</v>
      </c>
      <c r="BI37" s="312" cm="1">
        <f t="array" ref="BI37">SUMPRODUCT((Table8[B3])*(Table8[Adjusted Total]/Table8[BER Total])*(Table8[Archetype]=BI33)*(Table8[County]=BI32))</f>
        <v>1211.2343269257055</v>
      </c>
      <c r="BJ37" s="372" cm="1">
        <f t="array" ref="BJ37">SUMPRODUCT((Table8[B3])*(Table8[Adjusted Total]/Table8[BER Total])*(Table8[Archetype]=BJ33)*(Table8[County]=BJ32))</f>
        <v>1501.7394376423981</v>
      </c>
      <c r="BK37" s="1024" cm="1">
        <f t="array" ref="BK37">SUMPRODUCT((Table8[B3])*(Table8[Adjusted Total]/Table8[BER Total])*(Table8[Archetype]=BK33)*(Table8[County]=BK32))</f>
        <v>574.83194900368778</v>
      </c>
      <c r="BL37" s="312" cm="1">
        <f t="array" ref="BL37">SUMPRODUCT((Table8[B3])*(Table8[Adjusted Total]/Table8[BER Total])*(Table8[Archetype]=BL33)*(Table8[County]=BL32))</f>
        <v>1354.2926158604225</v>
      </c>
      <c r="BM37" s="372" cm="1">
        <f t="array" ref="BM37">SUMPRODUCT((Table8[B3])*(Table8[Adjusted Total]/Table8[BER Total])*(Table8[Archetype]=BM33)*(Table8[County]=BM32))</f>
        <v>4503.2209572205329</v>
      </c>
      <c r="BN37" s="1024" cm="1">
        <f t="array" ref="BN37">SUMPRODUCT((Table8[B3])*(Table8[Adjusted Total]/Table8[BER Total])*(Table8[Archetype]=BN33)*(Table8[County]=BN32))</f>
        <v>13.269385719357823</v>
      </c>
      <c r="BO37" s="312" cm="1">
        <f t="array" ref="BO37">SUMPRODUCT((Table8[B3])*(Table8[Adjusted Total]/Table8[BER Total])*(Table8[Archetype]=BO33)*(Table8[County]=BO32))</f>
        <v>216.41493613571353</v>
      </c>
      <c r="BP37" s="372" cm="1">
        <f t="array" ref="BP37">SUMPRODUCT((Table8[B3])*(Table8[Adjusted Total]/Table8[BER Total])*(Table8[Archetype]=BP33)*(Table8[County]=BP32))</f>
        <v>583.37564782464801</v>
      </c>
      <c r="BQ37" s="1024" cm="1">
        <f t="array" ref="BQ37">SUMPRODUCT((Table8[B3])*(Table8[Adjusted Total]/Table8[BER Total])*(Table8[Archetype]=BQ33)*(Table8[County]=BQ32))</f>
        <v>92.258244481219634</v>
      </c>
      <c r="BR37" s="312" cm="1">
        <f t="array" ref="BR37">SUMPRODUCT((Table8[B3])*(Table8[Adjusted Total]/Table8[BER Total])*(Table8[Archetype]=BR33)*(Table8[County]=BR32))</f>
        <v>526.81170530968484</v>
      </c>
      <c r="BS37" s="372" cm="1">
        <f t="array" ref="BS37">SUMPRODUCT((Table8[B3])*(Table8[Adjusted Total]/Table8[BER Total])*(Table8[Archetype]=BS33)*(Table8[County]=BS32))</f>
        <v>1888.8384607125681</v>
      </c>
      <c r="BT37" s="1024" cm="1">
        <f t="array" ref="BT37">SUMPRODUCT((Table8[B3])*(Table8[Adjusted Total]/Table8[BER Total])*(Table8[Archetype]=BT33)*(Table8[County]=BT32))</f>
        <v>23.033394922779401</v>
      </c>
      <c r="BU37" s="312" cm="1">
        <f t="array" ref="BU37">SUMPRODUCT((Table8[B3])*(Table8[Adjusted Total]/Table8[BER Total])*(Table8[Archetype]=BU33)*(Table8[County]=BU32))</f>
        <v>168.44768002127503</v>
      </c>
      <c r="BV37" s="372" cm="1">
        <f t="array" ref="BV37">SUMPRODUCT((Table8[B3])*(Table8[Adjusted Total]/Table8[BER Total])*(Table8[Archetype]=BV33)*(Table8[County]=BV32))</f>
        <v>1110.2054092637097</v>
      </c>
      <c r="BW37" s="1024" cm="1">
        <f t="array" ref="BW37">SUMPRODUCT((Table8[B3])*(Table8[Adjusted Total]/Table8[BER Total])*(Table8[Archetype]=BW33)*(Table8[County]=BW32))</f>
        <v>101.83078911198507</v>
      </c>
      <c r="BX37" s="312" cm="1">
        <f t="array" ref="BX37">SUMPRODUCT((Table8[B3])*(Table8[Adjusted Total]/Table8[BER Total])*(Table8[Archetype]=BX33)*(Table8[County]=BX32))</f>
        <v>616.30196908384278</v>
      </c>
      <c r="BY37" s="372" cm="1">
        <f t="array" ref="BY37">SUMPRODUCT((Table8[B3])*(Table8[Adjusted Total]/Table8[BER Total])*(Table8[Archetype]=BY33)*(Table8[County]=BY32))</f>
        <v>1011.63071980571</v>
      </c>
      <c r="BZ37" s="1024" cm="1">
        <f t="array" ref="BZ37">SUMPRODUCT((Table8[B3])*(Table8[Adjusted Total]/Table8[BER Total])*(Table8[Archetype]=BZ33)*(Table8[County]=BZ32))</f>
        <v>88.79282978520564</v>
      </c>
      <c r="CA37" s="312" cm="1">
        <f t="array" ref="CA37">SUMPRODUCT((Table8[B3])*(Table8[Adjusted Total]/Table8[BER Total])*(Table8[Archetype]=CA33)*(Table8[County]=CA32))</f>
        <v>781.12306797646693</v>
      </c>
      <c r="CB37" s="372" cm="1">
        <f t="array" ref="CB37">SUMPRODUCT((Table8[B3])*(Table8[Adjusted Total]/Table8[BER Total])*(Table8[Archetype]=CB33)*(Table8[County]=CB32))</f>
        <v>1531.3487981400006</v>
      </c>
      <c r="CC37" s="1024" cm="1">
        <f t="array" ref="CC37">SUMPRODUCT((Table8[B3])*(Table8[Adjusted Total]/Table8[BER Total])*(Table8[Archetype]=CC33)*(Table8[County]=CC32))</f>
        <v>154.2012426462006</v>
      </c>
      <c r="CD37" s="312" cm="1">
        <f t="array" ref="CD37">SUMPRODUCT((Table8[B3])*(Table8[Adjusted Total]/Table8[BER Total])*(Table8[Archetype]=CD33)*(Table8[County]=CD32))</f>
        <v>804.95500060193604</v>
      </c>
      <c r="CE37" s="372" cm="1">
        <f t="array" ref="CE37">SUMPRODUCT((Table8[B3])*(Table8[Adjusted Total]/Table8[BER Total])*(Table8[Archetype]=CE33)*(Table8[County]=CE32))</f>
        <v>2521.4187292030347</v>
      </c>
      <c r="CF37" s="1024" cm="1">
        <f t="array" ref="CF37">SUMPRODUCT((Table8[B3])*(Table8[Adjusted Total]/Table8[BER Total])*(Table8[Archetype]=CF33)*(Table8[County]=CF32))</f>
        <v>70.320661080815995</v>
      </c>
      <c r="CG37" s="312" cm="1">
        <f t="array" ref="CG37">SUMPRODUCT((Table8[B3])*(Table8[Adjusted Total]/Table8[BER Total])*(Table8[Archetype]=CG33)*(Table8[County]=CG32))</f>
        <v>542.62690504020725</v>
      </c>
      <c r="CH37" s="372" cm="1">
        <f t="array" ref="CH37">SUMPRODUCT((Table8[B3])*(Table8[Adjusted Total]/Table8[BER Total])*(Table8[Archetype]=CH33)*(Table8[County]=CH32))</f>
        <v>1098.6055179057373</v>
      </c>
    </row>
    <row r="38" spans="2:86" ht="15">
      <c r="C38" s="261"/>
      <c r="H38" s="1011" t="s">
        <v>56</v>
      </c>
      <c r="I38" s="1025" cm="1">
        <f t="array" ref="I38">SUMPRODUCT((Table8[C])*(Table8[Adjusted Total]/Table8[BER Total])*(Table8[Archetype]=I33)*(Table8[County]=I32))</f>
        <v>487.85571268141655</v>
      </c>
      <c r="J38" s="314" cm="1">
        <f t="array" ref="J38">SUMPRODUCT((Table8[C])*(Table8[Adjusted Total]/Table8[BER Total])*(Table8[Archetype]=J33)*(Table8[County]=J32))</f>
        <v>3870.1530336112205</v>
      </c>
      <c r="K38" s="373" cm="1">
        <f t="array" ref="K38">SUMPRODUCT((Table8[C])*(Table8[Adjusted Total]/Table8[BER Total])*(Table8[Archetype]=K33)*(Table8[County]=K32))</f>
        <v>3798.2843307305311</v>
      </c>
      <c r="L38" s="1025" cm="1">
        <f t="array" ref="L38">SUMPRODUCT((Table8[C])*(Table8[Adjusted Total]/Table8[BER Total])*(Table8[Archetype]=L33)*(Table8[County]=L32))</f>
        <v>41002.769011842538</v>
      </c>
      <c r="M38" s="314" cm="1">
        <f t="array" ref="M38">SUMPRODUCT((Table8[C])*(Table8[Adjusted Total]/Table8[BER Total])*(Table8[Archetype]=M33)*(Table8[County]=M32))</f>
        <v>99526.965485677618</v>
      </c>
      <c r="N38" s="373" cm="1">
        <f t="array" ref="N38">SUMPRODUCT((Table8[C])*(Table8[Adjusted Total]/Table8[BER Total])*(Table8[Archetype]=N33)*(Table8[County]=N32))</f>
        <v>17917.844486683647</v>
      </c>
      <c r="O38" s="1025" cm="1">
        <f t="array" ref="O38">SUMPRODUCT((Table8[C])*(Table8[Adjusted Total]/Table8[BER Total])*(Table8[Archetype]=O33)*(Table8[County]=O32))</f>
        <v>2941.1814129246004</v>
      </c>
      <c r="P38" s="314" cm="1">
        <f t="array" ref="P38">SUMPRODUCT((Table8[C])*(Table8[Adjusted Total]/Table8[BER Total])*(Table8[Archetype]=P33)*(Table8[County]=P32))</f>
        <v>14284.477268340219</v>
      </c>
      <c r="Q38" s="373" cm="1">
        <f t="array" ref="Q38">SUMPRODUCT((Table8[C])*(Table8[Adjusted Total]/Table8[BER Total])*(Table8[Archetype]=Q33)*(Table8[County]=Q32))</f>
        <v>12209.218011072815</v>
      </c>
      <c r="R38" s="1025" cm="1">
        <f t="array" ref="R38">SUMPRODUCT((Table8[C])*(Table8[Adjusted Total]/Table8[BER Total])*(Table8[Archetype]=R33)*(Table8[County]=R32))</f>
        <v>722.44595748813731</v>
      </c>
      <c r="S38" s="314" cm="1">
        <f t="array" ref="S38">SUMPRODUCT((Table8[C])*(Table8[Adjusted Total]/Table8[BER Total])*(Table8[Archetype]=S33)*(Table8[County]=S32))</f>
        <v>5082.5490458545755</v>
      </c>
      <c r="T38" s="373" cm="1">
        <f t="array" ref="T38">SUMPRODUCT((Table8[C])*(Table8[Adjusted Total]/Table8[BER Total])*(Table8[Archetype]=T33)*(Table8[County]=T32))</f>
        <v>7320.657731203225</v>
      </c>
      <c r="U38" s="1025" cm="1">
        <f t="array" ref="U38">SUMPRODUCT((Table8[C])*(Table8[Adjusted Total]/Table8[BER Total])*(Table8[Archetype]=U33)*(Table8[County]=U32))</f>
        <v>466.12447712609827</v>
      </c>
      <c r="V38" s="314" cm="1">
        <f t="array" ref="V38">SUMPRODUCT((Table8[C])*(Table8[Adjusted Total]/Table8[BER Total])*(Table8[Archetype]=V33)*(Table8[County]=V32))</f>
        <v>5056.6227858532093</v>
      </c>
      <c r="W38" s="373" cm="1">
        <f t="array" ref="W38">SUMPRODUCT((Table8[C])*(Table8[Adjusted Total]/Table8[BER Total])*(Table8[Archetype]=W33)*(Table8[County]=W32))</f>
        <v>6229.936390525153</v>
      </c>
      <c r="X38" s="1025" cm="1">
        <f t="array" ref="X38">SUMPRODUCT((Table8[C])*(Table8[Adjusted Total]/Table8[BER Total])*(Table8[Archetype]=X33)*(Table8[County]=X32))</f>
        <v>190.02244103669423</v>
      </c>
      <c r="Y38" s="314" cm="1">
        <f t="array" ref="Y38">SUMPRODUCT((Table8[C])*(Table8[Adjusted Total]/Table8[BER Total])*(Table8[Archetype]=Y33)*(Table8[County]=Y32))</f>
        <v>1937.1612097532011</v>
      </c>
      <c r="Z38" s="373" cm="1">
        <f t="array" ref="Z38">SUMPRODUCT((Table8[C])*(Table8[Adjusted Total]/Table8[BER Total])*(Table8[Archetype]=Z33)*(Table8[County]=Z32))</f>
        <v>3343.6266328989677</v>
      </c>
      <c r="AA38" s="1025" cm="1">
        <f t="array" ref="AA38">SUMPRODUCT((Table8[C])*(Table8[Adjusted Total]/Table8[BER Total])*(Table8[Archetype]=AA33)*(Table8[County]=AA32))</f>
        <v>1203.5567507127421</v>
      </c>
      <c r="AB38" s="314" cm="1">
        <f t="array" ref="AB38">SUMPRODUCT((Table8[C])*(Table8[Adjusted Total]/Table8[BER Total])*(Table8[Archetype]=AB33)*(Table8[County]=AB32))</f>
        <v>10782.545631058267</v>
      </c>
      <c r="AC38" s="373" cm="1">
        <f t="array" ref="AC38">SUMPRODUCT((Table8[C])*(Table8[Adjusted Total]/Table8[BER Total])*(Table8[Archetype]=AC33)*(Table8[County]=AC32))</f>
        <v>7274.9534818222837</v>
      </c>
      <c r="AD38" s="1025" cm="1">
        <f t="array" ref="AD38">SUMPRODUCT((Table8[C])*(Table8[Adjusted Total]/Table8[BER Total])*(Table8[Archetype]=AD33)*(Table8[County]=AD32))</f>
        <v>2294.6779119786306</v>
      </c>
      <c r="AE38" s="314" cm="1">
        <f t="array" ref="AE38">SUMPRODUCT((Table8[C])*(Table8[Adjusted Total]/Table8[BER Total])*(Table8[Archetype]=AE33)*(Table8[County]=AE32))</f>
        <v>11294.337683450085</v>
      </c>
      <c r="AF38" s="373" cm="1">
        <f t="array" ref="AF38">SUMPRODUCT((Table8[C])*(Table8[Adjusted Total]/Table8[BER Total])*(Table8[Archetype]=AF33)*(Table8[County]=AF32))</f>
        <v>13295.808582547141</v>
      </c>
      <c r="AG38" s="1025" cm="1">
        <f t="array" ref="AG38">SUMPRODUCT((Table8[C])*(Table8[Adjusted Total]/Table8[BER Total])*(Table8[Archetype]=AG33)*(Table8[County]=AG32))</f>
        <v>321.72036639324023</v>
      </c>
      <c r="AH38" s="314" cm="1">
        <f t="array" ref="AH38">SUMPRODUCT((Table8[C])*(Table8[Adjusted Total]/Table8[BER Total])*(Table8[Archetype]=AH33)*(Table8[County]=AH32))</f>
        <v>3698.1324911826923</v>
      </c>
      <c r="AI38" s="373" cm="1">
        <f t="array" ref="AI38">SUMPRODUCT((Table8[C])*(Table8[Adjusted Total]/Table8[BER Total])*(Table8[Archetype]=AI33)*(Table8[County]=AI32))</f>
        <v>5640.0119448609003</v>
      </c>
      <c r="AJ38" s="1025" cm="1">
        <f t="array" ref="AJ38">SUMPRODUCT((Table8[C])*(Table8[Adjusted Total]/Table8[BER Total])*(Table8[Archetype]=AJ33)*(Table8[County]=AJ32))</f>
        <v>875.70815154400327</v>
      </c>
      <c r="AK38" s="314" cm="1">
        <f t="array" ref="AK38">SUMPRODUCT((Table8[C])*(Table8[Adjusted Total]/Table8[BER Total])*(Table8[Archetype]=AK33)*(Table8[County]=AK32))</f>
        <v>5092.0649597389656</v>
      </c>
      <c r="AL38" s="373" cm="1">
        <f t="array" ref="AL38">SUMPRODUCT((Table8[C])*(Table8[Adjusted Total]/Table8[BER Total])*(Table8[Archetype]=AL33)*(Table8[County]=AL32))</f>
        <v>5945.5087815282513</v>
      </c>
      <c r="AM38" s="1025" cm="1">
        <f t="array" ref="AM38">SUMPRODUCT((Table8[C])*(Table8[Adjusted Total]/Table8[BER Total])*(Table8[Archetype]=AM33)*(Table8[County]=AM32))</f>
        <v>735.56765878934675</v>
      </c>
      <c r="AN38" s="314" cm="1">
        <f t="array" ref="AN38">SUMPRODUCT((Table8[C])*(Table8[Adjusted Total]/Table8[BER Total])*(Table8[Archetype]=AN33)*(Table8[County]=AN32))</f>
        <v>6973.8445361965114</v>
      </c>
      <c r="AO38" s="373" cm="1">
        <f t="array" ref="AO38">SUMPRODUCT((Table8[C])*(Table8[Adjusted Total]/Table8[BER Total])*(Table8[Archetype]=AO33)*(Table8[County]=AO32))</f>
        <v>13500.846847612294</v>
      </c>
      <c r="AP38" s="1025" cm="1">
        <f t="array" ref="AP38">SUMPRODUCT((Table8[C])*(Table8[Adjusted Total]/Table8[BER Total])*(Table8[Archetype]=AP33)*(Table8[County]=AP32))</f>
        <v>1551.5192928063066</v>
      </c>
      <c r="AQ38" s="314" cm="1">
        <f t="array" ref="AQ38">SUMPRODUCT((Table8[C])*(Table8[Adjusted Total]/Table8[BER Total])*(Table8[Archetype]=AQ33)*(Table8[County]=AQ32))</f>
        <v>7934.9703376848565</v>
      </c>
      <c r="AR38" s="373" cm="1">
        <f t="array" ref="AR38">SUMPRODUCT((Table8[C])*(Table8[Adjusted Total]/Table8[BER Total])*(Table8[Archetype]=AR33)*(Table8[County]=AR32))</f>
        <v>7600.9899466321913</v>
      </c>
      <c r="AS38" s="1025" cm="1">
        <f t="array" ref="AS38">SUMPRODUCT((Table8[C])*(Table8[Adjusted Total]/Table8[BER Total])*(Table8[Archetype]=AS33)*(Table8[County]=AS32))</f>
        <v>766.35493840811478</v>
      </c>
      <c r="AT38" s="314" cm="1">
        <f t="array" ref="AT38">SUMPRODUCT((Table8[C])*(Table8[Adjusted Total]/Table8[BER Total])*(Table8[Archetype]=AT33)*(Table8[County]=AT32))</f>
        <v>5717.1966267777616</v>
      </c>
      <c r="AU38" s="373" cm="1">
        <f t="array" ref="AU38">SUMPRODUCT((Table8[C])*(Table8[Adjusted Total]/Table8[BER Total])*(Table8[Archetype]=AU33)*(Table8[County]=AU32))</f>
        <v>9997.1043839876638</v>
      </c>
      <c r="AV38" s="1025" cm="1">
        <f t="array" ref="AV38">SUMPRODUCT((Table8[C])*(Table8[Adjusted Total]/Table8[BER Total])*(Table8[Archetype]=AV33)*(Table8[County]=AV32))</f>
        <v>5822.435885228776</v>
      </c>
      <c r="AW38" s="314" cm="1">
        <f t="array" ref="AW38">SUMPRODUCT((Table8[C])*(Table8[Adjusted Total]/Table8[BER Total])*(Table8[Archetype]=AW33)*(Table8[County]=AW32))</f>
        <v>37779.503584921134</v>
      </c>
      <c r="AX38" s="373" cm="1">
        <f t="array" ref="AX38">SUMPRODUCT((Table8[C])*(Table8[Adjusted Total]/Table8[BER Total])*(Table8[Archetype]=AX33)*(Table8[County]=AX32))</f>
        <v>32856.408527906016</v>
      </c>
      <c r="AY38" s="1025" cm="1">
        <f t="array" ref="AY38">SUMPRODUCT((Table8[C])*(Table8[Adjusted Total]/Table8[BER Total])*(Table8[Archetype]=AY33)*(Table8[County]=AY32))</f>
        <v>976.17055403223787</v>
      </c>
      <c r="AZ38" s="314" cm="1">
        <f t="array" ref="AZ38">SUMPRODUCT((Table8[C])*(Table8[Adjusted Total]/Table8[BER Total])*(Table8[Archetype]=AZ33)*(Table8[County]=AZ32))</f>
        <v>5806.5868480281106</v>
      </c>
      <c r="BA38" s="373" cm="1">
        <f t="array" ref="BA38">SUMPRODUCT((Table8[C])*(Table8[Adjusted Total]/Table8[BER Total])*(Table8[Archetype]=BA33)*(Table8[County]=BA32))</f>
        <v>12839.662515837317</v>
      </c>
      <c r="BB38" s="1025" cm="1">
        <f t="array" ref="BB38">SUMPRODUCT((Table8[C])*(Table8[Adjusted Total]/Table8[BER Total])*(Table8[Archetype]=BB33)*(Table8[County]=BB32))</f>
        <v>3282.3317293793561</v>
      </c>
      <c r="BC38" s="314" cm="1">
        <f t="array" ref="BC38">SUMPRODUCT((Table8[C])*(Table8[Adjusted Total]/Table8[BER Total])*(Table8[Archetype]=BC33)*(Table8[County]=BC32))</f>
        <v>13074.429275474635</v>
      </c>
      <c r="BD38" s="373" cm="1">
        <f t="array" ref="BD38">SUMPRODUCT((Table8[C])*(Table8[Adjusted Total]/Table8[BER Total])*(Table8[Archetype]=BD33)*(Table8[County]=BD32))</f>
        <v>11450.551609613854</v>
      </c>
      <c r="BE38" s="1025" cm="1">
        <f t="array" ref="BE38">SUMPRODUCT((Table8[C])*(Table8[Adjusted Total]/Table8[BER Total])*(Table8[Archetype]=BE33)*(Table8[County]=BE32))</f>
        <v>471.91952153596293</v>
      </c>
      <c r="BF38" s="314" cm="1">
        <f t="array" ref="BF38">SUMPRODUCT((Table8[C])*(Table8[Adjusted Total]/Table8[BER Total])*(Table8[Archetype]=BF33)*(Table8[County]=BF32))</f>
        <v>8277.629640867015</v>
      </c>
      <c r="BG38" s="373" cm="1">
        <f t="array" ref="BG38">SUMPRODUCT((Table8[C])*(Table8[Adjusted Total]/Table8[BER Total])*(Table8[Archetype]=BG33)*(Table8[County]=BG32))</f>
        <v>11709.614840856242</v>
      </c>
      <c r="BH38" s="1025" cm="1">
        <f t="array" ref="BH38">SUMPRODUCT((Table8[C])*(Table8[Adjusted Total]/Table8[BER Total])*(Table8[Archetype]=BH33)*(Table8[County]=BH32))</f>
        <v>977.41535848833507</v>
      </c>
      <c r="BI38" s="314" cm="1">
        <f t="array" ref="BI38">SUMPRODUCT((Table8[C])*(Table8[Adjusted Total]/Table8[BER Total])*(Table8[Archetype]=BI33)*(Table8[County]=BI32))</f>
        <v>8588.2702567564265</v>
      </c>
      <c r="BJ38" s="373" cm="1">
        <f t="array" ref="BJ38">SUMPRODUCT((Table8[C])*(Table8[Adjusted Total]/Table8[BER Total])*(Table8[Archetype]=BJ33)*(Table8[County]=BJ32))</f>
        <v>7495.2407416381338</v>
      </c>
      <c r="BK38" s="1025" cm="1">
        <f t="array" ref="BK38">SUMPRODUCT((Table8[C])*(Table8[Adjusted Total]/Table8[BER Total])*(Table8[Archetype]=BK33)*(Table8[County]=BK32))</f>
        <v>3049.1085990630399</v>
      </c>
      <c r="BL38" s="314" cm="1">
        <f t="array" ref="BL38">SUMPRODUCT((Table8[C])*(Table8[Adjusted Total]/Table8[BER Total])*(Table8[Archetype]=BL33)*(Table8[County]=BL32))</f>
        <v>12037.28070092471</v>
      </c>
      <c r="BM38" s="373" cm="1">
        <f t="array" ref="BM38">SUMPRODUCT((Table8[C])*(Table8[Adjusted Total]/Table8[BER Total])*(Table8[Archetype]=BM33)*(Table8[County]=BM32))</f>
        <v>20653.851295830013</v>
      </c>
      <c r="BN38" s="1025" cm="1">
        <f t="array" ref="BN38">SUMPRODUCT((Table8[C])*(Table8[Adjusted Total]/Table8[BER Total])*(Table8[Archetype]=BN33)*(Table8[County]=BN32))</f>
        <v>199.04078579036732</v>
      </c>
      <c r="BO38" s="314" cm="1">
        <f t="array" ref="BO38">SUMPRODUCT((Table8[C])*(Table8[Adjusted Total]/Table8[BER Total])*(Table8[Archetype]=BO33)*(Table8[County]=BO32))</f>
        <v>1276.3266414268887</v>
      </c>
      <c r="BP38" s="373" cm="1">
        <f t="array" ref="BP38">SUMPRODUCT((Table8[C])*(Table8[Adjusted Total]/Table8[BER Total])*(Table8[Archetype]=BP33)*(Table8[County]=BP32))</f>
        <v>3292.441960898765</v>
      </c>
      <c r="BQ38" s="1025" cm="1">
        <f t="array" ref="BQ38">SUMPRODUCT((Table8[C])*(Table8[Adjusted Total]/Table8[BER Total])*(Table8[Archetype]=BQ33)*(Table8[County]=BQ32))</f>
        <v>636.16879030333541</v>
      </c>
      <c r="BR38" s="314" cm="1">
        <f t="array" ref="BR38">SUMPRODUCT((Table8[C])*(Table8[Adjusted Total]/Table8[BER Total])*(Table8[Archetype]=BR33)*(Table8[County]=BR32))</f>
        <v>5233.9718499749242</v>
      </c>
      <c r="BS38" s="373" cm="1">
        <f t="array" ref="BS38">SUMPRODUCT((Table8[C])*(Table8[Adjusted Total]/Table8[BER Total])*(Table8[Archetype]=BS33)*(Table8[County]=BS32))</f>
        <v>11892.386359937071</v>
      </c>
      <c r="BT38" s="1025" cm="1">
        <f t="array" ref="BT38">SUMPRODUCT((Table8[C])*(Table8[Adjusted Total]/Table8[BER Total])*(Table8[Archetype]=BT33)*(Table8[County]=BT32))</f>
        <v>212.41908651007671</v>
      </c>
      <c r="BU38" s="314" cm="1">
        <f t="array" ref="BU38">SUMPRODUCT((Table8[C])*(Table8[Adjusted Total]/Table8[BER Total])*(Table8[Archetype]=BU33)*(Table8[County]=BU32))</f>
        <v>2761.2825304422095</v>
      </c>
      <c r="BV38" s="373" cm="1">
        <f t="array" ref="BV38">SUMPRODUCT((Table8[C])*(Table8[Adjusted Total]/Table8[BER Total])*(Table8[Archetype]=BV33)*(Table8[County]=BV32))</f>
        <v>6409.9754419067876</v>
      </c>
      <c r="BW38" s="1025" cm="1">
        <f t="array" ref="BW38">SUMPRODUCT((Table8[C])*(Table8[Adjusted Total]/Table8[BER Total])*(Table8[Archetype]=BW33)*(Table8[County]=BW32))</f>
        <v>434.53655698648799</v>
      </c>
      <c r="BX38" s="314" cm="1">
        <f t="array" ref="BX38">SUMPRODUCT((Table8[C])*(Table8[Adjusted Total]/Table8[BER Total])*(Table8[Archetype]=BX33)*(Table8[County]=BX32))</f>
        <v>3482.8577130908875</v>
      </c>
      <c r="BY38" s="373" cm="1">
        <f t="array" ref="BY38">SUMPRODUCT((Table8[C])*(Table8[Adjusted Total]/Table8[BER Total])*(Table8[Archetype]=BY33)*(Table8[County]=BY32))</f>
        <v>4693.2151961278159</v>
      </c>
      <c r="BZ38" s="1025" cm="1">
        <f t="array" ref="BZ38">SUMPRODUCT((Table8[C])*(Table8[Adjusted Total]/Table8[BER Total])*(Table8[Archetype]=BZ33)*(Table8[County]=BZ32))</f>
        <v>367.85600911013768</v>
      </c>
      <c r="CA38" s="314" cm="1">
        <f t="array" ref="CA38">SUMPRODUCT((Table8[C])*(Table8[Adjusted Total]/Table8[BER Total])*(Table8[Archetype]=CA33)*(Table8[County]=CA32))</f>
        <v>3778.2751975879605</v>
      </c>
      <c r="CB38" s="373" cm="1">
        <f t="array" ref="CB38">SUMPRODUCT((Table8[C])*(Table8[Adjusted Total]/Table8[BER Total])*(Table8[Archetype]=CB33)*(Table8[County]=CB32))</f>
        <v>7070.2699829017047</v>
      </c>
      <c r="CC38" s="1025" cm="1">
        <f t="array" ref="CC38">SUMPRODUCT((Table8[C])*(Table8[Adjusted Total]/Table8[BER Total])*(Table8[Archetype]=CC33)*(Table8[County]=CC32))</f>
        <v>897.79390162899017</v>
      </c>
      <c r="CD38" s="314" cm="1">
        <f t="array" ref="CD38">SUMPRODUCT((Table8[C])*(Table8[Adjusted Total]/Table8[BER Total])*(Table8[Archetype]=CD33)*(Table8[County]=CD32))</f>
        <v>7705.5235949737198</v>
      </c>
      <c r="CE38" s="373" cm="1">
        <f t="array" ref="CE38">SUMPRODUCT((Table8[C])*(Table8[Adjusted Total]/Table8[BER Total])*(Table8[Archetype]=CE33)*(Table8[County]=CE32))</f>
        <v>15493.76462103734</v>
      </c>
      <c r="CF38" s="1025" cm="1">
        <f t="array" ref="CF38">SUMPRODUCT((Table8[C])*(Table8[Adjusted Total]/Table8[BER Total])*(Table8[Archetype]=CF33)*(Table8[County]=CF32))</f>
        <v>277.67645657552981</v>
      </c>
      <c r="CG38" s="314" cm="1">
        <f t="array" ref="CG38">SUMPRODUCT((Table8[C])*(Table8[Adjusted Total]/Table8[BER Total])*(Table8[Archetype]=CG33)*(Table8[County]=CG32))</f>
        <v>2515.9800830364279</v>
      </c>
      <c r="CH38" s="373" cm="1">
        <f t="array" ref="CH38">SUMPRODUCT((Table8[C])*(Table8[Adjusted Total]/Table8[BER Total])*(Table8[Archetype]=CH33)*(Table8[County]=CH32))</f>
        <v>4782.3911531211288</v>
      </c>
    </row>
    <row r="39" spans="2:86" ht="15">
      <c r="C39" s="261"/>
      <c r="H39" s="1010" t="s">
        <v>58</v>
      </c>
      <c r="I39" s="1024" cm="1">
        <f t="array" ref="I39">SUMPRODUCT((Table8[D])*(Table8[Adjusted Total]/Table8[BER Total])*(Table8[Archetype]=I33)*(Table8[County]=I32))</f>
        <v>346.00636143980904</v>
      </c>
      <c r="J39" s="312" cm="1">
        <f t="array" ref="J39">SUMPRODUCT((Table8[D])*(Table8[Adjusted Total]/Table8[BER Total])*(Table8[Archetype]=J33)*(Table8[County]=J32))</f>
        <v>2030.7052981593758</v>
      </c>
      <c r="K39" s="372" cm="1">
        <f t="array" ref="K39">SUMPRODUCT((Table8[D])*(Table8[Adjusted Total]/Table8[BER Total])*(Table8[Archetype]=K33)*(Table8[County]=K32))</f>
        <v>2577.0511797738641</v>
      </c>
      <c r="L39" s="1024" cm="1">
        <f t="array" ref="L39">SUMPRODUCT((Table8[D])*(Table8[Adjusted Total]/Table8[BER Total])*(Table8[Archetype]=L33)*(Table8[County]=L32))</f>
        <v>25054.028103145396</v>
      </c>
      <c r="M39" s="312" cm="1">
        <f t="array" ref="M39">SUMPRODUCT((Table8[D])*(Table8[Adjusted Total]/Table8[BER Total])*(Table8[Archetype]=M33)*(Table8[County]=M32))</f>
        <v>72928.311473642054</v>
      </c>
      <c r="N39" s="372" cm="1">
        <f t="array" ref="N39">SUMPRODUCT((Table8[D])*(Table8[Adjusted Total]/Table8[BER Total])*(Table8[Archetype]=N33)*(Table8[County]=N32))</f>
        <v>12702.471895023944</v>
      </c>
      <c r="O39" s="1024" cm="1">
        <f t="array" ref="O39">SUMPRODUCT((Table8[D])*(Table8[Adjusted Total]/Table8[BER Total])*(Table8[Archetype]=O33)*(Table8[County]=O32))</f>
        <v>1652.2313637925604</v>
      </c>
      <c r="P39" s="312" cm="1">
        <f t="array" ref="P39">SUMPRODUCT((Table8[D])*(Table8[Adjusted Total]/Table8[BER Total])*(Table8[Archetype]=P33)*(Table8[County]=P32))</f>
        <v>8027.5948112854776</v>
      </c>
      <c r="Q39" s="372" cm="1">
        <f t="array" ref="Q39">SUMPRODUCT((Table8[D])*(Table8[Adjusted Total]/Table8[BER Total])*(Table8[Archetype]=Q33)*(Table8[County]=Q32))</f>
        <v>6310.2899019493589</v>
      </c>
      <c r="R39" s="1024" cm="1">
        <f t="array" ref="R39">SUMPRODUCT((Table8[D])*(Table8[Adjusted Total]/Table8[BER Total])*(Table8[Archetype]=R33)*(Table8[County]=R32))</f>
        <v>359.56599260304085</v>
      </c>
      <c r="S39" s="312" cm="1">
        <f t="array" ref="S39">SUMPRODUCT((Table8[D])*(Table8[Adjusted Total]/Table8[BER Total])*(Table8[Archetype]=S33)*(Table8[County]=S32))</f>
        <v>2961.5772005324134</v>
      </c>
      <c r="T39" s="372" cm="1">
        <f t="array" ref="T39">SUMPRODUCT((Table8[D])*(Table8[Adjusted Total]/Table8[BER Total])*(Table8[Archetype]=T33)*(Table8[County]=T32))</f>
        <v>5097.941346657728</v>
      </c>
      <c r="U39" s="1024" cm="1">
        <f t="array" ref="U39">SUMPRODUCT((Table8[D])*(Table8[Adjusted Total]/Table8[BER Total])*(Table8[Archetype]=U33)*(Table8[County]=U32))</f>
        <v>390.89035099346489</v>
      </c>
      <c r="V39" s="312" cm="1">
        <f t="array" ref="V39">SUMPRODUCT((Table8[D])*(Table8[Adjusted Total]/Table8[BER Total])*(Table8[Archetype]=V33)*(Table8[County]=V32))</f>
        <v>1874.0828519604638</v>
      </c>
      <c r="W39" s="372" cm="1">
        <f t="array" ref="W39">SUMPRODUCT((Table8[D])*(Table8[Adjusted Total]/Table8[BER Total])*(Table8[Archetype]=W33)*(Table8[County]=W32))</f>
        <v>3686.4945404068148</v>
      </c>
      <c r="X39" s="1024" cm="1">
        <f t="array" ref="X39">SUMPRODUCT((Table8[D])*(Table8[Adjusted Total]/Table8[BER Total])*(Table8[Archetype]=X33)*(Table8[County]=X32))</f>
        <v>266.50946132819377</v>
      </c>
      <c r="Y39" s="312" cm="1">
        <f t="array" ref="Y39">SUMPRODUCT((Table8[D])*(Table8[Adjusted Total]/Table8[BER Total])*(Table8[Archetype]=Y33)*(Table8[County]=Y32))</f>
        <v>1196.8236780051911</v>
      </c>
      <c r="Z39" s="372" cm="1">
        <f t="array" ref="Z39">SUMPRODUCT((Table8[D])*(Table8[Adjusted Total]/Table8[BER Total])*(Table8[Archetype]=Z33)*(Table8[County]=Z32))</f>
        <v>2141.8438974320866</v>
      </c>
      <c r="AA39" s="1024" cm="1">
        <f t="array" ref="AA39">SUMPRODUCT((Table8[D])*(Table8[Adjusted Total]/Table8[BER Total])*(Table8[Archetype]=AA33)*(Table8[County]=AA32))</f>
        <v>517.76164417721816</v>
      </c>
      <c r="AB39" s="312" cm="1">
        <f t="array" ref="AB39">SUMPRODUCT((Table8[D])*(Table8[Adjusted Total]/Table8[BER Total])*(Table8[Archetype]=AB33)*(Table8[County]=AB32))</f>
        <v>4279.6116589506346</v>
      </c>
      <c r="AC39" s="372" cm="1">
        <f t="array" ref="AC39">SUMPRODUCT((Table8[D])*(Table8[Adjusted Total]/Table8[BER Total])*(Table8[Archetype]=AC33)*(Table8[County]=AC32))</f>
        <v>3911.4069227031468</v>
      </c>
      <c r="AD39" s="1024" cm="1">
        <f t="array" ref="AD39">SUMPRODUCT((Table8[D])*(Table8[Adjusted Total]/Table8[BER Total])*(Table8[Archetype]=AD33)*(Table8[County]=AD32))</f>
        <v>1131.5980251906815</v>
      </c>
      <c r="AE39" s="312" cm="1">
        <f t="array" ref="AE39">SUMPRODUCT((Table8[D])*(Table8[Adjusted Total]/Table8[BER Total])*(Table8[Archetype]=AE33)*(Table8[County]=AE32))</f>
        <v>3375.889944943322</v>
      </c>
      <c r="AF39" s="372" cm="1">
        <f t="array" ref="AF39">SUMPRODUCT((Table8[D])*(Table8[Adjusted Total]/Table8[BER Total])*(Table8[Archetype]=AF33)*(Table8[County]=AF32))</f>
        <v>7222.8902174916138</v>
      </c>
      <c r="AG39" s="1024" cm="1">
        <f t="array" ref="AG39">SUMPRODUCT((Table8[D])*(Table8[Adjusted Total]/Table8[BER Total])*(Table8[Archetype]=AG33)*(Table8[County]=AG32))</f>
        <v>365.87806374133203</v>
      </c>
      <c r="AH39" s="312" cm="1">
        <f t="array" ref="AH39">SUMPRODUCT((Table8[D])*(Table8[Adjusted Total]/Table8[BER Total])*(Table8[Archetype]=AH33)*(Table8[County]=AH32))</f>
        <v>1744.0808986549578</v>
      </c>
      <c r="AI39" s="372" cm="1">
        <f t="array" ref="AI39">SUMPRODUCT((Table8[D])*(Table8[Adjusted Total]/Table8[BER Total])*(Table8[Archetype]=AI33)*(Table8[County]=AI32))</f>
        <v>3922.9122895168321</v>
      </c>
      <c r="AJ39" s="1024" cm="1">
        <f t="array" ref="AJ39">SUMPRODUCT((Table8[D])*(Table8[Adjusted Total]/Table8[BER Total])*(Table8[Archetype]=AJ33)*(Table8[County]=AJ32))</f>
        <v>877.03699547654355</v>
      </c>
      <c r="AK39" s="312" cm="1">
        <f t="array" ref="AK39">SUMPRODUCT((Table8[D])*(Table8[Adjusted Total]/Table8[BER Total])*(Table8[Archetype]=AK33)*(Table8[County]=AK32))</f>
        <v>2844.9523341613267</v>
      </c>
      <c r="AL39" s="372" cm="1">
        <f t="array" ref="AL39">SUMPRODUCT((Table8[D])*(Table8[Adjusted Total]/Table8[BER Total])*(Table8[Archetype]=AL33)*(Table8[County]=AL32))</f>
        <v>3862.3070908684958</v>
      </c>
      <c r="AM39" s="1024" cm="1">
        <f t="array" ref="AM39">SUMPRODUCT((Table8[D])*(Table8[Adjusted Total]/Table8[BER Total])*(Table8[Archetype]=AM33)*(Table8[County]=AM32))</f>
        <v>804.45024891008825</v>
      </c>
      <c r="AN39" s="312" cm="1">
        <f t="array" ref="AN39">SUMPRODUCT((Table8[D])*(Table8[Adjusted Total]/Table8[BER Total])*(Table8[Archetype]=AN33)*(Table8[County]=AN32))</f>
        <v>5043.5988521144418</v>
      </c>
      <c r="AO39" s="372" cm="1">
        <f t="array" ref="AO39">SUMPRODUCT((Table8[D])*(Table8[Adjusted Total]/Table8[BER Total])*(Table8[Archetype]=AO33)*(Table8[County]=AO32))</f>
        <v>8398.348367515393</v>
      </c>
      <c r="AP39" s="1024" cm="1">
        <f t="array" ref="AP39">SUMPRODUCT((Table8[D])*(Table8[Adjusted Total]/Table8[BER Total])*(Table8[Archetype]=AP33)*(Table8[County]=AP32))</f>
        <v>954.63851349491983</v>
      </c>
      <c r="AQ39" s="312" cm="1">
        <f t="array" ref="AQ39">SUMPRODUCT((Table8[D])*(Table8[Adjusted Total]/Table8[BER Total])*(Table8[Archetype]=AQ33)*(Table8[County]=AQ32))</f>
        <v>4835.912079167816</v>
      </c>
      <c r="AR39" s="372" cm="1">
        <f t="array" ref="AR39">SUMPRODUCT((Table8[D])*(Table8[Adjusted Total]/Table8[BER Total])*(Table8[Archetype]=AR33)*(Table8[County]=AR32))</f>
        <v>5261.216067851582</v>
      </c>
      <c r="AS39" s="1024" cm="1">
        <f t="array" ref="AS39">SUMPRODUCT((Table8[D])*(Table8[Adjusted Total]/Table8[BER Total])*(Table8[Archetype]=AS33)*(Table8[County]=AS32))</f>
        <v>694.34843412815769</v>
      </c>
      <c r="AT39" s="312" cm="1">
        <f t="array" ref="AT39">SUMPRODUCT((Table8[D])*(Table8[Adjusted Total]/Table8[BER Total])*(Table8[Archetype]=AT33)*(Table8[County]=AT32))</f>
        <v>4448.8821198963533</v>
      </c>
      <c r="AU39" s="372" cm="1">
        <f t="array" ref="AU39">SUMPRODUCT((Table8[D])*(Table8[Adjusted Total]/Table8[BER Total])*(Table8[Archetype]=AU33)*(Table8[County]=AU32))</f>
        <v>5969.6006405620847</v>
      </c>
      <c r="AV39" s="1024" cm="1">
        <f t="array" ref="AV39">SUMPRODUCT((Table8[D])*(Table8[Adjusted Total]/Table8[BER Total])*(Table8[Archetype]=AV33)*(Table8[County]=AV32))</f>
        <v>3406.2789398137729</v>
      </c>
      <c r="AW39" s="312" cm="1">
        <f t="array" ref="AW39">SUMPRODUCT((Table8[D])*(Table8[Adjusted Total]/Table8[BER Total])*(Table8[Archetype]=AW33)*(Table8[County]=AW32))</f>
        <v>17241.029420483792</v>
      </c>
      <c r="AX39" s="372" cm="1">
        <f t="array" ref="AX39">SUMPRODUCT((Table8[D])*(Table8[Adjusted Total]/Table8[BER Total])*(Table8[Archetype]=AX33)*(Table8[County]=AX32))</f>
        <v>18236.913869534965</v>
      </c>
      <c r="AY39" s="1024" cm="1">
        <f t="array" ref="AY39">SUMPRODUCT((Table8[D])*(Table8[Adjusted Total]/Table8[BER Total])*(Table8[Archetype]=AY33)*(Table8[County]=AY32))</f>
        <v>858.37847177417575</v>
      </c>
      <c r="AZ39" s="312" cm="1">
        <f t="array" ref="AZ39">SUMPRODUCT((Table8[D])*(Table8[Adjusted Total]/Table8[BER Total])*(Table8[Archetype]=AZ33)*(Table8[County]=AZ32))</f>
        <v>4019.358726081909</v>
      </c>
      <c r="BA39" s="372" cm="1">
        <f t="array" ref="BA39">SUMPRODUCT((Table8[D])*(Table8[Adjusted Total]/Table8[BER Total])*(Table8[Archetype]=BA33)*(Table8[County]=BA32))</f>
        <v>8574.0862000919933</v>
      </c>
      <c r="BB39" s="1024" cm="1">
        <f t="array" ref="BB39">SUMPRODUCT((Table8[D])*(Table8[Adjusted Total]/Table8[BER Total])*(Table8[Archetype]=BB33)*(Table8[County]=BB32))</f>
        <v>1948.7665192827224</v>
      </c>
      <c r="BC39" s="312" cm="1">
        <f t="array" ref="BC39">SUMPRODUCT((Table8[D])*(Table8[Adjusted Total]/Table8[BER Total])*(Table8[Archetype]=BC33)*(Table8[County]=BC32))</f>
        <v>8102.069637768981</v>
      </c>
      <c r="BD39" s="372" cm="1">
        <f t="array" ref="BD39">SUMPRODUCT((Table8[D])*(Table8[Adjusted Total]/Table8[BER Total])*(Table8[Archetype]=BD33)*(Table8[County]=BD32))</f>
        <v>8507.2952650901989</v>
      </c>
      <c r="BE39" s="1024" cm="1">
        <f t="array" ref="BE39">SUMPRODUCT((Table8[D])*(Table8[Adjusted Total]/Table8[BER Total])*(Table8[Archetype]=BE33)*(Table8[County]=BE32))</f>
        <v>809.0048940616507</v>
      </c>
      <c r="BF39" s="312" cm="1">
        <f t="array" ref="BF39">SUMPRODUCT((Table8[D])*(Table8[Adjusted Total]/Table8[BER Total])*(Table8[Archetype]=BF33)*(Table8[County]=BF32))</f>
        <v>5454.2913352257274</v>
      </c>
      <c r="BG39" s="372" cm="1">
        <f t="array" ref="BG39">SUMPRODUCT((Table8[D])*(Table8[Adjusted Total]/Table8[BER Total])*(Table8[Archetype]=BG33)*(Table8[County]=BG32))</f>
        <v>8554.1537117599019</v>
      </c>
      <c r="BH39" s="1024" cm="1">
        <f t="array" ref="BH39">SUMPRODUCT((Table8[D])*(Table8[Adjusted Total]/Table8[BER Total])*(Table8[Archetype]=BH33)*(Table8[County]=BH32))</f>
        <v>1005.4751295454164</v>
      </c>
      <c r="BI39" s="312" cm="1">
        <f t="array" ref="BI39">SUMPRODUCT((Table8[D])*(Table8[Adjusted Total]/Table8[BER Total])*(Table8[Archetype]=BI33)*(Table8[County]=BI32))</f>
        <v>5564.6050026791181</v>
      </c>
      <c r="BJ39" s="372" cm="1">
        <f t="array" ref="BJ39">SUMPRODUCT((Table8[D])*(Table8[Adjusted Total]/Table8[BER Total])*(Table8[Archetype]=BJ33)*(Table8[County]=BJ32))</f>
        <v>4777.0385337190974</v>
      </c>
      <c r="BK39" s="1024" cm="1">
        <f t="array" ref="BK39">SUMPRODUCT((Table8[D])*(Table8[Adjusted Total]/Table8[BER Total])*(Table8[Archetype]=BK33)*(Table8[County]=BK32))</f>
        <v>3156.0217876458514</v>
      </c>
      <c r="BL39" s="312" cm="1">
        <f t="array" ref="BL39">SUMPRODUCT((Table8[D])*(Table8[Adjusted Total]/Table8[BER Total])*(Table8[Archetype]=BL33)*(Table8[County]=BL32))</f>
        <v>6732.0482767450567</v>
      </c>
      <c r="BM39" s="372" cm="1">
        <f t="array" ref="BM39">SUMPRODUCT((Table8[D])*(Table8[Adjusted Total]/Table8[BER Total])*(Table8[Archetype]=BM33)*(Table8[County]=BM32))</f>
        <v>12382.576852789567</v>
      </c>
      <c r="BN39" s="1024" cm="1">
        <f t="array" ref="BN39">SUMPRODUCT((Table8[D])*(Table8[Adjusted Total]/Table8[BER Total])*(Table8[Archetype]=BN33)*(Table8[County]=BN32))</f>
        <v>204.14439568242804</v>
      </c>
      <c r="BO39" s="312" cm="1">
        <f t="array" ref="BO39">SUMPRODUCT((Table8[D])*(Table8[Adjusted Total]/Table8[BER Total])*(Table8[Archetype]=BO33)*(Table8[County]=BO32))</f>
        <v>469.33359643889679</v>
      </c>
      <c r="BP39" s="372" cm="1">
        <f t="array" ref="BP39">SUMPRODUCT((Table8[D])*(Table8[Adjusted Total]/Table8[BER Total])*(Table8[Archetype]=BP33)*(Table8[County]=BP32))</f>
        <v>1885.329883313133</v>
      </c>
      <c r="BQ39" s="1024" cm="1">
        <f t="array" ref="BQ39">SUMPRODUCT((Table8[D])*(Table8[Adjusted Total]/Table8[BER Total])*(Table8[Archetype]=BQ33)*(Table8[County]=BQ32))</f>
        <v>754.58982053296063</v>
      </c>
      <c r="BR39" s="312" cm="1">
        <f t="array" ref="BR39">SUMPRODUCT((Table8[D])*(Table8[Adjusted Total]/Table8[BER Total])*(Table8[Archetype]=BR33)*(Table8[County]=BR32))</f>
        <v>3151.1144595375595</v>
      </c>
      <c r="BS39" s="372" cm="1">
        <f t="array" ref="BS39">SUMPRODUCT((Table8[D])*(Table8[Adjusted Total]/Table8[BER Total])*(Table8[Archetype]=BS33)*(Table8[County]=BS32))</f>
        <v>8579.4880010907054</v>
      </c>
      <c r="BT39" s="1024" cm="1">
        <f t="array" ref="BT39">SUMPRODUCT((Table8[D])*(Table8[Adjusted Total]/Table8[BER Total])*(Table8[Archetype]=BT33)*(Table8[County]=BT32))</f>
        <v>198.34312294615594</v>
      </c>
      <c r="BU39" s="312" cm="1">
        <f t="array" ref="BU39">SUMPRODUCT((Table8[D])*(Table8[Adjusted Total]/Table8[BER Total])*(Table8[Archetype]=BU33)*(Table8[County]=BU32))</f>
        <v>931.97221095883003</v>
      </c>
      <c r="BV39" s="372" cm="1">
        <f t="array" ref="BV39">SUMPRODUCT((Table8[D])*(Table8[Adjusted Total]/Table8[BER Total])*(Table8[Archetype]=BV33)*(Table8[County]=BV32))</f>
        <v>3985.0531006202636</v>
      </c>
      <c r="BW39" s="1024" cm="1">
        <f t="array" ref="BW39">SUMPRODUCT((Table8[D])*(Table8[Adjusted Total]/Table8[BER Total])*(Table8[Archetype]=BW33)*(Table8[County]=BW32))</f>
        <v>567.97000478839948</v>
      </c>
      <c r="BX39" s="312" cm="1">
        <f t="array" ref="BX39">SUMPRODUCT((Table8[D])*(Table8[Adjusted Total]/Table8[BER Total])*(Table8[Archetype]=BX33)*(Table8[County]=BX32))</f>
        <v>2116.4711523659771</v>
      </c>
      <c r="BY39" s="372" cm="1">
        <f t="array" ref="BY39">SUMPRODUCT((Table8[D])*(Table8[Adjusted Total]/Table8[BER Total])*(Table8[Archetype]=BY33)*(Table8[County]=BY32))</f>
        <v>3370.3134856126571</v>
      </c>
      <c r="BZ39" s="1024" cm="1">
        <f t="array" ref="BZ39">SUMPRODUCT((Table8[D])*(Table8[Adjusted Total]/Table8[BER Total])*(Table8[Archetype]=BZ33)*(Table8[County]=BZ32))</f>
        <v>383.35951907263387</v>
      </c>
      <c r="CA39" s="312" cm="1">
        <f t="array" ref="CA39">SUMPRODUCT((Table8[D])*(Table8[Adjusted Total]/Table8[BER Total])*(Table8[Archetype]=CA33)*(Table8[County]=CA32))</f>
        <v>1295.1424228476608</v>
      </c>
      <c r="CB39" s="372" cm="1">
        <f t="array" ref="CB39">SUMPRODUCT((Table8[D])*(Table8[Adjusted Total]/Table8[BER Total])*(Table8[Archetype]=CB33)*(Table8[County]=CB32))</f>
        <v>3746.9172720446822</v>
      </c>
      <c r="CC39" s="1024" cm="1">
        <f t="array" ref="CC39">SUMPRODUCT((Table8[D])*(Table8[Adjusted Total]/Table8[BER Total])*(Table8[Archetype]=CC33)*(Table8[County]=CC32))</f>
        <v>556.2667049533311</v>
      </c>
      <c r="CD39" s="312" cm="1">
        <f t="array" ref="CD39">SUMPRODUCT((Table8[D])*(Table8[Adjusted Total]/Table8[BER Total])*(Table8[Archetype]=CD33)*(Table8[County]=CD32))</f>
        <v>3508.7353864412189</v>
      </c>
      <c r="CE39" s="372" cm="1">
        <f t="array" ref="CE39">SUMPRODUCT((Table8[D])*(Table8[Adjusted Total]/Table8[BER Total])*(Table8[Archetype]=CE33)*(Table8[County]=CE32))</f>
        <v>9705.694757855139</v>
      </c>
      <c r="CF39" s="1024" cm="1">
        <f t="array" ref="CF39">SUMPRODUCT((Table8[D])*(Table8[Adjusted Total]/Table8[BER Total])*(Table8[Archetype]=CF33)*(Table8[County]=CF32))</f>
        <v>225.3867342333846</v>
      </c>
      <c r="CG39" s="312" cm="1">
        <f t="array" ref="CG39">SUMPRODUCT((Table8[D])*(Table8[Adjusted Total]/Table8[BER Total])*(Table8[Archetype]=CG33)*(Table8[County]=CG32))</f>
        <v>1687.5696746750446</v>
      </c>
      <c r="CH39" s="372" cm="1">
        <f t="array" ref="CH39">SUMPRODUCT((Table8[D])*(Table8[Adjusted Total]/Table8[BER Total])*(Table8[Archetype]=CH33)*(Table8[County]=CH32))</f>
        <v>3580.0711282802349</v>
      </c>
    </row>
    <row r="40" spans="2:86" ht="15">
      <c r="C40" s="261"/>
      <c r="H40" s="1011" t="s">
        <v>60</v>
      </c>
      <c r="I40" s="1025" cm="1">
        <f t="array" ref="I40">SUMPRODUCT((Table8[E])*(Table8[Adjusted Total]/Table8[BER Total])*(Table8[Archetype]=I33)*(Table8[County]=I32))</f>
        <v>178.96880764128053</v>
      </c>
      <c r="J40" s="314" cm="1">
        <f t="array" ref="J40">SUMPRODUCT((Table8[E])*(Table8[Adjusted Total]/Table8[BER Total])*(Table8[Archetype]=J33)*(Table8[County]=J32))</f>
        <v>720.02847136952937</v>
      </c>
      <c r="K40" s="373" cm="1">
        <f t="array" ref="K40">SUMPRODUCT((Table8[E])*(Table8[Adjusted Total]/Table8[BER Total])*(Table8[Archetype]=K33)*(Table8[County]=K32))</f>
        <v>1081.6636479901906</v>
      </c>
      <c r="L40" s="1025" cm="1">
        <f t="array" ref="L40">SUMPRODUCT((Table8[E])*(Table8[Adjusted Total]/Table8[BER Total])*(Table8[Archetype]=L33)*(Table8[County]=L32))</f>
        <v>12052.625111545525</v>
      </c>
      <c r="M40" s="314" cm="1">
        <f t="array" ref="M40">SUMPRODUCT((Table8[E])*(Table8[Adjusted Total]/Table8[BER Total])*(Table8[Archetype]=M33)*(Table8[County]=M32))</f>
        <v>37887.420760937348</v>
      </c>
      <c r="N40" s="373" cm="1">
        <f t="array" ref="N40">SUMPRODUCT((Table8[E])*(Table8[Adjusted Total]/Table8[BER Total])*(Table8[Archetype]=N33)*(Table8[County]=N32))</f>
        <v>6532.1372620409893</v>
      </c>
      <c r="O40" s="1025" cm="1">
        <f t="array" ref="O40">SUMPRODUCT((Table8[E])*(Table8[Adjusted Total]/Table8[BER Total])*(Table8[Archetype]=O33)*(Table8[County]=O32))</f>
        <v>916.9360105614104</v>
      </c>
      <c r="P40" s="314" cm="1">
        <f t="array" ref="P40">SUMPRODUCT((Table8[E])*(Table8[Adjusted Total]/Table8[BER Total])*(Table8[Archetype]=P33)*(Table8[County]=P32))</f>
        <v>2503.483927034169</v>
      </c>
      <c r="Q40" s="373" cm="1">
        <f t="array" ref="Q40">SUMPRODUCT((Table8[E])*(Table8[Adjusted Total]/Table8[BER Total])*(Table8[Archetype]=Q33)*(Table8[County]=Q32))</f>
        <v>2388.6408103424128</v>
      </c>
      <c r="R40" s="1025" cm="1">
        <f t="array" ref="R40">SUMPRODUCT((Table8[E])*(Table8[Adjusted Total]/Table8[BER Total])*(Table8[Archetype]=R33)*(Table8[County]=R32))</f>
        <v>167.35560024381164</v>
      </c>
      <c r="S40" s="314" cm="1">
        <f t="array" ref="S40">SUMPRODUCT((Table8[E])*(Table8[Adjusted Total]/Table8[BER Total])*(Table8[Archetype]=S33)*(Table8[County]=S32))</f>
        <v>1383.4963137835387</v>
      </c>
      <c r="T40" s="373" cm="1">
        <f t="array" ref="T40">SUMPRODUCT((Table8[E])*(Table8[Adjusted Total]/Table8[BER Total])*(Table8[Archetype]=T33)*(Table8[County]=T32))</f>
        <v>2243.6524886385482</v>
      </c>
      <c r="U40" s="1025" cm="1">
        <f t="array" ref="U40">SUMPRODUCT((Table8[E])*(Table8[Adjusted Total]/Table8[BER Total])*(Table8[Archetype]=U33)*(Table8[County]=U32))</f>
        <v>152.103776746411</v>
      </c>
      <c r="V40" s="314" cm="1">
        <f t="array" ref="V40">SUMPRODUCT((Table8[E])*(Table8[Adjusted Total]/Table8[BER Total])*(Table8[Archetype]=V33)*(Table8[County]=V32))</f>
        <v>1469.553029092207</v>
      </c>
      <c r="W40" s="373" cm="1">
        <f t="array" ref="W40">SUMPRODUCT((Table8[E])*(Table8[Adjusted Total]/Table8[BER Total])*(Table8[Archetype]=W33)*(Table8[County]=W32))</f>
        <v>1532.0496791301048</v>
      </c>
      <c r="X40" s="1025" cm="1">
        <f t="array" ref="X40">SUMPRODUCT((Table8[E])*(Table8[Adjusted Total]/Table8[BER Total])*(Table8[Archetype]=X33)*(Table8[County]=X32))</f>
        <v>114.73053043724934</v>
      </c>
      <c r="Y40" s="314" cm="1">
        <f t="array" ref="Y40">SUMPRODUCT((Table8[E])*(Table8[Adjusted Total]/Table8[BER Total])*(Table8[Archetype]=Y33)*(Table8[County]=Y32))</f>
        <v>491.34508833500217</v>
      </c>
      <c r="Z40" s="373" cm="1">
        <f t="array" ref="Z40">SUMPRODUCT((Table8[E])*(Table8[Adjusted Total]/Table8[BER Total])*(Table8[Archetype]=Z33)*(Table8[County]=Z32))</f>
        <v>1070.9219487160433</v>
      </c>
      <c r="AA40" s="1025" cm="1">
        <f t="array" ref="AA40">SUMPRODUCT((Table8[E])*(Table8[Adjusted Total]/Table8[BER Total])*(Table8[Archetype]=AA33)*(Table8[County]=AA32))</f>
        <v>297.81540483016772</v>
      </c>
      <c r="AB40" s="314" cm="1">
        <f t="array" ref="AB40">SUMPRODUCT((Table8[E])*(Table8[Adjusted Total]/Table8[BER Total])*(Table8[Archetype]=AB33)*(Table8[County]=AB32))</f>
        <v>1720.6017317721194</v>
      </c>
      <c r="AC40" s="373" cm="1">
        <f t="array" ref="AC40">SUMPRODUCT((Table8[E])*(Table8[Adjusted Total]/Table8[BER Total])*(Table8[Archetype]=AC33)*(Table8[County]=AC32))</f>
        <v>1722.5994124228</v>
      </c>
      <c r="AD40" s="1025" cm="1">
        <f t="array" ref="AD40">SUMPRODUCT((Table8[E])*(Table8[Adjusted Total]/Table8[BER Total])*(Table8[Archetype]=AD33)*(Table8[County]=AD32))</f>
        <v>472.22792395901701</v>
      </c>
      <c r="AE40" s="314" cm="1">
        <f t="array" ref="AE40">SUMPRODUCT((Table8[E])*(Table8[Adjusted Total]/Table8[BER Total])*(Table8[Archetype]=AE33)*(Table8[County]=AE32))</f>
        <v>1182.1820487347479</v>
      </c>
      <c r="AF40" s="373" cm="1">
        <f t="array" ref="AF40">SUMPRODUCT((Table8[E])*(Table8[Adjusted Total]/Table8[BER Total])*(Table8[Archetype]=AF33)*(Table8[County]=AF32))</f>
        <v>2842.3273363046605</v>
      </c>
      <c r="AG40" s="1025" cm="1">
        <f t="array" ref="AG40">SUMPRODUCT((Table8[E])*(Table8[Adjusted Total]/Table8[BER Total])*(Table8[Archetype]=AG33)*(Table8[County]=AG32))</f>
        <v>201.8637593055625</v>
      </c>
      <c r="AH40" s="314" cm="1">
        <f t="array" ref="AH40">SUMPRODUCT((Table8[E])*(Table8[Adjusted Total]/Table8[BER Total])*(Table8[Archetype]=AH33)*(Table8[County]=AH32))</f>
        <v>2056.1994976550313</v>
      </c>
      <c r="AI40" s="373" cm="1">
        <f t="array" ref="AI40">SUMPRODUCT((Table8[E])*(Table8[Adjusted Total]/Table8[BER Total])*(Table8[Archetype]=AI33)*(Table8[County]=AI32))</f>
        <v>1743.5165731185921</v>
      </c>
      <c r="AJ40" s="1025" cm="1">
        <f t="array" ref="AJ40">SUMPRODUCT((Table8[E])*(Table8[Adjusted Total]/Table8[BER Total])*(Table8[Archetype]=AJ33)*(Table8[County]=AJ32))</f>
        <v>399.98202369460546</v>
      </c>
      <c r="AK40" s="314" cm="1">
        <f t="array" ref="AK40">SUMPRODUCT((Table8[E])*(Table8[Adjusted Total]/Table8[BER Total])*(Table8[Archetype]=AK33)*(Table8[County]=AK32))</f>
        <v>1404.228152719824</v>
      </c>
      <c r="AL40" s="373" cm="1">
        <f t="array" ref="AL40">SUMPRODUCT((Table8[E])*(Table8[Adjusted Total]/Table8[BER Total])*(Table8[Archetype]=AL33)*(Table8[County]=AL32))</f>
        <v>1776.2633788026562</v>
      </c>
      <c r="AM40" s="1025" cm="1">
        <f t="array" ref="AM40">SUMPRODUCT((Table8[E])*(Table8[Adjusted Total]/Table8[BER Total])*(Table8[Archetype]=AM33)*(Table8[County]=AM32))</f>
        <v>535.07011968790266</v>
      </c>
      <c r="AN40" s="314" cm="1">
        <f t="array" ref="AN40">SUMPRODUCT((Table8[E])*(Table8[Adjusted Total]/Table8[BER Total])*(Table8[Archetype]=AN33)*(Table8[County]=AN32))</f>
        <v>2206.470497493814</v>
      </c>
      <c r="AO40" s="373" cm="1">
        <f t="array" ref="AO40">SUMPRODUCT((Table8[E])*(Table8[Adjusted Total]/Table8[BER Total])*(Table8[Archetype]=AO33)*(Table8[County]=AO32))</f>
        <v>3312.1890865770824</v>
      </c>
      <c r="AP40" s="1025" cm="1">
        <f t="array" ref="AP40">SUMPRODUCT((Table8[E])*(Table8[Adjusted Total]/Table8[BER Total])*(Table8[Archetype]=AP33)*(Table8[County]=AP32))</f>
        <v>422.63607976085774</v>
      </c>
      <c r="AQ40" s="314" cm="1">
        <f t="array" ref="AQ40">SUMPRODUCT((Table8[E])*(Table8[Adjusted Total]/Table8[BER Total])*(Table8[Archetype]=AQ33)*(Table8[County]=AQ32))</f>
        <v>2600.1012464215391</v>
      </c>
      <c r="AR40" s="373" cm="1">
        <f t="array" ref="AR40">SUMPRODUCT((Table8[E])*(Table8[Adjusted Total]/Table8[BER Total])*(Table8[Archetype]=AR33)*(Table8[County]=AR32))</f>
        <v>2345.0141338282701</v>
      </c>
      <c r="AS40" s="1025" cm="1">
        <f t="array" ref="AS40">SUMPRODUCT((Table8[E])*(Table8[Adjusted Total]/Table8[BER Total])*(Table8[Archetype]=AS33)*(Table8[County]=AS32))</f>
        <v>456.46980391758512</v>
      </c>
      <c r="AT40" s="314" cm="1">
        <f t="array" ref="AT40">SUMPRODUCT((Table8[E])*(Table8[Adjusted Total]/Table8[BER Total])*(Table8[Archetype]=AT33)*(Table8[County]=AT32))</f>
        <v>1915.5135547373452</v>
      </c>
      <c r="AU40" s="373" cm="1">
        <f t="array" ref="AU40">SUMPRODUCT((Table8[E])*(Table8[Adjusted Total]/Table8[BER Total])*(Table8[Archetype]=AU33)*(Table8[County]=AU32))</f>
        <v>2900.7910397433311</v>
      </c>
      <c r="AV40" s="1025" cm="1">
        <f t="array" ref="AV40">SUMPRODUCT((Table8[E])*(Table8[Adjusted Total]/Table8[BER Total])*(Table8[Archetype]=AV33)*(Table8[County]=AV32))</f>
        <v>1944.593115022135</v>
      </c>
      <c r="AW40" s="314" cm="1">
        <f t="array" ref="AW40">SUMPRODUCT((Table8[E])*(Table8[Adjusted Total]/Table8[BER Total])*(Table8[Archetype]=AW33)*(Table8[County]=AW32))</f>
        <v>8521.2818341814509</v>
      </c>
      <c r="AX40" s="373" cm="1">
        <f t="array" ref="AX40">SUMPRODUCT((Table8[E])*(Table8[Adjusted Total]/Table8[BER Total])*(Table8[Archetype]=AX33)*(Table8[County]=AX32))</f>
        <v>7801.4221541968845</v>
      </c>
      <c r="AY40" s="1025" cm="1">
        <f t="array" ref="AY40">SUMPRODUCT((Table8[E])*(Table8[Adjusted Total]/Table8[BER Total])*(Table8[Archetype]=AY33)*(Table8[County]=AY32))</f>
        <v>408.51296612902382</v>
      </c>
      <c r="AZ40" s="314" cm="1">
        <f t="array" ref="AZ40">SUMPRODUCT((Table8[E])*(Table8[Adjusted Total]/Table8[BER Total])*(Table8[Archetype]=AZ33)*(Table8[County]=AZ32))</f>
        <v>2050.8176062571074</v>
      </c>
      <c r="BA40" s="373" cm="1">
        <f t="array" ref="BA40">SUMPRODUCT((Table8[E])*(Table8[Adjusted Total]/Table8[BER Total])*(Table8[Archetype]=BA33)*(Table8[County]=BA32))</f>
        <v>3952.4138153590484</v>
      </c>
      <c r="BB40" s="1025" cm="1">
        <f t="array" ref="BB40">SUMPRODUCT((Table8[E])*(Table8[Adjusted Total]/Table8[BER Total])*(Table8[Archetype]=BB33)*(Table8[County]=BB32))</f>
        <v>800.13912605798032</v>
      </c>
      <c r="BC40" s="314" cm="1">
        <f t="array" ref="BC40">SUMPRODUCT((Table8[E])*(Table8[Adjusted Total]/Table8[BER Total])*(Table8[Archetype]=BC33)*(Table8[County]=BC32))</f>
        <v>3399.2858614133197</v>
      </c>
      <c r="BD40" s="373" cm="1">
        <f t="array" ref="BD40">SUMPRODUCT((Table8[E])*(Table8[Adjusted Total]/Table8[BER Total])*(Table8[Archetype]=BD33)*(Table8[County]=BD32))</f>
        <v>3457.0281112557345</v>
      </c>
      <c r="BE40" s="1025" cm="1">
        <f t="array" ref="BE40">SUMPRODUCT((Table8[E])*(Table8[Adjusted Total]/Table8[BER Total])*(Table8[Archetype]=BE33)*(Table8[County]=BE32))</f>
        <v>456.93794942371017</v>
      </c>
      <c r="BF40" s="314" cm="1">
        <f t="array" ref="BF40">SUMPRODUCT((Table8[E])*(Table8[Adjusted Total]/Table8[BER Total])*(Table8[Archetype]=BF33)*(Table8[County]=BF32))</f>
        <v>3069.7264662053212</v>
      </c>
      <c r="BG40" s="373" cm="1">
        <f t="array" ref="BG40">SUMPRODUCT((Table8[E])*(Table8[Adjusted Total]/Table8[BER Total])*(Table8[Archetype]=BG33)*(Table8[County]=BG32))</f>
        <v>4203.7250544850658</v>
      </c>
      <c r="BH40" s="1025" cm="1">
        <f t="array" ref="BH40">SUMPRODUCT((Table8[E])*(Table8[Adjusted Total]/Table8[BER Total])*(Table8[Archetype]=BH33)*(Table8[County]=BH32))</f>
        <v>535.47396433930317</v>
      </c>
      <c r="BI40" s="314" cm="1">
        <f t="array" ref="BI40">SUMPRODUCT((Table8[E])*(Table8[Adjusted Total]/Table8[BER Total])*(Table8[Archetype]=BI33)*(Table8[County]=BI32))</f>
        <v>2093.5787490219495</v>
      </c>
      <c r="BJ40" s="373" cm="1">
        <f t="array" ref="BJ40">SUMPRODUCT((Table8[E])*(Table8[Adjusted Total]/Table8[BER Total])*(Table8[Archetype]=BJ33)*(Table8[County]=BJ32))</f>
        <v>1582.4781170855376</v>
      </c>
      <c r="BK40" s="1025" cm="1">
        <f t="array" ref="BK40">SUMPRODUCT((Table8[E])*(Table8[Adjusted Total]/Table8[BER Total])*(Table8[Archetype]=BK33)*(Table8[County]=BK32))</f>
        <v>1730.0497788854952</v>
      </c>
      <c r="BL40" s="314" cm="1">
        <f t="array" ref="BL40">SUMPRODUCT((Table8[E])*(Table8[Adjusted Total]/Table8[BER Total])*(Table8[Archetype]=BL33)*(Table8[County]=BL32))</f>
        <v>2848.901928823962</v>
      </c>
      <c r="BM40" s="373" cm="1">
        <f t="array" ref="BM40">SUMPRODUCT((Table8[E])*(Table8[Adjusted Total]/Table8[BER Total])*(Table8[Archetype]=BM33)*(Table8[County]=BM32))</f>
        <v>5581.637352550365</v>
      </c>
      <c r="BN40" s="1025" cm="1">
        <f t="array" ref="BN40">SUMPRODUCT((Table8[E])*(Table8[Adjusted Total]/Table8[BER Total])*(Table8[Archetype]=BN33)*(Table8[County]=BN32))</f>
        <v>67.367650575201253</v>
      </c>
      <c r="BO40" s="314" cm="1">
        <f t="array" ref="BO40">SUMPRODUCT((Table8[E])*(Table8[Adjusted Total]/Table8[BER Total])*(Table8[Archetype]=BO33)*(Table8[County]=BO32))</f>
        <v>294.63720220886296</v>
      </c>
      <c r="BP40" s="373" cm="1">
        <f t="array" ref="BP40">SUMPRODUCT((Table8[E])*(Table8[Adjusted Total]/Table8[BER Total])*(Table8[Archetype]=BP33)*(Table8[County]=BP32))</f>
        <v>1089.1347931490211</v>
      </c>
      <c r="BQ40" s="1025" cm="1">
        <f t="array" ref="BQ40">SUMPRODUCT((Table8[E])*(Table8[Adjusted Total]/Table8[BER Total])*(Table8[Archetype]=BQ33)*(Table8[County]=BQ32))</f>
        <v>312.57644025726654</v>
      </c>
      <c r="BR40" s="314" cm="1">
        <f t="array" ref="BR40">SUMPRODUCT((Table8[E])*(Table8[Adjusted Total]/Table8[BER Total])*(Table8[Archetype]=BR33)*(Table8[County]=BR32))</f>
        <v>1208.0898056947403</v>
      </c>
      <c r="BS40" s="373" cm="1">
        <f t="array" ref="BS40">SUMPRODUCT((Table8[E])*(Table8[Adjusted Total]/Table8[BER Total])*(Table8[Archetype]=BS33)*(Table8[County]=BS32))</f>
        <v>4047.897015947678</v>
      </c>
      <c r="BT40" s="1025" cm="1">
        <f t="array" ref="BT40">SUMPRODUCT((Table8[E])*(Table8[Adjusted Total]/Table8[BER Total])*(Table8[Archetype]=BT33)*(Table8[County]=BT32))</f>
        <v>110.04844240883492</v>
      </c>
      <c r="BU40" s="314" cm="1">
        <f t="array" ref="BU40">SUMPRODUCT((Table8[E])*(Table8[Adjusted Total]/Table8[BER Total])*(Table8[Archetype]=BU33)*(Table8[County]=BU32))</f>
        <v>651.75083671783045</v>
      </c>
      <c r="BV40" s="373" cm="1">
        <f t="array" ref="BV40">SUMPRODUCT((Table8[E])*(Table8[Adjusted Total]/Table8[BER Total])*(Table8[Archetype]=BV33)*(Table8[County]=BV32))</f>
        <v>2018.8208889505879</v>
      </c>
      <c r="BW40" s="1025" cm="1">
        <f t="array" ref="BW40">SUMPRODUCT((Table8[E])*(Table8[Adjusted Total]/Table8[BER Total])*(Table8[Archetype]=BW33)*(Table8[County]=BW32))</f>
        <v>378.35405264884105</v>
      </c>
      <c r="BX40" s="314" cm="1">
        <f t="array" ref="BX40">SUMPRODUCT((Table8[E])*(Table8[Adjusted Total]/Table8[BER Total])*(Table8[Archetype]=BX33)*(Table8[County]=BX32))</f>
        <v>1143.9165816409864</v>
      </c>
      <c r="BY40" s="373" cm="1">
        <f t="array" ref="BY40">SUMPRODUCT((Table8[E])*(Table8[Adjusted Total]/Table8[BER Total])*(Table8[Archetype]=BY33)*(Table8[County]=BY32))</f>
        <v>1663.6897779298147</v>
      </c>
      <c r="BZ40" s="1025" cm="1">
        <f t="array" ref="BZ40">SUMPRODUCT((Table8[E])*(Table8[Adjusted Total]/Table8[BER Total])*(Table8[Archetype]=BZ33)*(Table8[County]=BZ32))</f>
        <v>191.67975953631694</v>
      </c>
      <c r="CA40" s="314" cm="1">
        <f t="array" ref="CA40">SUMPRODUCT((Table8[E])*(Table8[Adjusted Total]/Table8[BER Total])*(Table8[Archetype]=CA33)*(Table8[County]=CA32))</f>
        <v>684.84149697340342</v>
      </c>
      <c r="CB40" s="373" cm="1">
        <f t="array" ref="CB40">SUMPRODUCT((Table8[E])*(Table8[Adjusted Total]/Table8[BER Total])*(Table8[Archetype]=CB33)*(Table8[County]=CB32))</f>
        <v>1813.7251722651072</v>
      </c>
      <c r="CC40" s="1025" cm="1">
        <f t="array" ref="CC40">SUMPRODUCT((Table8[E])*(Table8[Adjusted Total]/Table8[BER Total])*(Table8[Archetype]=CC33)*(Table8[County]=CC32))</f>
        <v>330.10488240557015</v>
      </c>
      <c r="CD40" s="314" cm="1">
        <f t="array" ref="CD40">SUMPRODUCT((Table8[E])*(Table8[Adjusted Total]/Table8[BER Total])*(Table8[Archetype]=CD33)*(Table8[County]=CD32))</f>
        <v>1564.819160921191</v>
      </c>
      <c r="CE40" s="373" cm="1">
        <f t="array" ref="CE40">SUMPRODUCT((Table8[E])*(Table8[Adjusted Total]/Table8[BER Total])*(Table8[Archetype]=CE33)*(Table8[County]=CE32))</f>
        <v>4486.1223417946521</v>
      </c>
      <c r="CF40" s="1025" cm="1">
        <f t="array" ref="CF40">SUMPRODUCT((Table8[E])*(Table8[Adjusted Total]/Table8[BER Total])*(Table8[Archetype]=CF33)*(Table8[County]=CF32))</f>
        <v>155.06607315256861</v>
      </c>
      <c r="CG40" s="314" cm="1">
        <f t="array" ref="CG40">SUMPRODUCT((Table8[E])*(Table8[Adjusted Total]/Table8[BER Total])*(Table8[Archetype]=CG33)*(Table8[County]=CG32))</f>
        <v>663.81358049918686</v>
      </c>
      <c r="CH40" s="373" cm="1">
        <f t="array" ref="CH40">SUMPRODUCT((Table8[E])*(Table8[Adjusted Total]/Table8[BER Total])*(Table8[Archetype]=CH33)*(Table8[County]=CH32))</f>
        <v>1632.5431647200642</v>
      </c>
    </row>
    <row r="41" spans="2:86" ht="15">
      <c r="C41" s="261"/>
      <c r="H41" s="1010" t="s">
        <v>62</v>
      </c>
      <c r="I41" s="1024" cm="1">
        <f t="array" ref="I41">SUMPRODUCT((Table8[F])*(Table8[Adjusted Total]/Table8[BER Total])*(Table8[Archetype]=I33)*(Table8[County]=I32))</f>
        <v>68.936133313678425</v>
      </c>
      <c r="J41" s="312" cm="1">
        <f t="array" ref="J41">SUMPRODUCT((Table8[F])*(Table8[Adjusted Total]/Table8[BER Total])*(Table8[Archetype]=J33)*(Table8[County]=J32))</f>
        <v>362.82684690105191</v>
      </c>
      <c r="K41" s="372" cm="1">
        <f t="array" ref="K41">SUMPRODUCT((Table8[F])*(Table8[Adjusted Total]/Table8[BER Total])*(Table8[Archetype]=K33)*(Table8[County]=K32))</f>
        <v>580.70882484265996</v>
      </c>
      <c r="L41" s="1024" cm="1">
        <f t="array" ref="L41">SUMPRODUCT((Table8[F])*(Table8[Adjusted Total]/Table8[BER Total])*(Table8[Archetype]=L33)*(Table8[County]=L32))</f>
        <v>4134.5521230291488</v>
      </c>
      <c r="M41" s="312" cm="1">
        <f t="array" ref="M41">SUMPRODUCT((Table8[F])*(Table8[Adjusted Total]/Table8[BER Total])*(Table8[Archetype]=M33)*(Table8[County]=M32))</f>
        <v>17538.434579705496</v>
      </c>
      <c r="N41" s="372" cm="1">
        <f t="array" ref="N41">SUMPRODUCT((Table8[F])*(Table8[Adjusted Total]/Table8[BER Total])*(Table8[Archetype]=N33)*(Table8[County]=N32))</f>
        <v>3182.386390285983</v>
      </c>
      <c r="O41" s="1024" cm="1">
        <f t="array" ref="O41">SUMPRODUCT((Table8[F])*(Table8[Adjusted Total]/Table8[BER Total])*(Table8[Archetype]=O33)*(Table8[County]=O32))</f>
        <v>300.40570250773828</v>
      </c>
      <c r="P41" s="312" cm="1">
        <f t="array" ref="P41">SUMPRODUCT((Table8[F])*(Table8[Adjusted Total]/Table8[BER Total])*(Table8[Archetype]=P33)*(Table8[County]=P32))</f>
        <v>884.44249685002762</v>
      </c>
      <c r="Q41" s="372" cm="1">
        <f t="array" ref="Q41">SUMPRODUCT((Table8[F])*(Table8[Adjusted Total]/Table8[BER Total])*(Table8[Archetype]=Q33)*(Table8[County]=Q32))</f>
        <v>995.49553863868641</v>
      </c>
      <c r="R41" s="1024" cm="1">
        <f t="array" ref="R41">SUMPRODUCT((Table8[F])*(Table8[Adjusted Total]/Table8[BER Total])*(Table8[Archetype]=R33)*(Table8[County]=R32))</f>
        <v>71.250404064197028</v>
      </c>
      <c r="S41" s="312" cm="1">
        <f t="array" ref="S41">SUMPRODUCT((Table8[F])*(Table8[Adjusted Total]/Table8[BER Total])*(Table8[Archetype]=S33)*(Table8[County]=S32))</f>
        <v>630.45401640768853</v>
      </c>
      <c r="T41" s="372" cm="1">
        <f t="array" ref="T41">SUMPRODUCT((Table8[F])*(Table8[Adjusted Total]/Table8[BER Total])*(Table8[Archetype]=T33)*(Table8[County]=T32))</f>
        <v>1067.7413087455609</v>
      </c>
      <c r="U41" s="1024" cm="1">
        <f t="array" ref="U41">SUMPRODUCT((Table8[F])*(Table8[Adjusted Total]/Table8[BER Total])*(Table8[Archetype]=U33)*(Table8[County]=U32))</f>
        <v>52.336783396614543</v>
      </c>
      <c r="V41" s="312" cm="1">
        <f t="array" ref="V41">SUMPRODUCT((Table8[F])*(Table8[Adjusted Total]/Table8[BER Total])*(Table8[Archetype]=V33)*(Table8[County]=V32))</f>
        <v>662.28333832413716</v>
      </c>
      <c r="W41" s="372" cm="1">
        <f t="array" ref="W41">SUMPRODUCT((Table8[F])*(Table8[Adjusted Total]/Table8[BER Total])*(Table8[Archetype]=W33)*(Table8[County]=W32))</f>
        <v>921.62363510170371</v>
      </c>
      <c r="X41" s="1024" cm="1">
        <f t="array" ref="X41">SUMPRODUCT((Table8[F])*(Table8[Adjusted Total]/Table8[BER Total])*(Table8[Archetype]=X33)*(Table8[County]=X32))</f>
        <v>29.877742301367014</v>
      </c>
      <c r="Y41" s="312" cm="1">
        <f t="array" ref="Y41">SUMPRODUCT((Table8[F])*(Table8[Adjusted Total]/Table8[BER Total])*(Table8[Archetype]=Y33)*(Table8[County]=Y32))</f>
        <v>232.39294718547399</v>
      </c>
      <c r="Z41" s="372" cm="1">
        <f t="array" ref="Z41">SUMPRODUCT((Table8[F])*(Table8[Adjusted Total]/Table8[BER Total])*(Table8[Archetype]=Z33)*(Table8[County]=Z32))</f>
        <v>750.44655259154149</v>
      </c>
      <c r="AA41" s="1024" cm="1">
        <f t="array" ref="AA41">SUMPRODUCT((Table8[F])*(Table8[Adjusted Total]/Table8[BER Total])*(Table8[Archetype]=AA33)*(Table8[County]=AA32))</f>
        <v>113.38843394910056</v>
      </c>
      <c r="AB41" s="312" cm="1">
        <f t="array" ref="AB41">SUMPRODUCT((Table8[F])*(Table8[Adjusted Total]/Table8[BER Total])*(Table8[Archetype]=AB33)*(Table8[County]=AB32))</f>
        <v>775.16270290958823</v>
      </c>
      <c r="AC41" s="372" cm="1">
        <f t="array" ref="AC41">SUMPRODUCT((Table8[F])*(Table8[Adjusted Total]/Table8[BER Total])*(Table8[Archetype]=AC33)*(Table8[County]=AC32))</f>
        <v>771.74560831785993</v>
      </c>
      <c r="AD41" s="1024" cm="1">
        <f t="array" ref="AD41">SUMPRODUCT((Table8[F])*(Table8[Adjusted Total]/Table8[BER Total])*(Table8[Archetype]=AD33)*(Table8[County]=AD32))</f>
        <v>122.42946176715255</v>
      </c>
      <c r="AE41" s="312" cm="1">
        <f t="array" ref="AE41">SUMPRODUCT((Table8[F])*(Table8[Adjusted Total]/Table8[BER Total])*(Table8[Archetype]=AE33)*(Table8[County]=AE32))</f>
        <v>580.23108428713351</v>
      </c>
      <c r="AF41" s="372" cm="1">
        <f t="array" ref="AF41">SUMPRODUCT((Table8[F])*(Table8[Adjusted Total]/Table8[BER Total])*(Table8[Archetype]=AF33)*(Table8[County]=AF32))</f>
        <v>1401.8986757790453</v>
      </c>
      <c r="AG41" s="1024" cm="1">
        <f t="array" ref="AG41">SUMPRODUCT((Table8[F])*(Table8[Adjusted Total]/Table8[BER Total])*(Table8[Archetype]=AG33)*(Table8[County]=AG32))</f>
        <v>93.046576554907716</v>
      </c>
      <c r="AH41" s="312" cm="1">
        <f t="array" ref="AH41">SUMPRODUCT((Table8[F])*(Table8[Adjusted Total]/Table8[BER Total])*(Table8[Archetype]=AH33)*(Table8[County]=AH32))</f>
        <v>993.10463318205291</v>
      </c>
      <c r="AI41" s="372" cm="1">
        <f t="array" ref="AI41">SUMPRODUCT((Table8[F])*(Table8[Adjusted Total]/Table8[BER Total])*(Table8[Archetype]=AI33)*(Table8[County]=AI32))</f>
        <v>1043.4682520937029</v>
      </c>
      <c r="AJ41" s="1024" cm="1">
        <f t="array" ref="AJ41">SUMPRODUCT((Table8[F])*(Table8[Adjusted Total]/Table8[BER Total])*(Table8[Archetype]=AJ33)*(Table8[County]=AJ32))</f>
        <v>152.81705224212502</v>
      </c>
      <c r="AK41" s="312" cm="1">
        <f t="array" ref="AK41">SUMPRODUCT((Table8[F])*(Table8[Adjusted Total]/Table8[BER Total])*(Table8[Archetype]=AK33)*(Table8[County]=AK32))</f>
        <v>634.33573730536602</v>
      </c>
      <c r="AL41" s="372" cm="1">
        <f t="array" ref="AL41">SUMPRODUCT((Table8[F])*(Table8[Adjusted Total]/Table8[BER Total])*(Table8[Archetype]=AL33)*(Table8[County]=AL32))</f>
        <v>1006.0755777538245</v>
      </c>
      <c r="AM41" s="1024" cm="1">
        <f t="array" ref="AM41">SUMPRODUCT((Table8[F])*(Table8[Adjusted Total]/Table8[BER Total])*(Table8[Archetype]=AM33)*(Table8[County]=AM32))</f>
        <v>162.36610528460497</v>
      </c>
      <c r="AN41" s="312" cm="1">
        <f t="array" ref="AN41">SUMPRODUCT((Table8[F])*(Table8[Adjusted Total]/Table8[BER Total])*(Table8[Archetype]=AN33)*(Table8[County]=AN32))</f>
        <v>900.2266509382755</v>
      </c>
      <c r="AO41" s="372" cm="1">
        <f t="array" ref="AO41">SUMPRODUCT((Table8[F])*(Table8[Adjusted Total]/Table8[BER Total])*(Table8[Archetype]=AO33)*(Table8[County]=AO32))</f>
        <v>1451.854553806163</v>
      </c>
      <c r="AP41" s="1024" cm="1">
        <f t="array" ref="AP41">SUMPRODUCT((Table8[F])*(Table8[Adjusted Total]/Table8[BER Total])*(Table8[Archetype]=AP33)*(Table8[County]=AP32))</f>
        <v>152.00069535258919</v>
      </c>
      <c r="AQ41" s="312" cm="1">
        <f t="array" ref="AQ41">SUMPRODUCT((Table8[F])*(Table8[Adjusted Total]/Table8[BER Total])*(Table8[Archetype]=AQ33)*(Table8[County]=AQ32))</f>
        <v>1046.2558800341651</v>
      </c>
      <c r="AR41" s="372" cm="1">
        <f t="array" ref="AR41">SUMPRODUCT((Table8[F])*(Table8[Adjusted Total]/Table8[BER Total])*(Table8[Archetype]=AR33)*(Table8[County]=AR32))</f>
        <v>1249.8008288671338</v>
      </c>
      <c r="AS41" s="1024" cm="1">
        <f t="array" ref="AS41">SUMPRODUCT((Table8[F])*(Table8[Adjusted Total]/Table8[BER Total])*(Table8[Archetype]=AS33)*(Table8[County]=AS32))</f>
        <v>122.15389118921291</v>
      </c>
      <c r="AT41" s="312" cm="1">
        <f t="array" ref="AT41">SUMPRODUCT((Table8[F])*(Table8[Adjusted Total]/Table8[BER Total])*(Table8[Archetype]=AT33)*(Table8[County]=AT32))</f>
        <v>714.03824423400613</v>
      </c>
      <c r="AU41" s="372" cm="1">
        <f t="array" ref="AU41">SUMPRODUCT((Table8[F])*(Table8[Adjusted Total]/Table8[BER Total])*(Table8[Archetype]=AU33)*(Table8[County]=AU32))</f>
        <v>1302.1438483345275</v>
      </c>
      <c r="AV41" s="1024" cm="1">
        <f t="array" ref="AV41">SUMPRODUCT((Table8[F])*(Table8[Adjusted Total]/Table8[BER Total])*(Table8[Archetype]=AV33)*(Table8[County]=AV32))</f>
        <v>742.1863722334482</v>
      </c>
      <c r="AW41" s="312" cm="1">
        <f t="array" ref="AW41">SUMPRODUCT((Table8[F])*(Table8[Adjusted Total]/Table8[BER Total])*(Table8[Archetype]=AW33)*(Table8[County]=AW32))</f>
        <v>3752.6414231299082</v>
      </c>
      <c r="AX41" s="372" cm="1">
        <f t="array" ref="AX41">SUMPRODUCT((Table8[F])*(Table8[Adjusted Total]/Table8[BER Total])*(Table8[Archetype]=AX33)*(Table8[County]=AX32))</f>
        <v>3641.9348534082524</v>
      </c>
      <c r="AY41" s="1024" cm="1">
        <f t="array" ref="AY41">SUMPRODUCT((Table8[F])*(Table8[Adjusted Total]/Table8[BER Total])*(Table8[Archetype]=AY33)*(Table8[County]=AY32))</f>
        <v>124.05761854838453</v>
      </c>
      <c r="AZ41" s="312" cm="1">
        <f t="array" ref="AZ41">SUMPRODUCT((Table8[F])*(Table8[Adjusted Total]/Table8[BER Total])*(Table8[Archetype]=AZ33)*(Table8[County]=AZ32))</f>
        <v>786.19753701981233</v>
      </c>
      <c r="BA41" s="372" cm="1">
        <f t="array" ref="BA41">SUMPRODUCT((Table8[F])*(Table8[Adjusted Total]/Table8[BER Total])*(Table8[Archetype]=BA33)*(Table8[County]=BA32))</f>
        <v>1727.4447601952647</v>
      </c>
      <c r="BB41" s="1024" cm="1">
        <f t="array" ref="BB41">SUMPRODUCT((Table8[F])*(Table8[Adjusted Total]/Table8[BER Total])*(Table8[Archetype]=BB33)*(Table8[County]=BB32))</f>
        <v>269.22920279309398</v>
      </c>
      <c r="BC41" s="312" cm="1">
        <f t="array" ref="BC41">SUMPRODUCT((Table8[F])*(Table8[Adjusted Total]/Table8[BER Total])*(Table8[Archetype]=BC33)*(Table8[County]=BC32))</f>
        <v>1402.1232300703875</v>
      </c>
      <c r="BD41" s="372" cm="1">
        <f t="array" ref="BD41">SUMPRODUCT((Table8[F])*(Table8[Adjusted Total]/Table8[BER Total])*(Table8[Archetype]=BD33)*(Table8[County]=BD32))</f>
        <v>1825.5294690267435</v>
      </c>
      <c r="BE41" s="1024" cm="1">
        <f t="array" ref="BE41">SUMPRODUCT((Table8[F])*(Table8[Adjusted Total]/Table8[BER Total])*(Table8[Archetype]=BE33)*(Table8[County]=BE32))</f>
        <v>189.1423479171915</v>
      </c>
      <c r="BF41" s="312" cm="1">
        <f t="array" ref="BF41">SUMPRODUCT((Table8[F])*(Table8[Adjusted Total]/Table8[BER Total])*(Table8[Archetype]=BF33)*(Table8[County]=BF32))</f>
        <v>1481.7041436658999</v>
      </c>
      <c r="BG41" s="372" cm="1">
        <f t="array" ref="BG41">SUMPRODUCT((Table8[F])*(Table8[Adjusted Total]/Table8[BER Total])*(Table8[Archetype]=BG33)*(Table8[County]=BG32))</f>
        <v>2317.9169240783767</v>
      </c>
      <c r="BH41" s="1024" cm="1">
        <f t="array" ref="BH41">SUMPRODUCT((Table8[F])*(Table8[Adjusted Total]/Table8[BER Total])*(Table8[Archetype]=BH33)*(Table8[County]=BH32))</f>
        <v>146.14464092229889</v>
      </c>
      <c r="BI41" s="312" cm="1">
        <f t="array" ref="BI41">SUMPRODUCT((Table8[F])*(Table8[Adjusted Total]/Table8[BER Total])*(Table8[Archetype]=BI33)*(Table8[County]=BI32))</f>
        <v>924.78182917101321</v>
      </c>
      <c r="BJ41" s="372" cm="1">
        <f t="array" ref="BJ41">SUMPRODUCT((Table8[F])*(Table8[Adjusted Total]/Table8[BER Total])*(Table8[Archetype]=BJ33)*(Table8[County]=BJ32))</f>
        <v>855.83000209728061</v>
      </c>
      <c r="BK41" s="1024" cm="1">
        <f t="array" ref="BK41">SUMPRODUCT((Table8[F])*(Table8[Adjusted Total]/Table8[BER Total])*(Table8[Archetype]=BK33)*(Table8[County]=BK32))</f>
        <v>472.08420932670015</v>
      </c>
      <c r="BL41" s="312" cm="1">
        <f t="array" ref="BL41">SUMPRODUCT((Table8[F])*(Table8[Adjusted Total]/Table8[BER Total])*(Table8[Archetype]=BL33)*(Table8[County]=BL32))</f>
        <v>1288.0757475645694</v>
      </c>
      <c r="BM41" s="372" cm="1">
        <f t="array" ref="BM41">SUMPRODUCT((Table8[F])*(Table8[Adjusted Total]/Table8[BER Total])*(Table8[Archetype]=BM33)*(Table8[County]=BM32))</f>
        <v>2625.5981121450777</v>
      </c>
      <c r="BN41" s="1024" cm="1">
        <f t="array" ref="BN41">SUMPRODUCT((Table8[F])*(Table8[Adjusted Total]/Table8[BER Total])*(Table8[Archetype]=BN33)*(Table8[County]=BN32))</f>
        <v>25.518049460303505</v>
      </c>
      <c r="BO41" s="312" cm="1">
        <f t="array" ref="BO41">SUMPRODUCT((Table8[F])*(Table8[Adjusted Total]/Table8[BER Total])*(Table8[Archetype]=BO33)*(Table8[County]=BO32))</f>
        <v>219.0223450048185</v>
      </c>
      <c r="BP41" s="372" cm="1">
        <f t="array" ref="BP41">SUMPRODUCT((Table8[F])*(Table8[Adjusted Total]/Table8[BER Total])*(Table8[Archetype]=BP33)*(Table8[County]=BP32))</f>
        <v>593.39068040532868</v>
      </c>
      <c r="BQ41" s="1024" cm="1">
        <f t="array" ref="BQ41">SUMPRODUCT((Table8[F])*(Table8[Adjusted Total]/Table8[BER Total])*(Table8[Archetype]=BQ33)*(Table8[County]=BQ32))</f>
        <v>119.79801895322551</v>
      </c>
      <c r="BR41" s="312" cm="1">
        <f t="array" ref="BR41">SUMPRODUCT((Table8[F])*(Table8[Adjusted Total]/Table8[BER Total])*(Table8[Archetype]=BR33)*(Table8[County]=BR32))</f>
        <v>639.00308699600669</v>
      </c>
      <c r="BS41" s="372" cm="1">
        <f t="array" ref="BS41">SUMPRODUCT((Table8[F])*(Table8[Adjusted Total]/Table8[BER Total])*(Table8[Archetype]=BS33)*(Table8[County]=BS32))</f>
        <v>2072.5881249878967</v>
      </c>
      <c r="BT41" s="1024" cm="1">
        <f t="array" ref="BT41">SUMPRODUCT((Table8[F])*(Table8[Adjusted Total]/Table8[BER Total])*(Table8[Archetype]=BT33)*(Table8[County]=BT32))</f>
        <v>33.270459332903577</v>
      </c>
      <c r="BU41" s="312" cm="1">
        <f t="array" ref="BU41">SUMPRODUCT((Table8[F])*(Table8[Adjusted Total]/Table8[BER Total])*(Table8[Archetype]=BU33)*(Table8[County]=BU32))</f>
        <v>344.76674695943206</v>
      </c>
      <c r="BV41" s="372" cm="1">
        <f t="array" ref="BV41">SUMPRODUCT((Table8[F])*(Table8[Adjusted Total]/Table8[BER Total])*(Table8[Archetype]=BV33)*(Table8[County]=BV32))</f>
        <v>1165.7156797268954</v>
      </c>
      <c r="BW41" s="1024" cm="1">
        <f t="array" ref="BW41">SUMPRODUCT((Table8[F])*(Table8[Adjusted Total]/Table8[BER Total])*(Table8[Archetype]=BW33)*(Table8[County]=BW32))</f>
        <v>64.961020640404271</v>
      </c>
      <c r="BX41" s="312" cm="1">
        <f t="array" ref="BX41">SUMPRODUCT((Table8[F])*(Table8[Adjusted Total]/Table8[BER Total])*(Table8[Archetype]=BX33)*(Table8[County]=BX32))</f>
        <v>478.00981992356589</v>
      </c>
      <c r="BY41" s="372" cm="1">
        <f t="array" ref="BY41">SUMPRODUCT((Table8[F])*(Table8[Adjusted Total]/Table8[BER Total])*(Table8[Archetype]=BY33)*(Table8[County]=BY32))</f>
        <v>1019.6808316344026</v>
      </c>
      <c r="BZ41" s="1024" cm="1">
        <f t="array" ref="BZ41">SUMPRODUCT((Table8[F])*(Table8[Adjusted Total]/Table8[BER Total])*(Table8[Archetype]=BZ33)*(Table8[County]=BZ32))</f>
        <v>70.470499829528293</v>
      </c>
      <c r="CA41" s="312" cm="1">
        <f t="array" ref="CA41">SUMPRODUCT((Table8[F])*(Table8[Adjusted Total]/Table8[BER Total])*(Table8[Archetype]=CA33)*(Table8[County]=CA32))</f>
        <v>307.47985578397703</v>
      </c>
      <c r="CB41" s="372" cm="1">
        <f t="array" ref="CB41">SUMPRODUCT((Table8[F])*(Table8[Adjusted Total]/Table8[BER Total])*(Table8[Archetype]=CB33)*(Table8[County]=CB32))</f>
        <v>923.15353079361739</v>
      </c>
      <c r="CC41" s="1024" cm="1">
        <f t="array" ref="CC41">SUMPRODUCT((Table8[F])*(Table8[Adjusted Total]/Table8[BER Total])*(Table8[Archetype]=CC33)*(Table8[County]=CC32))</f>
        <v>113.08091127388045</v>
      </c>
      <c r="CD41" s="312" cm="1">
        <f t="array" ref="CD41">SUMPRODUCT((Table8[F])*(Table8[Adjusted Total]/Table8[BER Total])*(Table8[Archetype]=CD33)*(Table8[County]=CD32))</f>
        <v>706.42316442867002</v>
      </c>
      <c r="CE41" s="372" cm="1">
        <f t="array" ref="CE41">SUMPRODUCT((Table8[F])*(Table8[Adjusted Total]/Table8[BER Total])*(Table8[Archetype]=CE33)*(Table8[County]=CE32))</f>
        <v>2156.1664833839036</v>
      </c>
      <c r="CF41" s="1024" cm="1">
        <f t="array" ref="CF41">SUMPRODUCT((Table8[F])*(Table8[Adjusted Total]/Table8[BER Total])*(Table8[Archetype]=CF33)*(Table8[County]=CF32))</f>
        <v>64.911379459214757</v>
      </c>
      <c r="CG41" s="312" cm="1">
        <f t="array" ref="CG41">SUMPRODUCT((Table8[F])*(Table8[Adjusted Total]/Table8[BER Total])*(Table8[Archetype]=CG33)*(Table8[County]=CG32))</f>
        <v>294.82728507184595</v>
      </c>
      <c r="CH41" s="372" cm="1">
        <f t="array" ref="CH41">SUMPRODUCT((Table8[F])*(Table8[Adjusted Total]/Table8[BER Total])*(Table8[Archetype]=CH33)*(Table8[County]=CH32))</f>
        <v>710.63643640755731</v>
      </c>
    </row>
    <row r="42" spans="2:86" ht="15.75" thickBot="1">
      <c r="C42" s="261"/>
      <c r="H42" s="1012" t="s">
        <v>64</v>
      </c>
      <c r="I42" s="1026" cm="1">
        <f t="array" ref="I42">SUMPRODUCT((Table8[G])*(Table8[Adjusted Total]/Table8[BER Total])*(Table8[Archetype]=I33)*(Table8[County]=I32))</f>
        <v>78.215997413596682</v>
      </c>
      <c r="J42" s="376" cm="1">
        <f t="array" ref="J42">SUMPRODUCT((Table8[G])*(Table8[Adjusted Total]/Table8[BER Total])*(Table8[Archetype]=J33)*(Table8[County]=J32))</f>
        <v>340.32595717075412</v>
      </c>
      <c r="K42" s="377" cm="1">
        <f t="array" ref="K42">SUMPRODUCT((Table8[G])*(Table8[Adjusted Total]/Table8[BER Total])*(Table8[Archetype]=K33)*(Table8[County]=K32))</f>
        <v>1091.6328982020818</v>
      </c>
      <c r="L42" s="1026" cm="1">
        <f t="array" ref="L42">SUMPRODUCT((Table8[G])*(Table8[Adjusted Total]/Table8[BER Total])*(Table8[Archetype]=L33)*(Table8[County]=L32))</f>
        <v>3920.9529144305266</v>
      </c>
      <c r="M42" s="376" cm="1">
        <f t="array" ref="M42">SUMPRODUCT((Table8[G])*(Table8[Adjusted Total]/Table8[BER Total])*(Table8[Archetype]=M33)*(Table8[County]=M32))</f>
        <v>14876.02952344032</v>
      </c>
      <c r="N42" s="377" cm="1">
        <f t="array" ref="N42">SUMPRODUCT((Table8[G])*(Table8[Adjusted Total]/Table8[BER Total])*(Table8[Archetype]=N33)*(Table8[County]=N32))</f>
        <v>3590.952624460363</v>
      </c>
      <c r="O42" s="1026" cm="1">
        <f t="array" ref="O42">SUMPRODUCT((Table8[G])*(Table8[Adjusted Total]/Table8[BER Total])*(Table8[Archetype]=O33)*(Table8[County]=O32))</f>
        <v>254.99553817517318</v>
      </c>
      <c r="P42" s="376" cm="1">
        <f t="array" ref="P42">SUMPRODUCT((Table8[G])*(Table8[Adjusted Total]/Table8[BER Total])*(Table8[Archetype]=P33)*(Table8[County]=P32))</f>
        <v>953.88219701593891</v>
      </c>
      <c r="Q42" s="377" cm="1">
        <f t="array" ref="Q42">SUMPRODUCT((Table8[G])*(Table8[Adjusted Total]/Table8[BER Total])*(Table8[Archetype]=Q33)*(Table8[County]=Q32))</f>
        <v>1752.4012374383487</v>
      </c>
      <c r="R42" s="1026" cm="1">
        <f t="array" ref="R42">SUMPRODUCT((Table8[G])*(Table8[Adjusted Total]/Table8[BER Total])*(Table8[Archetype]=R33)*(Table8[County]=R32))</f>
        <v>111.01807144886514</v>
      </c>
      <c r="S42" s="376" cm="1">
        <f t="array" ref="S42">SUMPRODUCT((Table8[G])*(Table8[Adjusted Total]/Table8[BER Total])*(Table8[Archetype]=S33)*(Table8[County]=S32))</f>
        <v>665.47923954144892</v>
      </c>
      <c r="T42" s="377" cm="1">
        <f t="array" ref="T42">SUMPRODUCT((Table8[G])*(Table8[Adjusted Total]/Table8[BER Total])*(Table8[Archetype]=T33)*(Table8[County]=T32))</f>
        <v>2156.4187215841721</v>
      </c>
      <c r="U42" s="1026" cm="1">
        <f t="array" ref="U42">SUMPRODUCT((Table8[G])*(Table8[Adjusted Total]/Table8[BER Total])*(Table8[Archetype]=U33)*(Table8[County]=U32))</f>
        <v>80.140699576066012</v>
      </c>
      <c r="V42" s="376" cm="1">
        <f t="array" ref="V42">SUMPRODUCT((Table8[G])*(Table8[Adjusted Total]/Table8[BER Total])*(Table8[Archetype]=V33)*(Table8[County]=V32))</f>
        <v>739.25140196721259</v>
      </c>
      <c r="W42" s="377" cm="1">
        <f t="array" ref="W42">SUMPRODUCT((Table8[G])*(Table8[Adjusted Total]/Table8[BER Total])*(Table8[Archetype]=W33)*(Table8[County]=W32))</f>
        <v>1636.7796376643894</v>
      </c>
      <c r="X42" s="1026" cm="1">
        <f t="array" ref="X42">SUMPRODUCT((Table8[G])*(Table8[Adjusted Total]/Table8[BER Total])*(Table8[Archetype]=X33)*(Table8[County]=X32))</f>
        <v>40.633729529859139</v>
      </c>
      <c r="Y42" s="376" cm="1">
        <f t="array" ref="Y42">SUMPRODUCT((Table8[G])*(Table8[Adjusted Total]/Table8[BER Total])*(Table8[Archetype]=Y33)*(Table8[County]=Y32))</f>
        <v>212.47355171243336</v>
      </c>
      <c r="Z42" s="377" cm="1">
        <f t="array" ref="Z42">SUMPRODUCT((Table8[G])*(Table8[Adjusted Total]/Table8[BER Total])*(Table8[Archetype]=Z33)*(Table8[County]=Z32))</f>
        <v>1191.1002222627314</v>
      </c>
      <c r="AA42" s="1026" cm="1">
        <f t="array" ref="AA42">SUMPRODUCT((Table8[G])*(Table8[Adjusted Total]/Table8[BER Total])*(Table8[Archetype]=AA33)*(Table8[County]=AA32))</f>
        <v>129.7819424718621</v>
      </c>
      <c r="AB42" s="376" cm="1">
        <f t="array" ref="AB42">SUMPRODUCT((Table8[G])*(Table8[Adjusted Total]/Table8[BER Total])*(Table8[Archetype]=AB33)*(Table8[County]=AB32))</f>
        <v>1140.0405442373233</v>
      </c>
      <c r="AC42" s="377" cm="1">
        <f t="array" ref="AC42">SUMPRODUCT((Table8[G])*(Table8[Adjusted Total]/Table8[BER Total])*(Table8[Archetype]=AC33)*(Table8[County]=AC32))</f>
        <v>1364.3830208486397</v>
      </c>
      <c r="AD42" s="1026" cm="1">
        <f t="array" ref="AD42">SUMPRODUCT((Table8[G])*(Table8[Adjusted Total]/Table8[BER Total])*(Table8[Archetype]=AD33)*(Table8[County]=AD32))</f>
        <v>132.92341563290847</v>
      </c>
      <c r="AE42" s="376" cm="1">
        <f t="array" ref="AE42">SUMPRODUCT((Table8[G])*(Table8[Adjusted Total]/Table8[BER Total])*(Table8[Archetype]=AE33)*(Table8[County]=AE32))</f>
        <v>547.65126404641205</v>
      </c>
      <c r="AF42" s="377" cm="1">
        <f t="array" ref="AF42">SUMPRODUCT((Table8[G])*(Table8[Adjusted Total]/Table8[BER Total])*(Table8[Archetype]=AF33)*(Table8[County]=AF32))</f>
        <v>2480.7382486830043</v>
      </c>
      <c r="AG42" s="1026" cm="1">
        <f t="array" ref="AG42">SUMPRODUCT((Table8[G])*(Table8[Adjusted Total]/Table8[BER Total])*(Table8[Archetype]=AG33)*(Table8[County]=AG32))</f>
        <v>94.623637174482425</v>
      </c>
      <c r="AH42" s="376" cm="1">
        <f t="array" ref="AH42">SUMPRODUCT((Table8[G])*(Table8[Adjusted Total]/Table8[BER Total])*(Table8[Archetype]=AH33)*(Table8[County]=AH32))</f>
        <v>959.05533147295398</v>
      </c>
      <c r="AI42" s="377" cm="1">
        <f t="array" ref="AI42">SUMPRODUCT((Table8[G])*(Table8[Adjusted Total]/Table8[BER Total])*(Table8[Archetype]=AI33)*(Table8[County]=AI32))</f>
        <v>1753.4229172840387</v>
      </c>
      <c r="AJ42" s="1026" cm="1">
        <f t="array" ref="AJ42">SUMPRODUCT((Table8[G])*(Table8[Adjusted Total]/Table8[BER Total])*(Table8[Archetype]=AJ33)*(Table8[County]=AJ32))</f>
        <v>119.59595392861958</v>
      </c>
      <c r="AK42" s="376" cm="1">
        <f t="array" ref="AK42">SUMPRODUCT((Table8[G])*(Table8[Adjusted Total]/Table8[BER Total])*(Table8[Archetype]=AK33)*(Table8[County]=AK32))</f>
        <v>888.07003222751246</v>
      </c>
      <c r="AL42" s="377" cm="1">
        <f t="array" ref="AL42">SUMPRODUCT((Table8[G])*(Table8[Adjusted Total]/Table8[BER Total])*(Table8[Archetype]=AL33)*(Table8[County]=AL32))</f>
        <v>2043.4133909745758</v>
      </c>
      <c r="AM42" s="1026" cm="1">
        <f t="array" ref="AM42">SUMPRODUCT((Table8[G])*(Table8[Adjusted Total]/Table8[BER Total])*(Table8[Archetype]=AM33)*(Table8[County]=AM32))</f>
        <v>191.88721533635132</v>
      </c>
      <c r="AN42" s="376" cm="1">
        <f t="array" ref="AN42">SUMPRODUCT((Table8[G])*(Table8[Adjusted Total]/Table8[BER Total])*(Table8[Archetype]=AN33)*(Table8[County]=AN32))</f>
        <v>1068.2911458454212</v>
      </c>
      <c r="AO42" s="377" cm="1">
        <f t="array" ref="AO42">SUMPRODUCT((Table8[G])*(Table8[Adjusted Total]/Table8[BER Total])*(Table8[Archetype]=AO33)*(Table8[County]=AO32))</f>
        <v>2371.5180493039575</v>
      </c>
      <c r="AP42" s="1026" cm="1">
        <f t="array" ref="AP42">SUMPRODUCT((Table8[G])*(Table8[Adjusted Total]/Table8[BER Total])*(Table8[Archetype]=AP33)*(Table8[County]=AP32))</f>
        <v>261.36704932579357</v>
      </c>
      <c r="AQ42" s="376" cm="1">
        <f t="array" ref="AQ42">SUMPRODUCT((Table8[G])*(Table8[Adjusted Total]/Table8[BER Total])*(Table8[Archetype]=AQ33)*(Table8[County]=AQ32))</f>
        <v>1144.6660865720321</v>
      </c>
      <c r="AR42" s="377" cm="1">
        <f t="array" ref="AR42">SUMPRODUCT((Table8[G])*(Table8[Adjusted Total]/Table8[BER Total])*(Table8[Archetype]=AR33)*(Table8[County]=AR32))</f>
        <v>1993.9170456349871</v>
      </c>
      <c r="AS42" s="1026" cm="1">
        <f t="array" ref="AS42">SUMPRODUCT((Table8[G])*(Table8[Adjusted Total]/Table8[BER Total])*(Table8[Archetype]=AS33)*(Table8[County]=AS32))</f>
        <v>186.44541286774603</v>
      </c>
      <c r="AT42" s="376" cm="1">
        <f t="array" ref="AT42">SUMPRODUCT((Table8[G])*(Table8[Adjusted Total]/Table8[BER Total])*(Table8[Archetype]=AT33)*(Table8[County]=AT32))</f>
        <v>702.62667412067731</v>
      </c>
      <c r="AU42" s="377" cm="1">
        <f t="array" ref="AU42">SUMPRODUCT((Table8[G])*(Table8[Adjusted Total]/Table8[BER Total])*(Table8[Archetype]=AU33)*(Table8[County]=AU32))</f>
        <v>2703.1221443604804</v>
      </c>
      <c r="AV42" s="1026" cm="1">
        <f t="array" ref="AV42">SUMPRODUCT((Table8[G])*(Table8[Adjusted Total]/Table8[BER Total])*(Table8[Archetype]=AV33)*(Table8[County]=AV32))</f>
        <v>1071.1467075246926</v>
      </c>
      <c r="AW42" s="376" cm="1">
        <f t="array" ref="AW42">SUMPRODUCT((Table8[G])*(Table8[Adjusted Total]/Table8[BER Total])*(Table8[Archetype]=AW33)*(Table8[County]=AW32))</f>
        <v>4491.8808301123163</v>
      </c>
      <c r="AX42" s="377" cm="1">
        <f t="array" ref="AX42">SUMPRODUCT((Table8[G])*(Table8[Adjusted Total]/Table8[BER Total])*(Table8[Archetype]=AX33)*(Table8[County]=AX32))</f>
        <v>7373.7603950457287</v>
      </c>
      <c r="AY42" s="1026" cm="1">
        <f t="array" ref="AY42">SUMPRODUCT((Table8[G])*(Table8[Adjusted Total]/Table8[BER Total])*(Table8[Archetype]=AY33)*(Table8[County]=AY32))</f>
        <v>190.47230322580251</v>
      </c>
      <c r="AZ42" s="376" cm="1">
        <f t="array" ref="AZ42">SUMPRODUCT((Table8[G])*(Table8[Adjusted Total]/Table8[BER Total])*(Table8[Archetype]=AZ33)*(Table8[County]=AZ32))</f>
        <v>880.66313255320063</v>
      </c>
      <c r="BA42" s="377" cm="1">
        <f t="array" ref="BA42">SUMPRODUCT((Table8[G])*(Table8[Adjusted Total]/Table8[BER Total])*(Table8[Archetype]=BA33)*(Table8[County]=BA32))</f>
        <v>3172.0330684287314</v>
      </c>
      <c r="BB42" s="1026" cm="1">
        <f t="array" ref="BB42">SUMPRODUCT((Table8[G])*(Table8[Adjusted Total]/Table8[BER Total])*(Table8[Archetype]=BB33)*(Table8[County]=BB32))</f>
        <v>319.55241826843866</v>
      </c>
      <c r="BC42" s="376" cm="1">
        <f t="array" ref="BC42">SUMPRODUCT((Table8[G])*(Table8[Adjusted Total]/Table8[BER Total])*(Table8[Archetype]=BC33)*(Table8[County]=BC32))</f>
        <v>1497.4610346941654</v>
      </c>
      <c r="BD42" s="377" cm="1">
        <f t="array" ref="BD42">SUMPRODUCT((Table8[G])*(Table8[Adjusted Total]/Table8[BER Total])*(Table8[Archetype]=BD33)*(Table8[County]=BD32))</f>
        <v>3306.7225412011371</v>
      </c>
      <c r="BE42" s="1026" cm="1">
        <f t="array" ref="BE42">SUMPRODUCT((Table8[G])*(Table8[Adjusted Total]/Table8[BER Total])*(Table8[Archetype]=BE33)*(Table8[County]=BE32))</f>
        <v>310.86762132924542</v>
      </c>
      <c r="BF42" s="376" cm="1">
        <f t="array" ref="BF42">SUMPRODUCT((Table8[G])*(Table8[Adjusted Total]/Table8[BER Total])*(Table8[Archetype]=BF33)*(Table8[County]=BF32))</f>
        <v>1844.5360239485519</v>
      </c>
      <c r="BG42" s="377" cm="1">
        <f t="array" ref="BG42">SUMPRODUCT((Table8[G])*(Table8[Adjusted Total]/Table8[BER Total])*(Table8[Archetype]=BG33)*(Table8[County]=BG32))</f>
        <v>3995.6726723468455</v>
      </c>
      <c r="BH42" s="1026" cm="1">
        <f t="array" ref="BH42">SUMPRODUCT((Table8[G])*(Table8[Adjusted Total]/Table8[BER Total])*(Table8[Archetype]=BH33)*(Table8[County]=BH32))</f>
        <v>176.54272623413706</v>
      </c>
      <c r="BI42" s="376" cm="1">
        <f t="array" ref="BI42">SUMPRODUCT((Table8[G])*(Table8[Adjusted Total]/Table8[BER Total])*(Table8[Archetype]=BI33)*(Table8[County]=BI32))</f>
        <v>1046.7893745109748</v>
      </c>
      <c r="BJ42" s="377" cm="1">
        <f t="array" ref="BJ42">SUMPRODUCT((Table8[G])*(Table8[Adjusted Total]/Table8[BER Total])*(Table8[Archetype]=BJ33)*(Table8[County]=BJ32))</f>
        <v>1133.0328015187267</v>
      </c>
      <c r="BK42" s="1026" cm="1">
        <f t="array" ref="BK42">SUMPRODUCT((Table8[G])*(Table8[Adjusted Total]/Table8[BER Total])*(Table8[Archetype]=BK33)*(Table8[County]=BK32))</f>
        <v>345.73225918337744</v>
      </c>
      <c r="BL42" s="376" cm="1">
        <f t="array" ref="BL42">SUMPRODUCT((Table8[G])*(Table8[Adjusted Total]/Table8[BER Total])*(Table8[Archetype]=BL33)*(Table8[County]=BL32))</f>
        <v>1242.3545765983852</v>
      </c>
      <c r="BM42" s="377" cm="1">
        <f t="array" ref="BM42">SUMPRODUCT((Table8[G])*(Table8[Adjusted Total]/Table8[BER Total])*(Table8[Archetype]=BM33)*(Table8[County]=BM32))</f>
        <v>4969.4247195721473</v>
      </c>
      <c r="BN42" s="1026" cm="1">
        <f t="array" ref="BN42">SUMPRODUCT((Table8[G])*(Table8[Adjusted Total]/Table8[BER Total])*(Table8[Archetype]=BN33)*(Table8[County]=BN32))</f>
        <v>24.497327481891364</v>
      </c>
      <c r="BO42" s="376" cm="1">
        <f t="array" ref="BO42">SUMPRODUCT((Table8[G])*(Table8[Adjusted Total]/Table8[BER Total])*(Table8[Archetype]=BO33)*(Table8[County]=BO32))</f>
        <v>207.28900509384607</v>
      </c>
      <c r="BP42" s="377" cm="1">
        <f t="array" ref="BP42">SUMPRODUCT((Table8[G])*(Table8[Adjusted Total]/Table8[BER Total])*(Table8[Archetype]=BP33)*(Table8[County]=BP32))</f>
        <v>1326.9918169401865</v>
      </c>
      <c r="BQ42" s="1026" cm="1">
        <f t="array" ref="BQ42">SUMPRODUCT((Table8[G])*(Table8[Adjusted Total]/Table8[BER Total])*(Table8[Archetype]=BQ33)*(Table8[County]=BQ32))</f>
        <v>132.19091746562813</v>
      </c>
      <c r="BR42" s="376" cm="1">
        <f t="array" ref="BR42">SUMPRODUCT((Table8[G])*(Table8[Adjusted Total]/Table8[BER Total])*(Table8[Archetype]=BR33)*(Table8[County]=BR32))</f>
        <v>908.91278786454882</v>
      </c>
      <c r="BS42" s="377" cm="1">
        <f t="array" ref="BS42">SUMPRODUCT((Table8[G])*(Table8[Adjusted Total]/Table8[BER Total])*(Table8[Archetype]=BS33)*(Table8[County]=BS32))</f>
        <v>3969.5331885361406</v>
      </c>
      <c r="BT42" s="1026" cm="1">
        <f t="array" ref="BT42">SUMPRODUCT((Table8[G])*(Table8[Adjusted Total]/Table8[BER Total])*(Table8[Archetype]=BT33)*(Table8[County]=BT32))</f>
        <v>56.303854255682978</v>
      </c>
      <c r="BU42" s="376" cm="1">
        <f t="array" ref="BU42">SUMPRODUCT((Table8[G])*(Table8[Adjusted Total]/Table8[BER Total])*(Table8[Archetype]=BU33)*(Table8[County]=BU32))</f>
        <v>333.74680527579727</v>
      </c>
      <c r="BV42" s="377" cm="1">
        <f t="array" ref="BV42">SUMPRODUCT((Table8[G])*(Table8[Adjusted Total]/Table8[BER Total])*(Table8[Archetype]=BV33)*(Table8[County]=BV32))</f>
        <v>2611.904304951991</v>
      </c>
      <c r="BW42" s="1026" cm="1">
        <f t="array" ref="BW42">SUMPRODUCT((Table8[G])*(Table8[Adjusted Total]/Table8[BER Total])*(Table8[Archetype]=BW33)*(Table8[County]=BW32))</f>
        <v>43.892581513786666</v>
      </c>
      <c r="BX42" s="376" cm="1">
        <f t="array" ref="BX42">SUMPRODUCT((Table8[G])*(Table8[Adjusted Total]/Table8[BER Total])*(Table8[Archetype]=BX33)*(Table8[County]=BX32))</f>
        <v>580.22575625942272</v>
      </c>
      <c r="BY42" s="377" cm="1">
        <f t="array" ref="BY42">SUMPRODUCT((Table8[G])*(Table8[Adjusted Total]/Table8[BER Total])*(Table8[Archetype]=BY33)*(Table8[County]=BY32))</f>
        <v>1682.4733721967643</v>
      </c>
      <c r="BZ42" s="1026" cm="1">
        <f t="array" ref="BZ42">SUMPRODUCT((Table8[G])*(Table8[Adjusted Total]/Table8[BER Total])*(Table8[Archetype]=BZ33)*(Table8[County]=BZ32))</f>
        <v>84.564599795433949</v>
      </c>
      <c r="CA42" s="376" cm="1">
        <f t="array" ref="CA42">SUMPRODUCT((Table8[G])*(Table8[Adjusted Total]/Table8[BER Total])*(Table8[Archetype]=CA33)*(Table8[County]=CA32))</f>
        <v>417.73778386813041</v>
      </c>
      <c r="CB42" s="377" cm="1">
        <f t="array" ref="CB42">SUMPRODUCT((Table8[G])*(Table8[Adjusted Total]/Table8[BER Total])*(Table8[Archetype]=CB33)*(Table8[County]=CB32))</f>
        <v>1830.016116926171</v>
      </c>
      <c r="CC42" s="1026" cm="1">
        <f t="array" ref="CC42">SUMPRODUCT((Table8[G])*(Table8[Adjusted Total]/Table8[BER Total])*(Table8[Archetype]=CC33)*(Table8[County]=CC32))</f>
        <v>137.06777124106719</v>
      </c>
      <c r="CD42" s="376" cm="1">
        <f t="array" ref="CD42">SUMPRODUCT((Table8[G])*(Table8[Adjusted Total]/Table8[BER Total])*(Table8[Archetype]=CD33)*(Table8[County]=CD32))</f>
        <v>891.79661892413662</v>
      </c>
      <c r="CE42" s="377" cm="1">
        <f t="array" ref="CE42">SUMPRODUCT((Table8[G])*(Table8[Adjusted Total]/Table8[BER Total])*(Table8[Archetype]=CE33)*(Table8[County]=CE32))</f>
        <v>3758.563432783963</v>
      </c>
      <c r="CF42" s="1026" cm="1">
        <f t="array" ref="CF42">SUMPRODUCT((Table8[G])*(Table8[Adjusted Total]/Table8[BER Total])*(Table8[Archetype]=CF33)*(Table8[County]=CF32))</f>
        <v>162.27844864803691</v>
      </c>
      <c r="CG42" s="376" cm="1">
        <f t="array" ref="CG42">SUMPRODUCT((Table8[G])*(Table8[Adjusted Total]/Table8[BER Total])*(Table8[Archetype]=CG33)*(Table8[County]=CG32))</f>
        <v>314.72360492332024</v>
      </c>
      <c r="CH42" s="377" cm="1">
        <f t="array" ref="CH42">SUMPRODUCT((Table8[G])*(Table8[Adjusted Total]/Table8[BER Total])*(Table8[Archetype]=CH33)*(Table8[County]=CH32))</f>
        <v>1194.6374687716234</v>
      </c>
    </row>
    <row r="43" spans="2:86" ht="15.75" thickBot="1">
      <c r="C43" s="261"/>
      <c r="H43" s="1013" t="s">
        <v>218</v>
      </c>
      <c r="I43" s="1019">
        <f t="shared" ref="I43:AN43" si="5">SUM(I34:I42)</f>
        <v>1265.0844329746315</v>
      </c>
      <c r="J43" s="1020">
        <f t="shared" si="5"/>
        <v>8787.3696255538798</v>
      </c>
      <c r="K43" s="1021">
        <f t="shared" si="5"/>
        <v>10676.005161415982</v>
      </c>
      <c r="L43" s="1015">
        <f t="shared" si="5"/>
        <v>123256.67820831671</v>
      </c>
      <c r="M43" s="317">
        <f t="shared" si="5"/>
        <v>297634.87494657928</v>
      </c>
      <c r="N43" s="1022">
        <f t="shared" si="5"/>
        <v>55459.174425610254</v>
      </c>
      <c r="O43" s="1015">
        <f t="shared" si="5"/>
        <v>7363.7968231969135</v>
      </c>
      <c r="P43" s="317">
        <f t="shared" si="5"/>
        <v>38144.204386107944</v>
      </c>
      <c r="Q43" s="1022">
        <f t="shared" si="5"/>
        <v>30304.517514538838</v>
      </c>
      <c r="R43" s="1015">
        <f t="shared" si="5"/>
        <v>1751.3817529766175</v>
      </c>
      <c r="S43" s="317">
        <f t="shared" si="5"/>
        <v>12508.441600918088</v>
      </c>
      <c r="T43" s="1022">
        <f t="shared" si="5"/>
        <v>20891.382011189213</v>
      </c>
      <c r="U43" s="1015">
        <f t="shared" si="5"/>
        <v>1434.9997251520253</v>
      </c>
      <c r="V43" s="317">
        <f t="shared" si="5"/>
        <v>11510.58391452228</v>
      </c>
      <c r="W43" s="1022">
        <f t="shared" si="5"/>
        <v>16295.614216511489</v>
      </c>
      <c r="X43" s="1015">
        <f t="shared" si="5"/>
        <v>691.43208570294928</v>
      </c>
      <c r="Y43" s="317">
        <f t="shared" si="5"/>
        <v>4746.2770797513549</v>
      </c>
      <c r="Z43" s="1022">
        <f t="shared" si="5"/>
        <v>9718.9087422298653</v>
      </c>
      <c r="AA43" s="1015">
        <f t="shared" si="5"/>
        <v>3038.8153054039785</v>
      </c>
      <c r="AB43" s="317">
        <f t="shared" si="5"/>
        <v>24289.540001760251</v>
      </c>
      <c r="AC43" s="1022">
        <f t="shared" si="5"/>
        <v>18866.743201020949</v>
      </c>
      <c r="AD43" s="1015">
        <f t="shared" si="5"/>
        <v>5411.4225176697691</v>
      </c>
      <c r="AE43" s="317">
        <f t="shared" si="5"/>
        <v>27103.374443441171</v>
      </c>
      <c r="AF43" s="1022">
        <f t="shared" si="5"/>
        <v>34324.09820344366</v>
      </c>
      <c r="AG43" s="1015">
        <f t="shared" si="5"/>
        <v>1175.2936766265591</v>
      </c>
      <c r="AH43" s="317">
        <f t="shared" si="5"/>
        <v>10239.258420802398</v>
      </c>
      <c r="AI43" s="1022">
        <f t="shared" si="5"/>
        <v>15966.202026112715</v>
      </c>
      <c r="AJ43" s="1015">
        <f t="shared" si="5"/>
        <v>2888.9605821519499</v>
      </c>
      <c r="AK43" s="317">
        <f t="shared" si="5"/>
        <v>12264.197780781444</v>
      </c>
      <c r="AL43" s="1022">
        <f t="shared" si="5"/>
        <v>16822.932669034672</v>
      </c>
      <c r="AM43" s="1015">
        <f t="shared" si="5"/>
        <v>2668.9797196485479</v>
      </c>
      <c r="AN43" s="317">
        <f t="shared" si="5"/>
        <v>18385.501077566361</v>
      </c>
      <c r="AO43" s="1022">
        <f t="shared" ref="AO43:BT43" si="6">SUM(AO34:AO42)</f>
        <v>33878.287885206948</v>
      </c>
      <c r="AP43" s="1015">
        <f t="shared" si="6"/>
        <v>4513.1911767694201</v>
      </c>
      <c r="AQ43" s="317">
        <f t="shared" si="6"/>
        <v>23167.339151815657</v>
      </c>
      <c r="AR43" s="1022">
        <f t="shared" si="6"/>
        <v>22529.580764463226</v>
      </c>
      <c r="AS43" s="1015">
        <f t="shared" si="6"/>
        <v>2491.2235846235253</v>
      </c>
      <c r="AT43" s="317">
        <f t="shared" si="6"/>
        <v>15118.989670799881</v>
      </c>
      <c r="AU43" s="1022">
        <f t="shared" si="6"/>
        <v>26221.499459384846</v>
      </c>
      <c r="AV43" s="1015">
        <f t="shared" si="6"/>
        <v>18164.569738528382</v>
      </c>
      <c r="AW43" s="317">
        <f t="shared" si="6"/>
        <v>91446.903647123108</v>
      </c>
      <c r="AX43" s="1022">
        <f t="shared" si="6"/>
        <v>88706.618668082694</v>
      </c>
      <c r="AY43" s="1015">
        <f t="shared" si="6"/>
        <v>2906.0721193547802</v>
      </c>
      <c r="AZ43" s="317">
        <f t="shared" si="6"/>
        <v>15686.699374231552</v>
      </c>
      <c r="BA43" s="1022">
        <f t="shared" si="6"/>
        <v>36376.580790193235</v>
      </c>
      <c r="BB43" s="1015">
        <f t="shared" si="6"/>
        <v>7461.1258002920376</v>
      </c>
      <c r="BC43" s="317">
        <f t="shared" si="6"/>
        <v>31695.949118274744</v>
      </c>
      <c r="BD43" s="1022">
        <f t="shared" si="6"/>
        <v>32750.827361563519</v>
      </c>
      <c r="BE43" s="1015">
        <f t="shared" si="6"/>
        <v>2382.2341251096568</v>
      </c>
      <c r="BF43" s="317">
        <f t="shared" si="6"/>
        <v>21954.232438086234</v>
      </c>
      <c r="BG43" s="1022">
        <f t="shared" si="6"/>
        <v>34965.040184897764</v>
      </c>
      <c r="BH43" s="1015">
        <f t="shared" si="6"/>
        <v>3199.1719442467102</v>
      </c>
      <c r="BI43" s="317">
        <f t="shared" si="6"/>
        <v>21769.226916806354</v>
      </c>
      <c r="BJ43" s="1022">
        <f t="shared" si="6"/>
        <v>19142.703253806059</v>
      </c>
      <c r="BK43" s="1015">
        <f t="shared" si="6"/>
        <v>9881.5892011882625</v>
      </c>
      <c r="BL43" s="317">
        <f t="shared" si="6"/>
        <v>27589.465054026703</v>
      </c>
      <c r="BM43" s="1022">
        <f t="shared" si="6"/>
        <v>55372.585087977008</v>
      </c>
      <c r="BN43" s="1015">
        <f t="shared" si="6"/>
        <v>543.02409251525864</v>
      </c>
      <c r="BO43" s="317">
        <f t="shared" si="6"/>
        <v>2737.7793125602311</v>
      </c>
      <c r="BP43" s="1022">
        <f t="shared" si="6"/>
        <v>9101.1608576935432</v>
      </c>
      <c r="BQ43" s="1015">
        <f t="shared" si="6"/>
        <v>2141.3166117916521</v>
      </c>
      <c r="BR43" s="317">
        <f t="shared" si="6"/>
        <v>12519.701036831018</v>
      </c>
      <c r="BS43" s="1022">
        <f t="shared" si="6"/>
        <v>34699.30894292317</v>
      </c>
      <c r="BT43" s="1015">
        <f t="shared" si="6"/>
        <v>676.45175529921289</v>
      </c>
      <c r="BU43" s="317">
        <f t="shared" ref="BU43:CH43" si="7">SUM(BU34:BU42)</f>
        <v>5372.2948402948405</v>
      </c>
      <c r="BV43" s="1022">
        <f t="shared" si="7"/>
        <v>18080.993461874819</v>
      </c>
      <c r="BW43" s="1015">
        <f t="shared" si="7"/>
        <v>1676.0939551367242</v>
      </c>
      <c r="BX43" s="317">
        <f t="shared" si="7"/>
        <v>8889.5641738149861</v>
      </c>
      <c r="BY43" s="1022">
        <f t="shared" si="7"/>
        <v>14494.215013491199</v>
      </c>
      <c r="BZ43" s="1015">
        <f t="shared" si="7"/>
        <v>1271.052567009926</v>
      </c>
      <c r="CA43" s="317">
        <f t="shared" si="7"/>
        <v>7706.8792520168045</v>
      </c>
      <c r="CB43" s="1022">
        <f t="shared" si="7"/>
        <v>18119.875348525962</v>
      </c>
      <c r="CC43" s="1015">
        <f t="shared" si="7"/>
        <v>2392.9923596273825</v>
      </c>
      <c r="CD43" s="317">
        <f t="shared" si="7"/>
        <v>15881.582138278784</v>
      </c>
      <c r="CE43" s="1022">
        <f t="shared" si="7"/>
        <v>40738.467908725754</v>
      </c>
      <c r="CF43" s="1015">
        <f t="shared" si="7"/>
        <v>1027.5356632394301</v>
      </c>
      <c r="CG43" s="317">
        <f t="shared" si="7"/>
        <v>6619.1242565355706</v>
      </c>
      <c r="CH43" s="1022">
        <f t="shared" si="7"/>
        <v>14155.109041449583</v>
      </c>
    </row>
    <row r="44" spans="2:86" ht="15">
      <c r="C44" s="261"/>
    </row>
    <row r="45" spans="2:86" ht="15">
      <c r="K45" s="351" t="s">
        <v>571</v>
      </c>
    </row>
    <row r="46" spans="2:86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86" ht="13.5" thickBot="1">
      <c r="C47" s="122"/>
      <c r="D47" s="122"/>
      <c r="E47" s="122"/>
    </row>
    <row r="48" spans="2:86" ht="15.75" thickBot="1">
      <c r="B48" s="1132" t="s">
        <v>288</v>
      </c>
      <c r="C48" s="1133"/>
      <c r="D48" s="1133"/>
      <c r="E48" s="1133"/>
      <c r="F48" s="1133"/>
      <c r="G48" s="1133"/>
      <c r="H48" s="1133"/>
      <c r="I48" s="1133"/>
      <c r="J48" s="1133"/>
      <c r="K48" s="1133"/>
      <c r="L48" s="1134"/>
      <c r="M48" s="1141" t="s">
        <v>289</v>
      </c>
      <c r="N48" s="1142"/>
      <c r="O48" s="1143"/>
    </row>
    <row r="49" spans="1:44" ht="13.5" thickBot="1">
      <c r="A49" s="123" t="s">
        <v>290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291</v>
      </c>
      <c r="M49" s="196" t="s">
        <v>292</v>
      </c>
      <c r="N49" s="192" t="s">
        <v>293</v>
      </c>
      <c r="O49" s="192" t="s">
        <v>294</v>
      </c>
      <c r="AM49" s="58" t="s">
        <v>955</v>
      </c>
    </row>
    <row r="50" spans="1:44" ht="21.75" thickBot="1">
      <c r="A50" s="124" t="s">
        <v>296</v>
      </c>
      <c r="B50" s="124" t="s">
        <v>297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>
        <f>VLOOKUP(A50,Table2[],MATCH(B50,Table2[#Headers],0), 0 )</f>
        <v>1239</v>
      </c>
      <c r="N50" s="170">
        <f>VLOOKUP(A50,Table2[], 8, 0 )+SUM(Table8[[#This Row],[Residence Total]]/Table8[[#This Row],[BER Total]])</f>
        <v>1.3256948714168928</v>
      </c>
      <c r="O50" s="171">
        <f>L50*N50</f>
        <v>1258.0844329746312</v>
      </c>
      <c r="R50" s="268" t="s">
        <v>295</v>
      </c>
      <c r="AM50" s="1135" t="s">
        <v>956</v>
      </c>
      <c r="AN50" s="1135"/>
      <c r="AO50" s="1135"/>
      <c r="AP50" s="1135"/>
      <c r="AQ50" s="1135"/>
      <c r="AR50" s="1135"/>
    </row>
    <row r="51" spans="1:44" ht="15" customHeight="1" thickBot="1">
      <c r="A51" s="124" t="s">
        <v>296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>
        <f>VLOOKUP(A51,Table2[],MATCH(B51,Table2[#Headers],0), 0 )</f>
        <v>8435</v>
      </c>
      <c r="N51" s="170">
        <f>VLOOKUP(A51,Table2[], 8, 0 )+SUM(Table8[[#This Row],[Residence Total]]/Table8[[#This Row],[BER Total]])</f>
        <v>1.4063056081436121</v>
      </c>
      <c r="O51" s="171">
        <f>L51*N51</f>
        <v>8557.3696255538798</v>
      </c>
      <c r="R51" s="269"/>
      <c r="S51" s="126" t="s">
        <v>298</v>
      </c>
      <c r="T51" s="127"/>
      <c r="U51" s="127"/>
      <c r="V51" s="127"/>
      <c r="W51" s="127"/>
      <c r="X51" s="127"/>
      <c r="Y51" s="127"/>
      <c r="Z51" s="128"/>
      <c r="AA51" s="129" t="s">
        <v>299</v>
      </c>
      <c r="AB51" s="130"/>
      <c r="AC51" s="130"/>
      <c r="AD51" s="130"/>
      <c r="AE51" s="130"/>
      <c r="AF51" s="131"/>
      <c r="AG51" s="96" t="s">
        <v>300</v>
      </c>
      <c r="AH51" s="97"/>
      <c r="AM51" s="1027" t="s">
        <v>958</v>
      </c>
      <c r="AN51" s="1008" t="s">
        <v>957</v>
      </c>
      <c r="AO51" s="1008" t="s">
        <v>918</v>
      </c>
      <c r="AP51" s="1008" t="s">
        <v>919</v>
      </c>
      <c r="AQ51" s="1008" t="s">
        <v>42</v>
      </c>
      <c r="AR51" s="1008" t="s">
        <v>218</v>
      </c>
    </row>
    <row r="52" spans="1:44" ht="14.25" customHeight="1" thickBot="1">
      <c r="A52" s="124" t="s">
        <v>296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69">
        <f>VLOOKUP(A52,Table2[],MATCH(B52,Table2[#Headers],0), 0 )</f>
        <v>10450</v>
      </c>
      <c r="N52" s="170">
        <f>VLOOKUP(A52,Table2[], 8, 0 )+SUM(Table8[[#This Row],[Residence Total]]/Table8[[#This Row],[BER Total]])</f>
        <v>2.4923125529727894</v>
      </c>
      <c r="O52" s="171">
        <f t="shared" ref="O52:O81" si="8">L52*N52</f>
        <v>10535.00516141598</v>
      </c>
      <c r="R52" s="270"/>
      <c r="S52" s="63" t="s">
        <v>301</v>
      </c>
      <c r="T52" s="63"/>
      <c r="U52" s="62" t="s">
        <v>302</v>
      </c>
      <c r="V52" s="62"/>
      <c r="W52" s="62"/>
      <c r="X52" s="62"/>
      <c r="Y52" s="67" t="s">
        <v>303</v>
      </c>
      <c r="Z52" s="95" t="s">
        <v>304</v>
      </c>
      <c r="AA52" s="132" t="s">
        <v>305</v>
      </c>
      <c r="AB52" s="62"/>
      <c r="AC52" s="62" t="s">
        <v>306</v>
      </c>
      <c r="AD52" s="62"/>
      <c r="AE52" s="133"/>
      <c r="AF52" s="95" t="s">
        <v>304</v>
      </c>
      <c r="AG52" s="134" t="s">
        <v>307</v>
      </c>
      <c r="AH52" s="135"/>
      <c r="AM52" s="58" t="s">
        <v>330</v>
      </c>
      <c r="AN52" s="155" t="s">
        <v>924</v>
      </c>
      <c r="AO52">
        <v>145</v>
      </c>
      <c r="AP52">
        <v>859</v>
      </c>
      <c r="AQ52">
        <v>155</v>
      </c>
      <c r="AR52">
        <f>SUM(AO52:AQ52)</f>
        <v>1159</v>
      </c>
    </row>
    <row r="53" spans="1:44" ht="15.75" thickBot="1">
      <c r="A53" s="124" t="s">
        <v>308</v>
      </c>
      <c r="B53" s="124" t="s">
        <v>297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8"/>
        <v>1236.0525670099262</v>
      </c>
      <c r="R53" s="70" t="s">
        <v>309</v>
      </c>
      <c r="S53" s="69" t="s">
        <v>310</v>
      </c>
      <c r="T53" s="64" t="s">
        <v>311</v>
      </c>
      <c r="U53" s="64" t="s">
        <v>312</v>
      </c>
      <c r="V53" s="64" t="s">
        <v>313</v>
      </c>
      <c r="W53" s="64" t="s">
        <v>314</v>
      </c>
      <c r="X53" s="64" t="s">
        <v>315</v>
      </c>
      <c r="Y53" s="73" t="s">
        <v>316</v>
      </c>
      <c r="Z53" s="68" t="s">
        <v>317</v>
      </c>
      <c r="AA53" s="65" t="s">
        <v>318</v>
      </c>
      <c r="AB53" s="64" t="s">
        <v>319</v>
      </c>
      <c r="AC53" s="64" t="s">
        <v>320</v>
      </c>
      <c r="AD53" s="64" t="s">
        <v>321</v>
      </c>
      <c r="AE53" s="74" t="s">
        <v>322</v>
      </c>
      <c r="AF53" s="75" t="s">
        <v>323</v>
      </c>
      <c r="AG53" s="78" t="s">
        <v>304</v>
      </c>
      <c r="AH53" s="98" t="s">
        <v>324</v>
      </c>
      <c r="AM53" s="58" t="s">
        <v>326</v>
      </c>
      <c r="AN53" s="156" t="s">
        <v>925</v>
      </c>
      <c r="AO53">
        <v>401</v>
      </c>
      <c r="AP53">
        <v>222</v>
      </c>
      <c r="AQ53">
        <v>16</v>
      </c>
      <c r="AR53">
        <f t="shared" ref="AR53:AR82" si="9">SUM(AO53:AQ53)</f>
        <v>639</v>
      </c>
    </row>
    <row r="54" spans="1:44">
      <c r="A54" s="124" t="s">
        <v>308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8"/>
        <v>7624.8792520168045</v>
      </c>
      <c r="R54" s="71" t="s">
        <v>296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308</v>
      </c>
      <c r="AN54" s="155" t="s">
        <v>926</v>
      </c>
      <c r="AO54">
        <v>265</v>
      </c>
      <c r="AP54">
        <v>82</v>
      </c>
      <c r="AQ54">
        <v>35</v>
      </c>
      <c r="AR54">
        <f t="shared" si="9"/>
        <v>382</v>
      </c>
    </row>
    <row r="55" spans="1:44">
      <c r="A55" s="124" t="s">
        <v>308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8"/>
        <v>17854.875348525966</v>
      </c>
      <c r="R55" s="72" t="s">
        <v>325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330</v>
      </c>
      <c r="AN55" s="156" t="s">
        <v>927</v>
      </c>
      <c r="AO55">
        <v>1305</v>
      </c>
      <c r="AP55">
        <v>1058</v>
      </c>
      <c r="AQ55">
        <v>142</v>
      </c>
      <c r="AR55">
        <f t="shared" si="9"/>
        <v>2505</v>
      </c>
    </row>
    <row r="56" spans="1:44">
      <c r="A56" s="124" t="s">
        <v>326</v>
      </c>
      <c r="B56" s="124" t="s">
        <v>297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8"/>
        <v>2475.2235846235249</v>
      </c>
      <c r="R56" s="72" t="s">
        <v>327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1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296</v>
      </c>
      <c r="AN56" s="155" t="s">
        <v>928</v>
      </c>
      <c r="AO56">
        <v>141</v>
      </c>
      <c r="AP56">
        <v>230</v>
      </c>
      <c r="AQ56">
        <v>7</v>
      </c>
      <c r="AR56">
        <f t="shared" si="9"/>
        <v>378</v>
      </c>
    </row>
    <row r="57" spans="1:44">
      <c r="A57" s="124" t="s">
        <v>326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8"/>
        <v>14896.989670799881</v>
      </c>
      <c r="R57" s="72" t="s">
        <v>328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1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338</v>
      </c>
      <c r="AN57" s="156" t="s">
        <v>929</v>
      </c>
      <c r="AO57">
        <v>173</v>
      </c>
      <c r="AP57">
        <v>1913</v>
      </c>
      <c r="AQ57">
        <v>1779</v>
      </c>
      <c r="AR57">
        <f t="shared" si="9"/>
        <v>3865</v>
      </c>
    </row>
    <row r="58" spans="1:44">
      <c r="A58" s="124" t="s">
        <v>326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8"/>
        <v>25820.499459384846</v>
      </c>
      <c r="R58" s="72" t="s">
        <v>329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1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338</v>
      </c>
      <c r="AN58" s="155" t="s">
        <v>930</v>
      </c>
      <c r="AO58">
        <v>182</v>
      </c>
      <c r="AP58">
        <v>1448</v>
      </c>
      <c r="AQ58">
        <v>1383</v>
      </c>
      <c r="AR58">
        <f t="shared" si="9"/>
        <v>3013</v>
      </c>
    </row>
    <row r="59" spans="1:44">
      <c r="A59" s="124" t="s">
        <v>330</v>
      </c>
      <c r="B59" s="124" t="s">
        <v>297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8"/>
        <v>17867.569738528382</v>
      </c>
      <c r="R59" s="72" t="s">
        <v>331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1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334</v>
      </c>
      <c r="AN59" s="156" t="s">
        <v>931</v>
      </c>
      <c r="AO59">
        <v>708</v>
      </c>
      <c r="AP59">
        <v>205</v>
      </c>
      <c r="AQ59">
        <v>32</v>
      </c>
      <c r="AR59">
        <f t="shared" si="9"/>
        <v>945</v>
      </c>
    </row>
    <row r="60" spans="1:44">
      <c r="A60" s="124" t="s">
        <v>330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8"/>
        <v>89529.903647123094</v>
      </c>
      <c r="R60" s="72" t="s">
        <v>332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1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338</v>
      </c>
      <c r="AN60" s="155" t="s">
        <v>932</v>
      </c>
      <c r="AO60">
        <v>220</v>
      </c>
      <c r="AP60">
        <v>3682</v>
      </c>
      <c r="AQ60">
        <v>612</v>
      </c>
      <c r="AR60">
        <f t="shared" si="9"/>
        <v>4514</v>
      </c>
    </row>
    <row r="61" spans="1:44">
      <c r="A61" s="124" t="s">
        <v>330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8"/>
        <v>87256.61866808268</v>
      </c>
      <c r="R61" s="72" t="s">
        <v>333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1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340</v>
      </c>
      <c r="AN61" s="156" t="s">
        <v>933</v>
      </c>
      <c r="AO61">
        <v>936</v>
      </c>
      <c r="AP61">
        <v>233</v>
      </c>
      <c r="AQ61">
        <v>66</v>
      </c>
      <c r="AR61">
        <f t="shared" si="9"/>
        <v>1235</v>
      </c>
    </row>
    <row r="62" spans="1:44">
      <c r="A62" s="124" t="s">
        <v>334</v>
      </c>
      <c r="B62" s="124" t="s">
        <v>297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8"/>
        <v>2360.9923596273825</v>
      </c>
      <c r="R62" s="72" t="s">
        <v>335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1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340</v>
      </c>
      <c r="AN62" s="155" t="s">
        <v>934</v>
      </c>
      <c r="AO62">
        <v>47</v>
      </c>
      <c r="AP62">
        <v>258</v>
      </c>
      <c r="AQ62">
        <v>49</v>
      </c>
      <c r="AR62">
        <f t="shared" si="9"/>
        <v>354</v>
      </c>
    </row>
    <row r="63" spans="1:44">
      <c r="A63" s="124" t="s">
        <v>334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8"/>
        <v>15676.582138278784</v>
      </c>
      <c r="R63" s="72" t="s">
        <v>336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1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327</v>
      </c>
      <c r="AN63" s="156" t="s">
        <v>935</v>
      </c>
      <c r="AO63">
        <v>404</v>
      </c>
      <c r="AP63">
        <v>2105</v>
      </c>
      <c r="AQ63">
        <v>58</v>
      </c>
      <c r="AR63">
        <f t="shared" si="9"/>
        <v>2567</v>
      </c>
    </row>
    <row r="64" spans="1:44">
      <c r="A64" s="124" t="s">
        <v>334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8"/>
        <v>40030.467908725754</v>
      </c>
      <c r="R64" s="72" t="s">
        <v>337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1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328</v>
      </c>
      <c r="AN64" s="155" t="s">
        <v>936</v>
      </c>
      <c r="AO64">
        <v>374</v>
      </c>
      <c r="AP64">
        <v>92</v>
      </c>
      <c r="AQ64">
        <v>48</v>
      </c>
      <c r="AR64">
        <f t="shared" si="9"/>
        <v>514</v>
      </c>
    </row>
    <row r="65" spans="1:44">
      <c r="A65" s="124" t="s">
        <v>338</v>
      </c>
      <c r="B65" s="124" t="s">
        <v>297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8"/>
        <v>123256.67820831671</v>
      </c>
      <c r="R65" s="72" t="s">
        <v>339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1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341</v>
      </c>
      <c r="AN65" s="156" t="s">
        <v>937</v>
      </c>
      <c r="AO65">
        <v>522</v>
      </c>
      <c r="AP65">
        <v>269</v>
      </c>
      <c r="AQ65">
        <v>54</v>
      </c>
      <c r="AR65">
        <f t="shared" si="9"/>
        <v>845</v>
      </c>
    </row>
    <row r="66" spans="1:44">
      <c r="A66" s="124" t="s">
        <v>338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8"/>
        <v>297634.87494657934</v>
      </c>
      <c r="R66" s="72" t="s">
        <v>326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1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331</v>
      </c>
      <c r="AN66" s="155" t="s">
        <v>938</v>
      </c>
      <c r="AO66">
        <v>118</v>
      </c>
      <c r="AP66">
        <v>37</v>
      </c>
      <c r="AQ66">
        <v>15</v>
      </c>
      <c r="AR66">
        <f t="shared" si="9"/>
        <v>170</v>
      </c>
    </row>
    <row r="67" spans="1:44">
      <c r="A67" s="124" t="s">
        <v>338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8"/>
        <v>55459.174425610254</v>
      </c>
      <c r="R67" s="72" t="s">
        <v>330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1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332</v>
      </c>
      <c r="AN67" s="156" t="s">
        <v>939</v>
      </c>
      <c r="AO67">
        <v>279</v>
      </c>
      <c r="AP67">
        <v>746</v>
      </c>
      <c r="AQ67">
        <v>47</v>
      </c>
      <c r="AR67">
        <f t="shared" si="9"/>
        <v>1072</v>
      </c>
    </row>
    <row r="68" spans="1:44">
      <c r="A68" s="124" t="s">
        <v>340</v>
      </c>
      <c r="B68" s="124" t="s">
        <v>297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8"/>
        <v>9766.5892011882606</v>
      </c>
      <c r="R68" s="72" t="s">
        <v>341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1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342</v>
      </c>
      <c r="AN68" s="155" t="s">
        <v>940</v>
      </c>
      <c r="AO68">
        <v>416</v>
      </c>
      <c r="AP68">
        <v>675</v>
      </c>
      <c r="AQ68">
        <v>46</v>
      </c>
      <c r="AR68">
        <f t="shared" si="9"/>
        <v>1137</v>
      </c>
    </row>
    <row r="69" spans="1:44">
      <c r="A69" s="124" t="s">
        <v>340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8"/>
        <v>27098.465054026707</v>
      </c>
      <c r="R69" s="72" t="s">
        <v>342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1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959</v>
      </c>
      <c r="AN69" s="156" t="s">
        <v>941</v>
      </c>
      <c r="AO69">
        <v>106</v>
      </c>
      <c r="AP69">
        <v>51</v>
      </c>
      <c r="AQ69">
        <v>15</v>
      </c>
      <c r="AR69">
        <f t="shared" si="9"/>
        <v>172</v>
      </c>
    </row>
    <row r="70" spans="1:44">
      <c r="A70" s="124" t="s">
        <v>340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8"/>
        <v>54389.585087977008</v>
      </c>
      <c r="R70" s="72" t="s">
        <v>343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1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329</v>
      </c>
      <c r="AN70" s="155" t="s">
        <v>942</v>
      </c>
      <c r="AO70">
        <v>245</v>
      </c>
      <c r="AP70">
        <v>139</v>
      </c>
      <c r="AQ70">
        <v>17</v>
      </c>
      <c r="AR70">
        <f t="shared" si="9"/>
        <v>401</v>
      </c>
    </row>
    <row r="71" spans="1:44">
      <c r="A71" s="124" t="s">
        <v>341</v>
      </c>
      <c r="B71" s="124" t="s">
        <v>297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8"/>
        <v>2852.0721193547797</v>
      </c>
      <c r="R71" s="72" t="s">
        <v>344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1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333</v>
      </c>
      <c r="AN71" s="156" t="s">
        <v>943</v>
      </c>
      <c r="AO71">
        <v>640</v>
      </c>
      <c r="AP71">
        <v>2276</v>
      </c>
      <c r="AQ71">
        <v>70</v>
      </c>
      <c r="AR71">
        <f t="shared" si="9"/>
        <v>2986</v>
      </c>
    </row>
    <row r="72" spans="1:44" ht="15">
      <c r="A72" s="124" t="s">
        <v>341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8"/>
        <v>15417.699374231554</v>
      </c>
      <c r="R72" s="72" t="s">
        <v>340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1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349</v>
      </c>
      <c r="AN72" s="155" t="s">
        <v>944</v>
      </c>
      <c r="AO72">
        <v>242</v>
      </c>
      <c r="AP72">
        <v>66</v>
      </c>
      <c r="AQ72">
        <v>16</v>
      </c>
      <c r="AR72">
        <f t="shared" si="9"/>
        <v>324</v>
      </c>
    </row>
    <row r="73" spans="1:44" ht="15">
      <c r="A73" s="124" t="s">
        <v>341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8"/>
        <v>35854.580790193235</v>
      </c>
      <c r="R73" s="72" t="s">
        <v>345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1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346</v>
      </c>
      <c r="AN73" s="156" t="s">
        <v>945</v>
      </c>
      <c r="AO73">
        <v>557</v>
      </c>
      <c r="AP73">
        <v>138</v>
      </c>
      <c r="AQ73">
        <v>18</v>
      </c>
      <c r="AR73">
        <f t="shared" si="9"/>
        <v>713</v>
      </c>
    </row>
    <row r="74" spans="1:44" ht="15">
      <c r="A74" s="124" t="s">
        <v>327</v>
      </c>
      <c r="B74" s="124" t="s">
        <v>297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8"/>
        <v>7305.7968231969135</v>
      </c>
      <c r="R74" s="72" t="s">
        <v>346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1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335</v>
      </c>
      <c r="AN74" s="155" t="s">
        <v>946</v>
      </c>
      <c r="AO74">
        <v>192</v>
      </c>
      <c r="AP74">
        <v>85</v>
      </c>
      <c r="AQ74">
        <v>13</v>
      </c>
      <c r="AR74">
        <f t="shared" si="9"/>
        <v>290</v>
      </c>
    </row>
    <row r="75" spans="1:44" ht="15">
      <c r="A75" s="124" t="s">
        <v>327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8"/>
        <v>36039.204386107944</v>
      </c>
      <c r="R75" s="72" t="s">
        <v>347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1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347</v>
      </c>
      <c r="AN75" s="156" t="s">
        <v>947</v>
      </c>
      <c r="AO75">
        <v>195</v>
      </c>
      <c r="AP75">
        <v>78</v>
      </c>
      <c r="AQ75">
        <v>20</v>
      </c>
      <c r="AR75">
        <f t="shared" si="9"/>
        <v>293</v>
      </c>
    </row>
    <row r="76" spans="1:44" ht="15">
      <c r="A76" s="124" t="s">
        <v>327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8"/>
        <v>29900.517514538835</v>
      </c>
      <c r="R76" s="72" t="s">
        <v>348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1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338</v>
      </c>
      <c r="AN76" s="155" t="s">
        <v>948</v>
      </c>
      <c r="AO76">
        <v>125</v>
      </c>
      <c r="AP76">
        <v>2732</v>
      </c>
      <c r="AQ76">
        <v>101</v>
      </c>
      <c r="AR76">
        <f t="shared" si="9"/>
        <v>2958</v>
      </c>
    </row>
    <row r="77" spans="1:44">
      <c r="A77" s="124" t="s">
        <v>328</v>
      </c>
      <c r="B77" s="124" t="s">
        <v>297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8"/>
        <v>1703.3817529766175</v>
      </c>
      <c r="R77" s="72" t="s">
        <v>308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1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348</v>
      </c>
      <c r="AN77" s="156" t="s">
        <v>949</v>
      </c>
      <c r="AO77">
        <v>216</v>
      </c>
      <c r="AP77">
        <v>102</v>
      </c>
      <c r="AQ77">
        <v>31</v>
      </c>
      <c r="AR77">
        <f t="shared" si="9"/>
        <v>349</v>
      </c>
    </row>
    <row r="78" spans="1:44">
      <c r="A78" s="124" t="s">
        <v>328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8"/>
        <v>12416.441600918088</v>
      </c>
      <c r="R78" s="72" t="s">
        <v>334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1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343</v>
      </c>
      <c r="AN78" s="155" t="s">
        <v>950</v>
      </c>
      <c r="AO78">
        <v>383</v>
      </c>
      <c r="AP78">
        <v>51</v>
      </c>
      <c r="AQ78">
        <v>32</v>
      </c>
      <c r="AR78">
        <f t="shared" si="9"/>
        <v>466</v>
      </c>
    </row>
    <row r="79" spans="1:44" ht="13.5" thickBot="1">
      <c r="A79" s="124" t="s">
        <v>328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8"/>
        <v>20517.382011189213</v>
      </c>
      <c r="R79" s="101" t="s">
        <v>349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1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344</v>
      </c>
      <c r="AN79" s="156" t="s">
        <v>951</v>
      </c>
      <c r="AO79">
        <v>266</v>
      </c>
      <c r="AP79">
        <v>524</v>
      </c>
      <c r="AQ79">
        <v>67</v>
      </c>
      <c r="AR79">
        <f t="shared" si="9"/>
        <v>857</v>
      </c>
    </row>
    <row r="80" spans="1:44" ht="15.75" thickBot="1">
      <c r="A80" s="124" t="s">
        <v>329</v>
      </c>
      <c r="B80" s="124" t="s">
        <v>297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8"/>
        <v>1417.9997251520253</v>
      </c>
      <c r="R80" s="108" t="s">
        <v>304</v>
      </c>
      <c r="S80" s="109">
        <f t="shared" ref="S80:AE80" si="11">SUM(S54:S79)</f>
        <v>535675</v>
      </c>
      <c r="T80" s="110">
        <f t="shared" si="11"/>
        <v>611877</v>
      </c>
      <c r="U80" s="110">
        <f t="shared" si="11"/>
        <v>309728</v>
      </c>
      <c r="V80" s="110">
        <f t="shared" si="11"/>
        <v>143178</v>
      </c>
      <c r="W80" s="110">
        <f t="shared" si="11"/>
        <v>16765</v>
      </c>
      <c r="X80" s="110">
        <f t="shared" si="11"/>
        <v>27440</v>
      </c>
      <c r="Y80" s="111">
        <f t="shared" si="11"/>
        <v>53002</v>
      </c>
      <c r="Z80" s="112">
        <f t="shared" si="11"/>
        <v>1697665</v>
      </c>
      <c r="AA80" s="113">
        <f t="shared" si="11"/>
        <v>9788</v>
      </c>
      <c r="AB80" s="110">
        <f t="shared" si="11"/>
        <v>50732</v>
      </c>
      <c r="AC80" s="110">
        <f t="shared" si="11"/>
        <v>140120</v>
      </c>
      <c r="AD80" s="110">
        <f t="shared" si="11"/>
        <v>43192</v>
      </c>
      <c r="AE80" s="111">
        <f t="shared" si="11"/>
        <v>62148</v>
      </c>
      <c r="AF80" s="114">
        <f t="shared" si="10"/>
        <v>2003645</v>
      </c>
      <c r="AG80" s="115">
        <f>SUM(AG54:AG79)</f>
        <v>94255000000</v>
      </c>
      <c r="AH80" s="276"/>
      <c r="AM80" s="58" t="s">
        <v>336</v>
      </c>
      <c r="AN80" s="155" t="s">
        <v>952</v>
      </c>
      <c r="AO80">
        <v>271</v>
      </c>
      <c r="AP80">
        <v>78</v>
      </c>
      <c r="AQ80">
        <v>16</v>
      </c>
      <c r="AR80">
        <f t="shared" si="9"/>
        <v>365</v>
      </c>
    </row>
    <row r="81" spans="1:44" ht="13.5" thickBot="1">
      <c r="A81" s="124" t="s">
        <v>329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8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339</v>
      </c>
      <c r="AN81" s="156" t="s">
        <v>953</v>
      </c>
      <c r="AO81">
        <v>324</v>
      </c>
      <c r="AP81">
        <v>918</v>
      </c>
      <c r="AQ81">
        <v>44</v>
      </c>
      <c r="AR81">
        <f t="shared" si="9"/>
        <v>1286</v>
      </c>
    </row>
    <row r="82" spans="1:44" ht="15.75" thickBot="1">
      <c r="A82" s="124" t="s">
        <v>329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12">L82*N82</f>
        <v>16050.614216511489</v>
      </c>
      <c r="S82" s="1136" t="s">
        <v>350</v>
      </c>
      <c r="T82" s="1137"/>
      <c r="U82" s="1137"/>
      <c r="V82" s="1137"/>
      <c r="W82" s="1137"/>
      <c r="X82" s="1137"/>
      <c r="Y82" s="1137"/>
      <c r="Z82" s="1138"/>
      <c r="AB82" s="1139" t="s">
        <v>351</v>
      </c>
      <c r="AC82" s="1139"/>
      <c r="AD82" s="1139"/>
      <c r="AE82" s="1139"/>
      <c r="AF82" s="1140"/>
      <c r="AG82" s="93" t="s">
        <v>304</v>
      </c>
      <c r="AM82" s="58" t="s">
        <v>337</v>
      </c>
      <c r="AN82" s="155" t="s">
        <v>954</v>
      </c>
      <c r="AO82">
        <v>579</v>
      </c>
      <c r="AP82">
        <v>361</v>
      </c>
      <c r="AQ82">
        <v>17</v>
      </c>
      <c r="AR82">
        <f t="shared" si="9"/>
        <v>957</v>
      </c>
    </row>
    <row r="83" spans="1:44" ht="15.75" thickBot="1">
      <c r="A83" s="124" t="s">
        <v>345</v>
      </c>
      <c r="B83" s="124" t="s">
        <v>297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1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303</v>
      </c>
      <c r="AB83" s="1139"/>
      <c r="AC83" s="1139"/>
      <c r="AD83" s="1139"/>
      <c r="AE83" s="1139"/>
      <c r="AF83" s="1140"/>
      <c r="AG83" s="94"/>
    </row>
    <row r="84" spans="1:44" ht="15">
      <c r="A84" s="124" t="s">
        <v>345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12"/>
        <v>2737.7793125602311</v>
      </c>
      <c r="R84" s="154" t="s">
        <v>309</v>
      </c>
      <c r="S84" s="159" t="s">
        <v>46</v>
      </c>
      <c r="T84" s="139" t="s">
        <v>352</v>
      </c>
      <c r="U84" s="161" t="s">
        <v>353</v>
      </c>
      <c r="V84" s="139" t="s">
        <v>354</v>
      </c>
      <c r="W84" s="140" t="s">
        <v>355</v>
      </c>
      <c r="X84" s="140" t="s">
        <v>356</v>
      </c>
      <c r="Y84" s="161" t="s">
        <v>357</v>
      </c>
      <c r="Z84" s="159" t="s">
        <v>316</v>
      </c>
      <c r="AB84" s="136" t="s">
        <v>358</v>
      </c>
      <c r="AC84" s="136" t="s">
        <v>46</v>
      </c>
      <c r="AD84" s="136" t="s">
        <v>44</v>
      </c>
      <c r="AE84" s="136" t="s">
        <v>297</v>
      </c>
      <c r="AF84" s="136" t="s">
        <v>359</v>
      </c>
      <c r="AG84" s="136" t="s">
        <v>317</v>
      </c>
      <c r="AH84" s="136" t="s">
        <v>323</v>
      </c>
      <c r="AI84" s="136" t="s">
        <v>293</v>
      </c>
    </row>
    <row r="85" spans="1:44" ht="15">
      <c r="A85" s="124" t="s">
        <v>345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12"/>
        <v>9101.1608576935432</v>
      </c>
      <c r="R85" s="155" t="s">
        <v>296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928" t="s">
        <v>296</v>
      </c>
      <c r="AC85" s="81">
        <f t="shared" ref="AC85:AC110" si="13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14">Z85/AG85*AG85</f>
        <v>413</v>
      </c>
      <c r="AG85" s="930">
        <f t="shared" ref="AG85:AG110" si="15">SUM(S85:Z85)</f>
        <v>20537</v>
      </c>
      <c r="AH85" s="167">
        <v>23274</v>
      </c>
      <c r="AI85" s="183">
        <f>Table2[[#This Row],[Not Stated]]/Table2[[#This Row],[Total Residence]]</f>
        <v>2.0110045284121341E-2</v>
      </c>
    </row>
    <row r="86" spans="1:44" ht="15">
      <c r="A86" s="124" t="s">
        <v>342</v>
      </c>
      <c r="B86" s="124" t="s">
        <v>297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12"/>
        <v>7415.1258002920376</v>
      </c>
      <c r="R86" s="156" t="s">
        <v>338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929" t="s">
        <v>338</v>
      </c>
      <c r="AC86" s="89">
        <f t="shared" si="13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14"/>
        <v>6603</v>
      </c>
      <c r="AG86" s="931">
        <f t="shared" si="15"/>
        <v>479683</v>
      </c>
      <c r="AH86" s="166">
        <v>530753</v>
      </c>
      <c r="AI86" s="184">
        <f>Table2[[#This Row],[Not Stated]]/Table2[[#This Row],[Total Residence]]</f>
        <v>1.3765340860526639E-2</v>
      </c>
    </row>
    <row r="87" spans="1:44" ht="15">
      <c r="A87" s="124" t="s">
        <v>342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12"/>
        <v>31020.949118274741</v>
      </c>
      <c r="R87" s="157" t="s">
        <v>327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929" t="s">
        <v>327</v>
      </c>
      <c r="AC87" s="89">
        <f t="shared" si="13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14"/>
        <v>665</v>
      </c>
      <c r="AG87" s="930">
        <f t="shared" si="15"/>
        <v>73596</v>
      </c>
      <c r="AH87" s="166">
        <v>80158</v>
      </c>
      <c r="AI87" s="184">
        <f>Table2[[#This Row],[Not Stated]]/Table2[[#This Row],[Total Residence]]</f>
        <v>9.0358171639763028E-3</v>
      </c>
    </row>
    <row r="88" spans="1:44" ht="15">
      <c r="A88" s="124" t="s">
        <v>342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12"/>
        <v>32334.827361563515</v>
      </c>
      <c r="R88" s="156" t="s">
        <v>328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929" t="s">
        <v>328</v>
      </c>
      <c r="AC88" s="89">
        <f t="shared" si="13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14"/>
        <v>352</v>
      </c>
      <c r="AG88" s="931">
        <f t="shared" si="15"/>
        <v>34855</v>
      </c>
      <c r="AH88" s="166">
        <v>39226</v>
      </c>
      <c r="AI88" s="184">
        <f>Table2[[#This Row],[Not Stated]]/Table2[[#This Row],[Total Residence]]</f>
        <v>1.0098981494764023E-2</v>
      </c>
    </row>
    <row r="89" spans="1:44" ht="15">
      <c r="A89" s="124" t="s">
        <v>331</v>
      </c>
      <c r="B89" s="124" t="s">
        <v>297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12"/>
        <v>676.43208570294928</v>
      </c>
      <c r="R89" s="157" t="s">
        <v>329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929" t="s">
        <v>329</v>
      </c>
      <c r="AC89" s="89">
        <f t="shared" si="13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14"/>
        <v>470.00000000000006</v>
      </c>
      <c r="AG89" s="930">
        <f t="shared" si="15"/>
        <v>29107</v>
      </c>
      <c r="AH89" s="166">
        <v>32794</v>
      </c>
      <c r="AI89" s="184">
        <f>Table2[[#This Row],[Not Stated]]/Table2[[#This Row],[Total Residence]]</f>
        <v>1.6147318514446698E-2</v>
      </c>
    </row>
    <row r="90" spans="1:44" ht="15">
      <c r="A90" s="124" t="s">
        <v>331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12"/>
        <v>4709.2770797513549</v>
      </c>
      <c r="R90" s="156" t="s">
        <v>331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929" t="s">
        <v>331</v>
      </c>
      <c r="AC90" s="89">
        <f t="shared" si="13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14"/>
        <v>252</v>
      </c>
      <c r="AG90" s="931">
        <f t="shared" si="15"/>
        <v>15122</v>
      </c>
      <c r="AH90" s="166">
        <v>18591</v>
      </c>
      <c r="AI90" s="184">
        <f>Table2[[#This Row],[Not Stated]]/Table2[[#This Row],[Total Residence]]</f>
        <v>1.6664462372702023E-2</v>
      </c>
    </row>
    <row r="91" spans="1:44" ht="15">
      <c r="A91" s="124" t="s">
        <v>331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12"/>
        <v>9600.9087422298635</v>
      </c>
      <c r="R91" s="157" t="s">
        <v>332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929" t="s">
        <v>332</v>
      </c>
      <c r="AC91" s="89">
        <f t="shared" si="13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14"/>
        <v>681</v>
      </c>
      <c r="AG91" s="930">
        <f t="shared" si="15"/>
        <v>45448</v>
      </c>
      <c r="AH91" s="166">
        <v>51399</v>
      </c>
      <c r="AI91" s="184">
        <f>Table2[[#This Row],[Not Stated]]/Table2[[#This Row],[Total Residence]]</f>
        <v>1.4984157718711495E-2</v>
      </c>
    </row>
    <row r="92" spans="1:44" ht="15">
      <c r="A92" s="124" t="s">
        <v>332</v>
      </c>
      <c r="B92" s="124" t="s">
        <v>297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12"/>
        <v>2991.8153054039785</v>
      </c>
      <c r="R92" s="156" t="s">
        <v>333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929" t="s">
        <v>333</v>
      </c>
      <c r="AC92" s="89">
        <f t="shared" si="13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14"/>
        <v>724</v>
      </c>
      <c r="AG92" s="931">
        <f t="shared" si="15"/>
        <v>64234</v>
      </c>
      <c r="AH92" s="166">
        <v>70649</v>
      </c>
      <c r="AI92" s="184">
        <f>Table2[[#This Row],[Not Stated]]/Table2[[#This Row],[Total Residence]]</f>
        <v>1.1271289348320205E-2</v>
      </c>
    </row>
    <row r="93" spans="1:44" ht="15">
      <c r="A93" s="124" t="s">
        <v>332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12"/>
        <v>23543.540001760255</v>
      </c>
      <c r="R93" s="157" t="s">
        <v>335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929" t="s">
        <v>335</v>
      </c>
      <c r="AC93" s="89">
        <f t="shared" si="13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14"/>
        <v>419</v>
      </c>
      <c r="AG93" s="930">
        <f t="shared" si="15"/>
        <v>27343</v>
      </c>
      <c r="AH93" s="166">
        <v>30740</v>
      </c>
      <c r="AI93" s="184">
        <f>Table2[[#This Row],[Not Stated]]/Table2[[#This Row],[Total Residence]]</f>
        <v>1.5323848882712212E-2</v>
      </c>
    </row>
    <row r="94" spans="1:44" ht="15">
      <c r="A94" s="124" t="s">
        <v>332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12"/>
        <v>18587.743201020949</v>
      </c>
      <c r="R94" s="156" t="s">
        <v>336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929" t="s">
        <v>336</v>
      </c>
      <c r="AC94" s="89">
        <f t="shared" si="13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14"/>
        <v>382</v>
      </c>
      <c r="AG94" s="931">
        <f t="shared" si="15"/>
        <v>31813</v>
      </c>
      <c r="AH94" s="166">
        <v>36890</v>
      </c>
      <c r="AI94" s="184">
        <f>Table2[[#This Row],[Not Stated]]/Table2[[#This Row],[Total Residence]]</f>
        <v>1.2007669820513626E-2</v>
      </c>
    </row>
    <row r="95" spans="1:44" ht="15">
      <c r="A95" s="124" t="s">
        <v>346</v>
      </c>
      <c r="B95" s="124" t="s">
        <v>297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12"/>
        <v>2123.3166117916521</v>
      </c>
      <c r="R95" s="157" t="s">
        <v>337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929" t="s">
        <v>337</v>
      </c>
      <c r="AC95" s="89">
        <f t="shared" si="13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14"/>
        <v>629</v>
      </c>
      <c r="AG95" s="930">
        <f t="shared" si="15"/>
        <v>54289</v>
      </c>
      <c r="AH95" s="166">
        <v>68206</v>
      </c>
      <c r="AI95" s="184">
        <f>Table2[[#This Row],[Not Stated]]/Table2[[#This Row],[Total Residence]]</f>
        <v>1.1586140838843965E-2</v>
      </c>
    </row>
    <row r="96" spans="1:44" ht="15">
      <c r="A96" s="124" t="s">
        <v>346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12"/>
        <v>12381.701036831018</v>
      </c>
      <c r="R96" s="156" t="s">
        <v>339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929" t="s">
        <v>339</v>
      </c>
      <c r="AC96" s="89">
        <f t="shared" si="13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14"/>
        <v>555</v>
      </c>
      <c r="AG96" s="931">
        <f t="shared" si="15"/>
        <v>49211</v>
      </c>
      <c r="AH96" s="166">
        <v>54986</v>
      </c>
      <c r="AI96" s="184">
        <f>Table2[[#This Row],[Not Stated]]/Table2[[#This Row],[Total Residence]]</f>
        <v>1.1277966308345695E-2</v>
      </c>
    </row>
    <row r="97" spans="1:35" ht="15">
      <c r="A97" s="124" t="s">
        <v>346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12"/>
        <v>34142.30894292317</v>
      </c>
      <c r="R97" s="157" t="s">
        <v>326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929" t="s">
        <v>326</v>
      </c>
      <c r="AC97" s="89">
        <f t="shared" si="13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14"/>
        <v>547</v>
      </c>
      <c r="AG97" s="930">
        <f t="shared" si="15"/>
        <v>43469</v>
      </c>
      <c r="AH97" s="166">
        <v>55779</v>
      </c>
      <c r="AI97" s="184">
        <f>Table2[[#This Row],[Not Stated]]/Table2[[#This Row],[Total Residence]]</f>
        <v>1.2583680323908993E-2</v>
      </c>
    </row>
    <row r="98" spans="1:35" ht="15">
      <c r="A98" s="124" t="s">
        <v>333</v>
      </c>
      <c r="B98" s="124" t="s">
        <v>297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12"/>
        <v>5341.4225176697701</v>
      </c>
      <c r="R98" s="156" t="s">
        <v>330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929" t="s">
        <v>330</v>
      </c>
      <c r="AC98" s="89">
        <f t="shared" si="13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14"/>
        <v>2266</v>
      </c>
      <c r="AG98" s="931">
        <f t="shared" si="15"/>
        <v>195853</v>
      </c>
      <c r="AH98" s="166">
        <v>229495</v>
      </c>
      <c r="AI98" s="184">
        <f>Table2[[#This Row],[Not Stated]]/Table2[[#This Row],[Total Residence]]</f>
        <v>1.1569901916233093E-2</v>
      </c>
    </row>
    <row r="99" spans="1:35" ht="15">
      <c r="A99" s="124" t="s">
        <v>333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12"/>
        <v>24827.374443441167</v>
      </c>
      <c r="R99" s="157" t="s">
        <v>341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929" t="s">
        <v>341</v>
      </c>
      <c r="AC99" s="89">
        <f t="shared" si="13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14"/>
        <v>720</v>
      </c>
      <c r="AG99" s="930">
        <f t="shared" si="15"/>
        <v>54493</v>
      </c>
      <c r="AH99" s="166">
        <v>74094</v>
      </c>
      <c r="AI99" s="184">
        <f>Table2[[#This Row],[Not Stated]]/Table2[[#This Row],[Total Residence]]</f>
        <v>1.3212706219147413E-2</v>
      </c>
    </row>
    <row r="100" spans="1:35" ht="15">
      <c r="A100" s="124" t="s">
        <v>333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12"/>
        <v>33684.09820344366</v>
      </c>
      <c r="R100" s="156" t="s">
        <v>342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929" t="s">
        <v>342</v>
      </c>
      <c r="AC100" s="89">
        <f t="shared" si="13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14"/>
        <v>932</v>
      </c>
      <c r="AG100" s="931">
        <f t="shared" si="15"/>
        <v>71224</v>
      </c>
      <c r="AH100" s="166">
        <v>82112</v>
      </c>
      <c r="AI100" s="184">
        <f>Table2[[#This Row],[Not Stated]]/Table2[[#This Row],[Total Residence]]</f>
        <v>1.3085476805571155E-2</v>
      </c>
    </row>
    <row r="101" spans="1:35" ht="15">
      <c r="A101" s="124" t="s">
        <v>349</v>
      </c>
      <c r="B101" s="124" t="s">
        <v>297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12"/>
        <v>1011.5356632394301</v>
      </c>
      <c r="R101" s="157" t="s">
        <v>343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929" t="s">
        <v>343</v>
      </c>
      <c r="AC101" s="89">
        <f t="shared" si="13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14"/>
        <v>814</v>
      </c>
      <c r="AG101" s="930">
        <f t="shared" si="15"/>
        <v>59276</v>
      </c>
      <c r="AH101" s="166">
        <v>69106</v>
      </c>
      <c r="AI101" s="184">
        <f>Table2[[#This Row],[Not Stated]]/Table2[[#This Row],[Total Residence]]</f>
        <v>1.3732370605304002E-2</v>
      </c>
    </row>
    <row r="102" spans="1:35" ht="15">
      <c r="A102" s="124" t="s">
        <v>349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12"/>
        <v>6553.1242565355697</v>
      </c>
      <c r="R102" s="156" t="s">
        <v>344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929" t="s">
        <v>344</v>
      </c>
      <c r="AC102" s="89">
        <f t="shared" si="13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14"/>
        <v>588</v>
      </c>
      <c r="AG102" s="931">
        <f t="shared" si="15"/>
        <v>43549</v>
      </c>
      <c r="AH102" s="166">
        <v>52491</v>
      </c>
      <c r="AI102" s="184">
        <f>Table2[[#This Row],[Not Stated]]/Table2[[#This Row],[Total Residence]]</f>
        <v>1.3502032193620979E-2</v>
      </c>
    </row>
    <row r="103" spans="1:35" ht="15">
      <c r="A103" s="124" t="s">
        <v>349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12"/>
        <v>13913.109041449583</v>
      </c>
      <c r="R103" s="157" t="s">
        <v>340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929" t="s">
        <v>340</v>
      </c>
      <c r="AC103" s="117">
        <f t="shared" si="13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14"/>
        <v>1275</v>
      </c>
      <c r="AG103" s="930">
        <f t="shared" si="15"/>
        <v>91899</v>
      </c>
      <c r="AH103" s="166">
        <v>112054</v>
      </c>
      <c r="AI103" s="184">
        <f>Table2[[#This Row],[Not Stated]]/Table2[[#This Row],[Total Residence]]</f>
        <v>1.3873926810955506E-2</v>
      </c>
    </row>
    <row r="104" spans="1:35" ht="15">
      <c r="A104" s="124" t="s">
        <v>335</v>
      </c>
      <c r="B104" s="124" t="s">
        <v>297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12"/>
        <v>1162.2936766265591</v>
      </c>
      <c r="R104" s="156" t="s">
        <v>345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929" t="s">
        <v>345</v>
      </c>
      <c r="AC104" s="117">
        <f t="shared" si="13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14"/>
        <v>141</v>
      </c>
      <c r="AG104" s="931">
        <f t="shared" si="15"/>
        <v>12452</v>
      </c>
      <c r="AH104" s="166">
        <v>18051</v>
      </c>
      <c r="AI104" s="184">
        <f>Table2[[#This Row],[Not Stated]]/Table2[[#This Row],[Total Residence]]</f>
        <v>1.1323482171538708E-2</v>
      </c>
    </row>
    <row r="105" spans="1:35" ht="15">
      <c r="A105" s="124" t="s">
        <v>335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12"/>
        <v>10154.2584208024</v>
      </c>
      <c r="R105" s="157" t="s">
        <v>346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928" t="s">
        <v>346</v>
      </c>
      <c r="AC105" s="81">
        <f t="shared" si="13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14"/>
        <v>454</v>
      </c>
      <c r="AG105" s="930">
        <f t="shared" si="15"/>
        <v>48899</v>
      </c>
      <c r="AH105" s="166">
        <v>65921</v>
      </c>
      <c r="AI105" s="184">
        <f>Table2[[#This Row],[Not Stated]]/Table2[[#This Row],[Total Residence]]</f>
        <v>9.2844434446512202E-3</v>
      </c>
    </row>
    <row r="106" spans="1:35" ht="15">
      <c r="A106" s="124" t="s">
        <v>335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12"/>
        <v>15774.202026112716</v>
      </c>
      <c r="R106" s="156" t="s">
        <v>347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929" t="s">
        <v>347</v>
      </c>
      <c r="AC106" s="89">
        <f t="shared" si="13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14"/>
        <v>302</v>
      </c>
      <c r="AG106" s="931">
        <f t="shared" si="15"/>
        <v>24013</v>
      </c>
      <c r="AH106" s="166">
        <v>31285</v>
      </c>
      <c r="AI106" s="184">
        <f>Table2[[#This Row],[Not Stated]]/Table2[[#This Row],[Total Residence]]</f>
        <v>1.2576521051097323E-2</v>
      </c>
    </row>
    <row r="107" spans="1:35" ht="15">
      <c r="A107" s="124" t="s">
        <v>347</v>
      </c>
      <c r="B107" s="124" t="s">
        <v>297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12"/>
        <v>656.45175529921289</v>
      </c>
      <c r="R107" s="157" t="s">
        <v>348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929" t="s">
        <v>348</v>
      </c>
      <c r="AC107" s="89">
        <f t="shared" si="13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14"/>
        <v>253</v>
      </c>
      <c r="AG107" s="930">
        <f t="shared" si="15"/>
        <v>24831</v>
      </c>
      <c r="AH107" s="166">
        <v>32764</v>
      </c>
      <c r="AI107" s="184">
        <f>Table2[[#This Row],[Not Stated]]/Table2[[#This Row],[Total Residence]]</f>
        <v>1.0188876807216786E-2</v>
      </c>
    </row>
    <row r="108" spans="1:35" ht="15">
      <c r="A108" s="124" t="s">
        <v>347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12"/>
        <v>5294.2948402948405</v>
      </c>
      <c r="R108" s="156" t="s">
        <v>308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929" t="s">
        <v>308</v>
      </c>
      <c r="AC108" s="89">
        <f t="shared" si="13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14"/>
        <v>339</v>
      </c>
      <c r="AG108" s="931">
        <f t="shared" si="15"/>
        <v>26899</v>
      </c>
      <c r="AH108" s="166">
        <v>33585</v>
      </c>
      <c r="AI108" s="184">
        <f>Table2[[#This Row],[Not Stated]]/Table2[[#This Row],[Total Residence]]</f>
        <v>1.2602698985092383E-2</v>
      </c>
    </row>
    <row r="109" spans="1:35" ht="15">
      <c r="A109" s="124" t="s">
        <v>347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12"/>
        <v>17885.993461874819</v>
      </c>
      <c r="R109" s="157" t="s">
        <v>334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929" t="s">
        <v>334</v>
      </c>
      <c r="AC109" s="89">
        <f t="shared" si="13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14"/>
        <v>764</v>
      </c>
      <c r="AG109" s="930">
        <f t="shared" si="15"/>
        <v>58505</v>
      </c>
      <c r="AH109" s="166">
        <v>83931</v>
      </c>
      <c r="AI109" s="184">
        <f>Table2[[#This Row],[Not Stated]]/Table2[[#This Row],[Total Residence]]</f>
        <v>1.3058712930518759E-2</v>
      </c>
    </row>
    <row r="110" spans="1:35" ht="15">
      <c r="A110" s="124" t="s">
        <v>348</v>
      </c>
      <c r="B110" s="124" t="s">
        <v>297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12"/>
        <v>1645.0939551367242</v>
      </c>
      <c r="R110" s="156" t="s">
        <v>349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929" t="s">
        <v>349</v>
      </c>
      <c r="AC110" s="89">
        <f t="shared" si="13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14"/>
        <v>330</v>
      </c>
      <c r="AG110" s="931">
        <f t="shared" si="15"/>
        <v>21689</v>
      </c>
      <c r="AH110" s="168">
        <v>25311</v>
      </c>
      <c r="AI110" s="185">
        <f>Table2[[#This Row],[Not Stated]]/Table2[[#This Row],[Total Residence]]</f>
        <v>1.5215085988288994E-2</v>
      </c>
    </row>
    <row r="111" spans="1:35" ht="15.75" thickBot="1">
      <c r="A111" s="124" t="s">
        <v>348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12"/>
        <v>8787.564173814988</v>
      </c>
      <c r="R111" s="158" t="s">
        <v>304</v>
      </c>
      <c r="S111" s="68">
        <f t="shared" ref="S111:Z111" si="16">SUM(S85:S110)</f>
        <v>715133</v>
      </c>
      <c r="T111" s="143">
        <f t="shared" si="16"/>
        <v>471948</v>
      </c>
      <c r="U111" s="145">
        <f t="shared" si="16"/>
        <v>284569</v>
      </c>
      <c r="V111" s="143">
        <f t="shared" si="16"/>
        <v>172096</v>
      </c>
      <c r="W111" s="144">
        <f t="shared" si="16"/>
        <v>28783</v>
      </c>
      <c r="X111" s="144">
        <f t="shared" si="16"/>
        <v>3266</v>
      </c>
      <c r="Y111" s="145">
        <f t="shared" si="16"/>
        <v>4624</v>
      </c>
      <c r="Z111" s="68">
        <f t="shared" si="16"/>
        <v>21870</v>
      </c>
      <c r="AB111" s="137"/>
      <c r="AC111" s="138"/>
      <c r="AD111" s="138"/>
      <c r="AE111" s="138"/>
      <c r="AF111" s="138"/>
      <c r="AG111" s="932">
        <f>SUM(AG85:AG110)</f>
        <v>1702289</v>
      </c>
      <c r="AH111" s="182">
        <v>2003645</v>
      </c>
    </row>
    <row r="112" spans="1:35">
      <c r="A112" s="124" t="s">
        <v>348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12"/>
        <v>14278.215013491201</v>
      </c>
      <c r="Y112" t="s">
        <v>40</v>
      </c>
      <c r="Z112" t="s">
        <v>40</v>
      </c>
      <c r="AA112" t="s">
        <v>40</v>
      </c>
    </row>
    <row r="113" spans="1:15">
      <c r="A113" s="124" t="s">
        <v>343</v>
      </c>
      <c r="B113" s="124" t="s">
        <v>297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12"/>
        <v>2350.2341251096568</v>
      </c>
    </row>
    <row r="114" spans="1:15">
      <c r="A114" s="124" t="s">
        <v>343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17">L114*N114</f>
        <v>21903.232438086237</v>
      </c>
    </row>
    <row r="115" spans="1:15">
      <c r="A115" s="124" t="s">
        <v>343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17"/>
        <v>34582.040184897764</v>
      </c>
    </row>
    <row r="116" spans="1:15">
      <c r="A116" s="124" t="s">
        <v>344</v>
      </c>
      <c r="B116" s="124" t="s">
        <v>297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17"/>
        <v>3132.1719442467102</v>
      </c>
    </row>
    <row r="117" spans="1:15">
      <c r="A117" s="124" t="s">
        <v>344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17"/>
        <v>21245.226916806354</v>
      </c>
    </row>
    <row r="118" spans="1:15">
      <c r="A118" s="124" t="s">
        <v>344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17"/>
        <v>18876.703253806056</v>
      </c>
    </row>
    <row r="119" spans="1:15">
      <c r="A119" s="124" t="s">
        <v>336</v>
      </c>
      <c r="B119" s="124" t="s">
        <v>297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17"/>
        <v>2872.9605821519503</v>
      </c>
    </row>
    <row r="120" spans="1:15">
      <c r="A120" s="124" t="s">
        <v>336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17"/>
        <v>12186.197780781444</v>
      </c>
    </row>
    <row r="121" spans="1:15">
      <c r="A121" s="124" t="s">
        <v>336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17"/>
        <v>16551.932669034672</v>
      </c>
    </row>
    <row r="122" spans="1:15">
      <c r="A122" s="124" t="s">
        <v>337</v>
      </c>
      <c r="B122" s="124" t="s">
        <v>297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17"/>
        <v>2651.9797196485479</v>
      </c>
    </row>
    <row r="123" spans="1:15">
      <c r="A123" s="124" t="s">
        <v>337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17"/>
        <v>18024.501077566358</v>
      </c>
    </row>
    <row r="124" spans="1:15">
      <c r="A124" s="124" t="s">
        <v>337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17"/>
        <v>33299.287885206948</v>
      </c>
    </row>
    <row r="125" spans="1:15">
      <c r="A125" s="124" t="s">
        <v>339</v>
      </c>
      <c r="B125" s="124" t="s">
        <v>297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17"/>
        <v>4469.191176769421</v>
      </c>
    </row>
    <row r="126" spans="1:15">
      <c r="A126" s="124" t="s">
        <v>339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17"/>
        <v>22249.339151815653</v>
      </c>
    </row>
    <row r="127" spans="1:15">
      <c r="A127" s="124" t="s">
        <v>339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17"/>
        <v>22205.580764463226</v>
      </c>
    </row>
    <row r="128" spans="1:15" ht="13.5" thickBot="1">
      <c r="A128" s="66" t="s">
        <v>218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1680419</v>
      </c>
      <c r="N128" s="190">
        <f>Table8[[#Totals],[Residence Total]]/Table8[[#Totals],[BER Total]]</f>
        <v>2.0612416374934681</v>
      </c>
      <c r="O128" s="176">
        <f>SUM(O50:O127)</f>
        <v>1690913.2753852012</v>
      </c>
    </row>
  </sheetData>
  <mergeCells count="8">
    <mergeCell ref="AM50:AR50"/>
    <mergeCell ref="AB82:AF83"/>
    <mergeCell ref="M48:O48"/>
    <mergeCell ref="B48:L48"/>
    <mergeCell ref="H17:L17"/>
    <mergeCell ref="O16:Q16"/>
    <mergeCell ref="R16:T16"/>
    <mergeCell ref="S82:Z82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F26" zoomScale="70" zoomScaleNormal="70" workbookViewId="0">
      <selection activeCell="L69" sqref="L69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2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7" width="11.42578125" style="48" customWidth="1"/>
    <col min="28" max="29" width="23.28515625" style="48" customWidth="1"/>
    <col min="30" max="31" width="19.42578125" style="48" customWidth="1"/>
    <col min="32" max="32" width="7.85546875" style="48" customWidth="1"/>
    <col min="33" max="33" width="10.7109375" style="48" bestFit="1" customWidth="1"/>
    <col min="34" max="34" width="22.5703125" style="48" bestFit="1" customWidth="1"/>
    <col min="35" max="35" width="87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796"/>
      <c r="S2" s="261"/>
      <c r="T2" s="796"/>
      <c r="U2" s="796"/>
      <c r="V2" s="261"/>
      <c r="W2" s="261"/>
      <c r="X2" s="261"/>
      <c r="Y2" s="261"/>
      <c r="Z2" s="261"/>
      <c r="AA2" s="261"/>
      <c r="AB2" s="261"/>
      <c r="AC2" s="801"/>
      <c r="AD2" s="796"/>
      <c r="AE2" s="261"/>
      <c r="AF2" s="796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498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498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4" t="s">
        <v>643</v>
      </c>
      <c r="C4" s="1145"/>
      <c r="D4" s="1145"/>
      <c r="E4" s="1145"/>
      <c r="F4" s="1145"/>
      <c r="G4" s="1146"/>
      <c r="H4" s="1144" t="s">
        <v>644</v>
      </c>
      <c r="I4" s="1145"/>
      <c r="J4" s="1146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830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832</v>
      </c>
      <c r="AB4" s="27" t="s">
        <v>637</v>
      </c>
      <c r="AC4" s="31" t="s">
        <v>636</v>
      </c>
      <c r="AD4" s="31" t="s">
        <v>833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831</v>
      </c>
      <c r="Q5" s="22" t="s">
        <v>274</v>
      </c>
      <c r="R5" s="22"/>
      <c r="S5" s="29" t="s">
        <v>275</v>
      </c>
      <c r="T5" s="22"/>
      <c r="U5" s="22" t="s">
        <v>391</v>
      </c>
      <c r="V5" s="22" t="s">
        <v>391</v>
      </c>
      <c r="W5" s="28"/>
      <c r="X5" s="22" t="s">
        <v>835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834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LEFT(SETUP!$B$3,1)&amp;"-"&amp;SETUP!$B$50&amp;"_"&amp;RIGHT(COMM!$O$30,3)&amp;"_"&amp;RIGHT(O7,LEN(O7)-3)&amp;"_"&amp;SETUP!$B$64</f>
        <v>R-SH_Apt_COA_X0</v>
      </c>
      <c r="N7" s="294" t="str">
        <f>COMM!$P$24&amp;" "&amp;COMM!F6&amp;" "&amp;SETUP!$C$64</f>
        <v>Residential Space Heating Apartment Coal to Residential Existing 00</v>
      </c>
      <c r="O7" s="294" t="str">
        <f>COMM!$E$6</f>
        <v>RSDCOA</v>
      </c>
      <c r="P7" s="294"/>
      <c r="Q7" s="294" t="str">
        <f>COMM!O9&amp;","&amp;COMM!O12&amp;","&amp;COMM!O15&amp;","&amp;COMM!O18&amp;","&amp;COMM!O21&amp;","&amp;COMM!O24</f>
        <v>RSDSH_Apt-AB,RSDSH_Apt-C,RSDSH_Apt-D,RSDSH_Apt-E,RSDSH_Apt-F,RSDSH_Apt-G</v>
      </c>
      <c r="R7" s="389">
        <f>(E7+E14+E16)/SUM($E$7:$E$25)</f>
        <v>2.1588177690732664E-3</v>
      </c>
      <c r="S7" s="390">
        <f>R7*DwellingStocks!$I$28/1000</f>
        <v>0.4572805315810558</v>
      </c>
      <c r="T7" s="444">
        <f>(S7*1000)/(E7+E14+E16)*DwellingStocks!$R$27+1.0376</f>
        <v>2.2304833867748837</v>
      </c>
      <c r="U7" s="804">
        <f>(G7+G14+G16)/300</f>
        <v>0.59018803418803423</v>
      </c>
      <c r="V7" s="804">
        <f>AB7/S7/X7</f>
        <v>0.40654789002485747</v>
      </c>
      <c r="W7" s="393">
        <v>20</v>
      </c>
      <c r="X7" s="391">
        <f>31.536*(AD7/1000)</f>
        <v>0.47304000000000002</v>
      </c>
      <c r="Y7" s="393"/>
      <c r="Z7" s="393"/>
      <c r="AA7" s="393"/>
      <c r="AB7" s="394">
        <f t="shared" ref="AB7:AB11" si="0">AC7*U7</f>
        <v>8.7941180137151742E-2</v>
      </c>
      <c r="AC7" s="394">
        <f>IF(((D7+I7+D14+I14+D16+I16)*$B$2)&lt;=0,0,((D7+I7+D14+I14+D16+I16)*T7*$B$2))</f>
        <v>0.14900535938201287</v>
      </c>
      <c r="AD7" s="393">
        <v>15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1">M7</f>
        <v>R-SH_Apt_COA_X0</v>
      </c>
      <c r="AI7" s="294" t="str">
        <f t="shared" si="1"/>
        <v>Residential Space Heating Apartment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6" t="str">
        <f>LEFT(SETUP!$B$3,1)&amp;"-"&amp;SETUP!$B$50&amp;"_"&amp;RIGHT(COMM!$O$30,3)&amp;"_"&amp;RIGHT(O8,LEN(O8)-3)&amp;"_"&amp;SETUP!$B$64</f>
        <v>R-SH_Apt_BDL_X0</v>
      </c>
      <c r="N8" s="26" t="str">
        <f>COMM!$P$24&amp;" "&amp;COMM!F21&amp;" "&amp;SETUP!$C$64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6">
        <f>E8/SUM($E$7:$E$25)</f>
        <v>2.2255853289415115E-5</v>
      </c>
      <c r="S8" s="397">
        <f>R8*DwellingStocks!$I$28/1000</f>
        <v>4.7142322843407814E-3</v>
      </c>
      <c r="T8" s="398">
        <f>(S8*1000)/E8*DwellingStocks!$R$27</f>
        <v>1.1928833867748834</v>
      </c>
      <c r="U8" s="806">
        <f>IF((G8/100)&gt;1,0.9)</f>
        <v>0.9</v>
      </c>
      <c r="V8" s="806">
        <f>AB8/S8/X8</f>
        <v>9.6640000122913006E-3</v>
      </c>
      <c r="W8" s="399">
        <v>20</v>
      </c>
      <c r="X8" s="802">
        <f t="shared" ref="X8:X13" si="2">31.536*(AD8/1000)</f>
        <v>0.47304000000000002</v>
      </c>
      <c r="Y8" s="399"/>
      <c r="Z8" s="399"/>
      <c r="AA8" s="399"/>
      <c r="AB8" s="400">
        <f t="shared" si="0"/>
        <v>2.155091755748787E-5</v>
      </c>
      <c r="AC8" s="401">
        <f>IF(((D8+I8)*$B$2)&lt;=0,0,((D8+I8)*T8*$B$2))</f>
        <v>2.3945463952764301E-5</v>
      </c>
      <c r="AD8" s="798">
        <v>15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1"/>
        <v>R-SH_Apt_BDL_X0</v>
      </c>
      <c r="AI8" s="26" t="str">
        <f t="shared" si="1"/>
        <v>Residential Space Heating Apartment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LEFT(SETUP!$B$3,1)&amp;"-"&amp;SETUP!$B$50&amp;"_"&amp;RIGHT(COMM!$O$30,3)&amp;"_"&amp;RIGHT(O9,LEN(O9)-3)&amp;"_"&amp;SETUP!$B$64</f>
        <v>R-SH_Apt_ETH_X0</v>
      </c>
      <c r="N9" s="294" t="str">
        <f>COMM!P24&amp;" "&amp;COMM!F20&amp;" "&amp;SETUP!C64</f>
        <v>Residential Space Heating Apartment Ethanol to Residential Existing 00</v>
      </c>
      <c r="O9" s="294" t="str">
        <f>COMM!$E$20</f>
        <v>RSDETH</v>
      </c>
      <c r="P9" s="294"/>
      <c r="Q9" s="294" t="str">
        <f>COMM!O9&amp;","&amp;COMM!O12&amp;","&amp;COMM!O15&amp;","&amp;COMM!O18&amp;","&amp;COMM!O21&amp;","&amp;COMM!O24</f>
        <v>RSDSH_Apt-AB,RSDSH_Apt-C,RSDSH_Apt-D,RSDSH_Apt-E,RSDSH_Apt-F,RSDSH_Apt-G</v>
      </c>
      <c r="R9" s="389">
        <f>E9/SUM($E$7:$E$25)</f>
        <v>7.4186177631383719E-6</v>
      </c>
      <c r="S9" s="390">
        <f>R9*DwellingStocks!$I$28/1000</f>
        <v>1.5714107614469271E-3</v>
      </c>
      <c r="T9" s="391">
        <f>(S9*1000)/E9*DwellingStocks!$R$27</f>
        <v>1.1928833867748834</v>
      </c>
      <c r="U9" s="804">
        <f>IF((G9/100)&gt;1,0.9)</f>
        <v>0.9</v>
      </c>
      <c r="V9" s="804">
        <f t="shared" ref="V9:V12" si="3">AB9/S9/X9</f>
        <v>2.0797704474084578E-5</v>
      </c>
      <c r="W9" s="393">
        <v>20</v>
      </c>
      <c r="X9" s="391">
        <f t="shared" si="2"/>
        <v>0.47304000000000002</v>
      </c>
      <c r="Y9" s="393"/>
      <c r="Z9" s="393"/>
      <c r="AA9" s="393"/>
      <c r="AB9" s="394">
        <f t="shared" si="0"/>
        <v>1.5459768692602489E-8</v>
      </c>
      <c r="AC9" s="394">
        <f>IF(((D9+I9)*$B$2)&lt;=0,0,((D9+I9)*T9*$B$2))</f>
        <v>1.717752076955832E-8</v>
      </c>
      <c r="AD9" s="393">
        <v>15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1"/>
        <v>R-SH_Apt_ETH_X0</v>
      </c>
      <c r="AI9" s="294" t="str">
        <f t="shared" si="1"/>
        <v>Residential Space Heating Apartment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_xlfn.TEXTJOIN(",",TRUE,IF(LEFT(Regions!$C$3,1)&lt;&gt;"*",Regions!$C$3,""),IF(LEFT(Regions!$D$3,1)&lt;&gt;"*",Regions!$D$3,""))</f>
        <v>IE,National</v>
      </c>
      <c r="M10" s="26" t="str">
        <f>LEFT(SETUP!$B$3,1)&amp;"-"&amp;SETUP!$B$50&amp;"_"&amp;RIGHT(COMM!$O$30,3)&amp;"_"&amp;RIGHT(O10,LEN(O10)-3)&amp;"_"&amp;SETUP!$B$64</f>
        <v>R-SH_Apt_LPG_X0</v>
      </c>
      <c r="N10" s="26" t="str">
        <f>COMM!P24&amp;" "&amp;COMM!F8&amp;" "&amp;SETUP!C64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6">
        <f>(E10+E11)/SUM($E$7:$E$25)</f>
        <v>1.4139885456541736E-2</v>
      </c>
      <c r="S10" s="397">
        <f>(R10)*DwellingStocks!$I$28/1000</f>
        <v>2.9951089113178426</v>
      </c>
      <c r="T10" s="398">
        <f>(S10*1000)/(E10+E11)*DwellingStocks!$R$27+0.5284</f>
        <v>1.7212833867748834</v>
      </c>
      <c r="U10" s="806">
        <f>(G10+G11)/200</f>
        <v>0.80677902621722841</v>
      </c>
      <c r="V10" s="806">
        <f t="shared" si="3"/>
        <v>4.7559865677763651E-2</v>
      </c>
      <c r="W10" s="399">
        <v>20</v>
      </c>
      <c r="X10" s="802">
        <f t="shared" si="2"/>
        <v>0.47304000000000002</v>
      </c>
      <c r="Y10" s="399"/>
      <c r="Z10" s="399"/>
      <c r="AA10" s="399"/>
      <c r="AB10" s="400">
        <f t="shared" si="0"/>
        <v>6.7383118242536427E-2</v>
      </c>
      <c r="AC10" s="401">
        <f>IF(((D10+I10+D11+I11)*T10*$B$2)&lt;=0,0,((D10+I10+D11+I11)*T10*$B$2))</f>
        <v>8.3521157656363337E-2</v>
      </c>
      <c r="AD10" s="798">
        <v>15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1"/>
        <v>R-SH_Apt_LPG_X0</v>
      </c>
      <c r="AI10" s="26" t="str">
        <f t="shared" si="1"/>
        <v>Residential Space Heating Apartment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LEFT(SETUP!$B$3,1)&amp;"-"&amp;SETUP!$B$50&amp;"_"&amp;RIGHT(COMM!$O$30,3)&amp;"_"&amp;RIGHT(O11,LEN(O11)-3)&amp;"_"&amp;SETUP!$B$64</f>
        <v>R-SH_Apt_ELC_X0</v>
      </c>
      <c r="N11" s="294" t="str">
        <f>COMM!P24&amp;" "&amp;COMM!F24&amp;" "&amp;SETUP!C64</f>
        <v>Residential Space Heating Apartment Electricity to Residential Existing 00</v>
      </c>
      <c r="O11" s="294" t="str">
        <f>COMM!$E$24</f>
        <v>RSDELC</v>
      </c>
      <c r="P11" s="294"/>
      <c r="Q11" s="294" t="str">
        <f>COMM!O9&amp;","&amp;COMM!O12&amp;","&amp;COMM!O15&amp;","&amp;COMM!O18&amp;","&amp;COMM!O21&amp;","&amp;COMM!O24</f>
        <v>RSDSH_Apt-AB,RSDSH_Apt-C,RSDSH_Apt-D,RSDSH_Apt-E,RSDSH_Apt-F,RSDSH_Apt-G</v>
      </c>
      <c r="R11" s="389">
        <f>(ArchetypeDemand!Y50*SUM(E12+E25))/SUM($E$7:$E$25)</f>
        <v>0.32462892073948779</v>
      </c>
      <c r="S11" s="390">
        <f>(R11)*DwellingStocks!$I$28/1000</f>
        <v>68.762860658712412</v>
      </c>
      <c r="T11" s="391">
        <f>(S11*1000)/(E25)*DwellingStocks!$R$27-0.67619</f>
        <v>0.70575965580849165</v>
      </c>
      <c r="U11" s="804">
        <f>(G25)/100</f>
        <v>1</v>
      </c>
      <c r="V11" s="804">
        <f t="shared" si="3"/>
        <v>1.3931119040234956E-2</v>
      </c>
      <c r="W11" s="393">
        <v>20</v>
      </c>
      <c r="X11" s="391">
        <f t="shared" si="2"/>
        <v>0.47304000000000002</v>
      </c>
      <c r="Y11" s="393"/>
      <c r="Z11" s="393"/>
      <c r="AA11" s="393"/>
      <c r="AB11" s="394">
        <f t="shared" si="0"/>
        <v>0.45314563930634366</v>
      </c>
      <c r="AC11" s="394">
        <f>IF(((D25+I25)*T11*$B$2)&lt;=0,0,((D25+I25)*T11*$B$2))</f>
        <v>0.45314563930634366</v>
      </c>
      <c r="AD11" s="393">
        <v>15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1"/>
        <v>R-SH_Apt_ELC_X0</v>
      </c>
      <c r="AI11" s="294" t="str">
        <f t="shared" si="1"/>
        <v>Residential Space Heating Apartment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_xlfn.TEXTJOIN(",",TRUE,IF(LEFT(Regions!$C$3,1)&lt;&gt;"*",Regions!$C$3,""),IF(LEFT(Regions!$D$3,1)&lt;&gt;"*",Regions!$D$3,""))</f>
        <v>IE,National</v>
      </c>
      <c r="M12" s="26" t="str">
        <f>LEFT(SETUP!$B$3,1)&amp;"-"&amp;SETUP!$B$50&amp;"_"&amp;RIGHT(COMM!$O$30,3)&amp;"_"&amp;RIGHT(O12,LEN(O12)-3)&amp;"_"&amp;SETUP!$B$65</f>
        <v>R-SH_Apt_ELC_X1</v>
      </c>
      <c r="N12" s="26" t="str">
        <f>COMM!P24&amp;" "&amp;COMM!F24&amp;" "&amp;SETUP!C65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6">
        <f>(ArchetypeDemand!Z50*SUM(E12+E25))/SUM($E$7:$E$25)</f>
        <v>0.15276655093622957</v>
      </c>
      <c r="S12" s="397">
        <f>R12*DwellingStocks!$I$28/1000</f>
        <v>32.358993251158786</v>
      </c>
      <c r="T12" s="398">
        <f>((S12)*1000)/E12*DwellingStocks!$R$27+0.392</f>
        <v>1.3161971640450041</v>
      </c>
      <c r="U12" s="806">
        <f>G12/100</f>
        <v>3.0701960784313722</v>
      </c>
      <c r="V12" s="806">
        <f t="shared" si="3"/>
        <v>0.18130269923092618</v>
      </c>
      <c r="W12" s="399">
        <v>20</v>
      </c>
      <c r="X12" s="802">
        <f t="shared" si="2"/>
        <v>0.15768000000000001</v>
      </c>
      <c r="Y12" s="399"/>
      <c r="Z12" s="399"/>
      <c r="AA12" s="399"/>
      <c r="AB12" s="400">
        <f>AC12*U12</f>
        <v>0.92507273838853943</v>
      </c>
      <c r="AC12" s="401">
        <f>IF(((D12+I12)*T12*$B$2)&lt;=0,0,((D12+I12)*T12*$B$2))</f>
        <v>0.30130738062214535</v>
      </c>
      <c r="AD12" s="798">
        <v>5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1"/>
        <v>R-SH_Apt_ELC_X1</v>
      </c>
      <c r="AI12" s="26" t="str">
        <f t="shared" si="1"/>
        <v>Residential Space Heating Apartment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4" t="str">
        <f>_xlfn.TEXTJOIN(",",TRUE,IF(LEFT(Regions!$C$3,1)&lt;&gt;"*",Regions!$C$3,""),IF(LEFT(Regions!$D$3,1)&lt;&gt;"*",Regions!$D$3,""))</f>
        <v>IE,National</v>
      </c>
      <c r="M13" s="294"/>
      <c r="N13" s="294"/>
      <c r="O13" s="294"/>
      <c r="P13" s="294" t="str">
        <f>COMM!$E$19</f>
        <v>RSDAHT</v>
      </c>
      <c r="Q13" s="294"/>
      <c r="R13" s="389"/>
      <c r="S13" s="390"/>
      <c r="T13" s="444"/>
      <c r="U13" s="804"/>
      <c r="V13" s="804"/>
      <c r="W13" s="393"/>
      <c r="X13" s="391">
        <f t="shared" si="2"/>
        <v>0.31536000000000003</v>
      </c>
      <c r="Y13" s="393"/>
      <c r="Z13" s="393"/>
      <c r="AA13" s="394">
        <f>AC13/AB12</f>
        <v>0.18204129685580445</v>
      </c>
      <c r="AB13" s="394"/>
      <c r="AC13" s="394">
        <f>RSD_Balance!F22</f>
        <v>0.16840144098220003</v>
      </c>
      <c r="AD13" s="393">
        <v>10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_xlfn.TEXTJOIN(",",TRUE,IF(LEFT(Regions!$C$3,1)&lt;&gt;"*",Regions!$C$3,""),IF(LEFT(Regions!$D$3,1)&lt;&gt;"*",Regions!$D$3,""))</f>
        <v>IE,National</v>
      </c>
      <c r="M14" s="26" t="str">
        <f>LEFT(SETUP!$B$3,1)&amp;"-"&amp;SETUP!$B$50&amp;"_"&amp;RIGHT(COMM!$O$30,3)&amp;"_"&amp;RIGHT(O14,LEN(O14)-3)&amp;"_"&amp;SETUP!$B$64</f>
        <v>R-SH_Apt_KER_X0</v>
      </c>
      <c r="N14" s="26" t="str">
        <f>COMM!P24&amp;" "&amp;COMM!F10&amp;" "&amp;SETUP!C64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6">
        <f>E13/SUM($E$7:$E$25)</f>
        <v>2.9103237484791832E-2</v>
      </c>
      <c r="S14" s="397">
        <f>R14*DwellingStocks!$I$28/1000</f>
        <v>6.1646444171562944</v>
      </c>
      <c r="T14" s="398">
        <f>(S14*1000)/E13*DwellingStocks!$R$27+0.16818</f>
        <v>1.3610633867748834</v>
      </c>
      <c r="U14" s="806">
        <f>G13/100</f>
        <v>0.81016216216216219</v>
      </c>
      <c r="V14" s="806">
        <f>AB14/S14/X14</f>
        <v>7.5994529972598868E-2</v>
      </c>
      <c r="W14" s="399">
        <v>20</v>
      </c>
      <c r="X14" s="802">
        <f>31.536*(AD14/1000)</f>
        <v>0.47304000000000002</v>
      </c>
      <c r="Y14" s="399"/>
      <c r="Z14" s="399"/>
      <c r="AA14" s="399"/>
      <c r="AB14" s="400">
        <f>AC14*U14</f>
        <v>0.22160942675208639</v>
      </c>
      <c r="AC14" s="401">
        <f>IF(((D13+I13)*$B$2)&lt;=0,0,((D13+I13)*T14*$B$2))</f>
        <v>0.27353712269239377</v>
      </c>
      <c r="AD14" s="798">
        <v>15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R-SH_Apt_KER_X0</v>
      </c>
      <c r="AI14" s="294" t="str">
        <f>N14</f>
        <v>Residential Space Heating Apartment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</row>
    <row r="15" spans="1:44" ht="15" customHeight="1">
      <c r="A15" s="261"/>
      <c r="B15" s="231" t="s">
        <v>407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8" t="s">
        <v>254</v>
      </c>
      <c r="M15" s="508" t="s">
        <v>254</v>
      </c>
      <c r="N15" s="402"/>
      <c r="O15" s="402"/>
      <c r="P15" s="402"/>
      <c r="Q15" s="403"/>
      <c r="R15" s="404"/>
      <c r="S15" s="402"/>
      <c r="T15" s="404"/>
      <c r="U15" s="808"/>
      <c r="V15" s="808"/>
      <c r="W15" s="402"/>
      <c r="X15" s="799"/>
      <c r="Y15" s="402"/>
      <c r="Z15" s="402"/>
      <c r="AA15" s="402"/>
      <c r="AB15" s="402"/>
      <c r="AC15" s="402"/>
      <c r="AD15" s="800"/>
      <c r="AE15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_xlfn.TEXTJOIN(",",TRUE,IF(LEFT(Regions!$C$3,1)&lt;&gt;"*",Regions!$C$3,""),IF(LEFT(Regions!$D$3,1)&lt;&gt;"*",Regions!$D$3,""))</f>
        <v>IE,National</v>
      </c>
      <c r="M16" s="26" t="str">
        <f>LEFT(SETUP!$B$3,1)&amp;"-"&amp;SETUP!$B$50&amp;"_"&amp;RIGHT(COMM!$O$30,3)&amp;"_"&amp;MID(O16,4,3)&amp;"_"&amp;SETUP!$B$64</f>
        <v>R-SH_Apt_GAS_X0</v>
      </c>
      <c r="N16" s="26" t="str">
        <f>COMM!P24&amp;" "&amp;COMM!F14&amp;" "&amp;SETUP!C64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833">
        <f>E15/SUM($E$7:$E$25)</f>
        <v>0.4073933944627437</v>
      </c>
      <c r="S16" s="397">
        <f>R16*DwellingStocks!$I$28/1000</f>
        <v>86.29402196485799</v>
      </c>
      <c r="T16" s="398">
        <f>(S16*1000)/E15*DwellingStocks!$R$27</f>
        <v>1.1928833867748834</v>
      </c>
      <c r="U16" s="806">
        <f>G15/100</f>
        <v>0.81026881720430111</v>
      </c>
      <c r="V16" s="806">
        <f>AB16/S16/X16</f>
        <v>2.5618485673577367E-2</v>
      </c>
      <c r="W16" s="399">
        <v>20</v>
      </c>
      <c r="X16" s="802">
        <f>31.536*(AD16/1000)</f>
        <v>0.47304000000000002</v>
      </c>
      <c r="Y16" s="399"/>
      <c r="Z16" s="399"/>
      <c r="AA16" s="399"/>
      <c r="AB16" s="400">
        <f>AC16*U16</f>
        <v>1.0457600131312632</v>
      </c>
      <c r="AC16" s="401">
        <f>IF(((D15+I15)*$B$2)&lt;=0,0,((D15+I15)*T16*$B$2))</f>
        <v>1.290633418103742</v>
      </c>
      <c r="AD16" s="798">
        <v>15</v>
      </c>
      <c r="AE16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R-SH_Apt_GAS_X0</v>
      </c>
      <c r="AI16" s="294" t="str">
        <f>N16</f>
        <v>Residential Space Heating Apartment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</row>
    <row r="17" spans="1:49">
      <c r="A17" s="261"/>
      <c r="B17" s="231" t="s">
        <v>428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8" t="s">
        <v>254</v>
      </c>
      <c r="M17" s="508" t="s">
        <v>254</v>
      </c>
      <c r="N17" s="402"/>
      <c r="O17" s="402"/>
      <c r="P17" s="402"/>
      <c r="Q17" s="403"/>
      <c r="R17" s="404"/>
      <c r="S17" s="402"/>
      <c r="T17" s="404"/>
      <c r="U17" s="808"/>
      <c r="V17" s="808"/>
      <c r="W17" s="402"/>
      <c r="X17" s="799"/>
      <c r="Y17" s="402"/>
      <c r="Z17" s="402"/>
      <c r="AA17" s="402"/>
      <c r="AB17" s="402"/>
      <c r="AC17" s="402"/>
      <c r="AD17" s="800"/>
      <c r="AE17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_xlfn.TEXTJOIN(",",TRUE,IF(LEFT(Regions!$C$3,1)&lt;&gt;"*",Regions!$C$3,""),IF(LEFT(Regions!$D$3,1)&lt;&gt;"*",Regions!$D$3,""))</f>
        <v>IE,National</v>
      </c>
      <c r="M18" s="26" t="str">
        <f>LEFT(SETUP!$B$3,1)&amp;"-"&amp;SETUP!$B$50&amp;"_"&amp;RIGHT(COMM!$O$30,3)&amp;"_"&amp;RIGHT(O18,LEN(O18)-3)&amp;"_"&amp;SETUP!$B$64</f>
        <v>R-SH_Apt_PEA_X0</v>
      </c>
      <c r="N18" s="26" t="str">
        <f>COMM!P24&amp;" "&amp;COMM!F7&amp;" "&amp;SETUP!C64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6">
        <f>(E17+E18)/SUM($E$7:$E$25)</f>
        <v>1.0386064868393721E-4</v>
      </c>
      <c r="S18" s="397">
        <f>R18*DwellingStocks!$I$28/1000</f>
        <v>2.199975066025698E-2</v>
      </c>
      <c r="T18" s="398">
        <f>(S18*1000)/(E17+E18)*DwellingStocks!$R$27</f>
        <v>1.1928833867748834</v>
      </c>
      <c r="U18" s="806">
        <f>(G17+G18)/200</f>
        <v>0.52500000000000002</v>
      </c>
      <c r="V18" s="806">
        <f>AB18/S18/X18</f>
        <v>0.16174374769495573</v>
      </c>
      <c r="W18" s="399">
        <v>20</v>
      </c>
      <c r="X18" s="802">
        <f>31.536*(AD18/1000)</f>
        <v>0.47304000000000002</v>
      </c>
      <c r="Y18" s="399"/>
      <c r="Z18" s="399"/>
      <c r="AA18" s="399"/>
      <c r="AB18" s="400">
        <f>AC18*U18</f>
        <v>1.6832286957131736E-3</v>
      </c>
      <c r="AC18" s="401">
        <f>IF(((D17+I17)+D18+I18*$B$2)&lt;=0,0,((D17+I17+D18+I18)*T18*$B$2))</f>
        <v>3.2061498965965211E-3</v>
      </c>
      <c r="AD18" s="798">
        <v>15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R-SH_Apt_PEA_X0</v>
      </c>
      <c r="AI18" s="294" t="str">
        <f>N18</f>
        <v>Residential Space Heating Apartment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2"/>
      <c r="S19" s="402"/>
      <c r="T19" s="402"/>
      <c r="U19" s="402"/>
      <c r="V19" s="402"/>
      <c r="W19" s="402"/>
      <c r="X19" s="799"/>
      <c r="Y19" s="402"/>
      <c r="Z19" s="402"/>
      <c r="AA19" s="402"/>
      <c r="AB19" s="402"/>
      <c r="AC19" s="402"/>
      <c r="AD19" s="800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LEFT(SETUP!$B$3,1)&amp;"-"&amp;SETUP!$B$50&amp;"_"&amp;RIGHT(COMM!$O$30,3)&amp;"_"&amp;RIGHT(COMM!E23,LEN(COMM!E23)-3)&amp;"_"&amp;SETUP!$B$64</f>
        <v>R-SH_Apt_SMF_X0</v>
      </c>
      <c r="N20" s="26" t="str">
        <f>COMM!P24&amp;" "&amp;COMM!F23&amp;" "&amp;SETUP!C64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6">
        <f>E19/SUM($E$7:$E$25)</f>
        <v>3.2493545802546068E-3</v>
      </c>
      <c r="S20" s="397">
        <f>R20*DwellingStocks!$I$28/1000</f>
        <v>0.688277913513754</v>
      </c>
      <c r="T20" s="398">
        <f>(S20*1000)/E19*DwellingStocks!$R$27-0.19617</f>
        <v>0.99671338677488341</v>
      </c>
      <c r="U20" s="806">
        <f>G19/100</f>
        <v>0.58177777777777773</v>
      </c>
      <c r="V20" s="806">
        <f>SUM(AB20:AB22)/S20/X20</f>
        <v>0.14274595375996391</v>
      </c>
      <c r="W20" s="399">
        <v>20</v>
      </c>
      <c r="X20" s="802">
        <f>31.536*(AD20/1000)</f>
        <v>0.47304000000000002</v>
      </c>
      <c r="Y20" s="515">
        <f>RSD_Balance!H2</f>
        <v>0.19400000000000001</v>
      </c>
      <c r="Z20" s="399">
        <v>5</v>
      </c>
      <c r="AA20" s="399"/>
      <c r="AB20" s="400">
        <f>AC20*$U$20</f>
        <v>9.0162768001196547E-3</v>
      </c>
      <c r="AC20" s="401">
        <f>IF(((D19+I19)*$B$2)&lt;=0,0,((D19+I19)*T20*$B$2))*Y20</f>
        <v>1.5497801986454717E-2</v>
      </c>
      <c r="AD20" s="798">
        <v>15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R-SH_Apt_SMF_X0</v>
      </c>
      <c r="AI20" s="294" t="str">
        <f>N20</f>
        <v>Residential Space Heating Apartment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807"/>
      <c r="V21" s="804"/>
      <c r="W21" s="393"/>
      <c r="X21" s="391"/>
      <c r="Y21" s="516">
        <f>RSD_Balance!H3</f>
        <v>0.74399999999999999</v>
      </c>
      <c r="Z21" s="393">
        <v>5</v>
      </c>
      <c r="AA21" s="393"/>
      <c r="AB21" s="394">
        <f>AC21*$U$20</f>
        <v>3.457788628499496E-2</v>
      </c>
      <c r="AC21" s="394">
        <f>IF(((D19+I19)*$B$2)&lt;=0,0,((D19+I19)*T20*$B$2))*Y21</f>
        <v>5.9434869473826334E-2</v>
      </c>
      <c r="AD21" s="393">
        <v>15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4">M23</f>
        <v>R-SH_Apt_WOO_X0</v>
      </c>
      <c r="AI21" s="26" t="str">
        <f t="shared" si="4"/>
        <v>Residential Space Heating Apartment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805"/>
      <c r="V22" s="806"/>
      <c r="W22" s="399"/>
      <c r="X22" s="802"/>
      <c r="Y22" s="515">
        <f>RSD_Balance!H4</f>
        <v>6.2E-2</v>
      </c>
      <c r="Z22" s="399">
        <v>5</v>
      </c>
      <c r="AA22" s="399"/>
      <c r="AB22" s="400">
        <f>AC22*$U$20</f>
        <v>2.8814905237495802E-3</v>
      </c>
      <c r="AC22" s="401">
        <f>IF(((D19+I19)*$B$2)&lt;=0,0,((D19+I19)*T20*$B$2))*Y22</f>
        <v>4.9529057894855278E-3</v>
      </c>
      <c r="AD22" s="798">
        <v>15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4"/>
        <v>R-SH_Apt_HET_X0</v>
      </c>
      <c r="AI22" s="294" t="str">
        <f t="shared" si="4"/>
        <v>Residential Space Heating Apartment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LEFT(SETUP!$B$3,1)&amp;"-"&amp;SETUP!$B$50&amp;"_"&amp;RIGHT(COMM!$O$30,3)&amp;"_"&amp;RIGHT(O23,LEN(O23)-3)&amp;"_"&amp;SETUP!$B$64</f>
        <v>R-SH_Apt_WOO_X0</v>
      </c>
      <c r="N23" s="294" t="str">
        <f>COMM!P24&amp;" "&amp;COMM!F16&amp;" "&amp;SETUP!C64</f>
        <v>Residential Space Heating Apartment Biomass to Residential Existing 00</v>
      </c>
      <c r="O23" s="294" t="str">
        <f>COMM!E16</f>
        <v>RSDWOO</v>
      </c>
      <c r="P23" s="294"/>
      <c r="Q23" s="294" t="str">
        <f>COMM!O9&amp;","&amp;COMM!O12&amp;","&amp;COMM!O15&amp;","&amp;COMM!O18&amp;","&amp;COMM!O21&amp;","&amp;COMM!O24</f>
        <v>RSDSH_Apt-AB,RSDSH_Apt-C,RSDSH_Apt-D,RSDSH_Apt-E,RSDSH_Apt-F,RSDSH_Apt-G</v>
      </c>
      <c r="R23" s="389">
        <f>(E20+E21+E22+E23)/SUM($E$7:$E$25)</f>
        <v>1.3872815217068756E-3</v>
      </c>
      <c r="S23" s="390">
        <f>R23*DwellingStocks!$I$28/1000</f>
        <v>0.29385381239057534</v>
      </c>
      <c r="T23" s="391">
        <f>(S23*1000)/(E20+E21+E22+E23)*DwellingStocks!$R$27+0.1866</f>
        <v>1.3794833867748832</v>
      </c>
      <c r="U23" s="804">
        <f>(G21+G22+G23)/300</f>
        <v>0.6880451127819549</v>
      </c>
      <c r="V23" s="804">
        <f>AB23/S23/X23</f>
        <v>3.6221240391349489E-2</v>
      </c>
      <c r="W23" s="393">
        <v>20</v>
      </c>
      <c r="X23" s="391">
        <f t="shared" ref="X23:X24" si="5">31.536*(AD23/1000)</f>
        <v>0.47304000000000002</v>
      </c>
      <c r="Y23" s="393"/>
      <c r="Z23" s="393"/>
      <c r="AA23" s="393"/>
      <c r="AB23" s="394">
        <f>AC23*U23</f>
        <v>5.0349193006200468E-3</v>
      </c>
      <c r="AC23" s="394">
        <f>IF(((D20+I20+D21+I21+D22+I22+D23+I23)*$B$2)&lt;=0,0,((D20+I20+D21+I21+D22+I22+D23+I23)*T23*$B$2))</f>
        <v>7.3177168285702785E-3</v>
      </c>
      <c r="AD23" s="393">
        <v>15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_xlfn.TEXTJOIN(",",TRUE,IF(LEFT(Regions!$C$3,1)&lt;&gt;"*",Regions!$C$3,""),IF(LEFT(Regions!$D$3,1)&lt;&gt;"*",Regions!$D$3,""))</f>
        <v>IE,National</v>
      </c>
      <c r="M24" s="26" t="str">
        <f>LEFT(SETUP!$B$3,1)&amp;"-"&amp;SETUP!$B$50&amp;"_"&amp;RIGHT(COMM!$O$30,3)&amp;"_"&amp;RIGHT(O24,LEN(O24)-3)&amp;"_"&amp;SETUP!$B$64</f>
        <v>R-SH_Apt_HET_X0</v>
      </c>
      <c r="N24" s="26" t="str">
        <f>COMM!P24&amp;" "&amp;COMM!F25&amp;" "&amp;SETUP!C64</f>
        <v>Residential Space Heating Apartment Heat to Residential Existing 00</v>
      </c>
      <c r="O24" s="26" t="str">
        <f>COMM!E25</f>
        <v>RSDHET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6">
        <f>E24/SUM($E$7:$E$25)</f>
        <v>6.5039021929434102E-2</v>
      </c>
      <c r="S24" s="397">
        <f>R24*DwellingStocks!$I$28/1000</f>
        <v>13.776558145605208</v>
      </c>
      <c r="T24" s="398">
        <f>(S24*1000)/E24*DwellingStocks!$R$27</f>
        <v>1.1928833867748831</v>
      </c>
      <c r="U24" s="806">
        <f>G24/100</f>
        <v>0.39838442187649958</v>
      </c>
      <c r="V24" s="806">
        <f>AB24/S24/X24</f>
        <v>2.4002855672672629E-3</v>
      </c>
      <c r="W24" s="399">
        <v>20</v>
      </c>
      <c r="X24" s="802">
        <f t="shared" si="5"/>
        <v>0.47304000000000002</v>
      </c>
      <c r="Y24" s="399"/>
      <c r="Z24" s="399"/>
      <c r="AA24" s="399"/>
      <c r="AB24" s="400">
        <f>AC24*U24</f>
        <v>1.5642332359249667E-2</v>
      </c>
      <c r="AC24" s="401">
        <f>IF(((D24+I24)*$B$2)&lt;=0,0,((D24+I24)*T24*$B$2))</f>
        <v>3.9264417733931474E-2</v>
      </c>
      <c r="AD24" s="798">
        <v>15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499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211.81988499999997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2.8697698162996939</v>
      </c>
      <c r="AC27" s="382">
        <f>SUM(AC6:AC25)</f>
        <v>2.8492493430955395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4" t="s">
        <v>643</v>
      </c>
      <c r="C28" s="1145"/>
      <c r="D28" s="1145"/>
      <c r="E28" s="1145"/>
      <c r="F28" s="1145"/>
      <c r="G28" s="1146"/>
      <c r="H28" s="1144" t="s">
        <v>644</v>
      </c>
      <c r="I28" s="1145"/>
      <c r="J28" s="1146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796"/>
      <c r="AE28" s="796"/>
      <c r="AF28" s="388"/>
      <c r="AG28" s="796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499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830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31" t="s">
        <v>710</v>
      </c>
      <c r="Z30" s="31" t="s">
        <v>711</v>
      </c>
      <c r="AA30" s="21" t="s">
        <v>832</v>
      </c>
      <c r="AB30" s="27" t="s">
        <v>637</v>
      </c>
      <c r="AC30" s="31" t="s">
        <v>636</v>
      </c>
      <c r="AD30" s="31" t="s">
        <v>833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831</v>
      </c>
      <c r="Q31" s="22" t="s">
        <v>274</v>
      </c>
      <c r="R31" s="22"/>
      <c r="S31" s="29" t="s">
        <v>275</v>
      </c>
      <c r="T31" s="22"/>
      <c r="U31" s="22" t="s">
        <v>391</v>
      </c>
      <c r="V31" s="22" t="s">
        <v>391</v>
      </c>
      <c r="W31" s="28"/>
      <c r="X31" s="28"/>
      <c r="Y31" s="212" t="s">
        <v>391</v>
      </c>
      <c r="Z31" s="28" t="s">
        <v>712</v>
      </c>
      <c r="AA31" s="22"/>
      <c r="AB31" s="28" t="s">
        <v>13</v>
      </c>
      <c r="AC31" s="212" t="s">
        <v>13</v>
      </c>
      <c r="AD31" s="212" t="s">
        <v>834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LEFT(SETUP!B3,1)&amp;"-"&amp;RIGHT(COMM!$O$30,6)&amp;"_"&amp;RIGHT(O33,LEN(O33)-3)&amp;"_"&amp;SETUP!$B$64</f>
        <v>R-WH_Apt_COA_X0</v>
      </c>
      <c r="N33" s="294" t="str">
        <f>COMM!$P$30&amp;" "&amp;COMM!F6&amp;" "&amp;SETUP!$C$64</f>
        <v>Residential Water Heating Apartment Coal to Residential Existing 00</v>
      </c>
      <c r="O33" s="294" t="str">
        <f>COMM!$E$6</f>
        <v>RSDCOA</v>
      </c>
      <c r="P33" s="294"/>
      <c r="Q33" s="294" t="str">
        <f>COMM!$O$30</f>
        <v>RSDWH_Apt</v>
      </c>
      <c r="R33" s="389">
        <f>(E31+E38+E40)/SUM($E$31:$E$49)-($R$51/7)</f>
        <v>3.5291010812410961E-4</v>
      </c>
      <c r="S33" s="390">
        <f>R33*DwellingStocks!$I$28/1000</f>
        <v>7.4753378518186447E-2</v>
      </c>
      <c r="T33" s="444">
        <f>IFERROR((S33*1000)/(E31+E38+E40),0)+1.0376</f>
        <v>1.3503756423355082</v>
      </c>
      <c r="U33" s="804">
        <f t="shared" ref="U33:U38" si="6">U7</f>
        <v>0.59018803418803423</v>
      </c>
      <c r="V33" s="804">
        <f>IFERROR(AB33/S33/X33,0)</f>
        <v>0.42342871317737096</v>
      </c>
      <c r="W33" s="393">
        <v>20</v>
      </c>
      <c r="X33" s="391">
        <f t="shared" ref="X33:X40" si="7">31.536*(AD33/1000)</f>
        <v>9.4608000000000012E-2</v>
      </c>
      <c r="Y33" s="393"/>
      <c r="Z33" s="393"/>
      <c r="AA33" s="393"/>
      <c r="AB33" s="394">
        <f t="shared" ref="AB33:AB40" si="8">AC33*U33</f>
        <v>2.9946011838699049E-3</v>
      </c>
      <c r="AC33" s="394">
        <f>IF(((D31+I31+D38+I38+D40+I40)*$B$2)&lt;=0,0,((D31+I31+D38+I38+D40+I40)*T33*$B$2))</f>
        <v>5.0739781398479239E-3</v>
      </c>
      <c r="AD33" s="393">
        <v>3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9">M33</f>
        <v>R-WH_Apt_COA_X0</v>
      </c>
      <c r="AI33" s="294" t="str">
        <f t="shared" si="9"/>
        <v>Residential Water Heating Apartment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LEFT(SETUP!B3,1)&amp;"-"&amp;RIGHT(COMM!$O$30,6)&amp;"_"&amp;RIGHT(O34,LEN(O34)-3)&amp;"_"&amp;SETUP!$B$64</f>
        <v>R-WH_Apt_BDL_X0</v>
      </c>
      <c r="N34" s="395" t="str">
        <f>COMM!$P$30&amp;" "&amp;COMM!F21&amp;" "&amp;SETUP!$C$64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6">
        <f>E32/SUM($E$31:$E$49)</f>
        <v>2.9815590572310261E-5</v>
      </c>
      <c r="S34" s="397">
        <f>R34*DwellingStocks!$I$28/1000</f>
        <v>6.3155349662338423E-3</v>
      </c>
      <c r="T34" s="398">
        <f>IFERROR((S34*1000)/E32,0)</f>
        <v>1.5788837415584607</v>
      </c>
      <c r="U34" s="805">
        <f t="shared" si="6"/>
        <v>0.9</v>
      </c>
      <c r="V34" s="806">
        <f t="shared" ref="V34:V40" si="10">AB34/S34/X34</f>
        <v>7.5051369863013695E-2</v>
      </c>
      <c r="W34" s="399">
        <v>20</v>
      </c>
      <c r="X34" s="802">
        <f t="shared" si="7"/>
        <v>9.4608000000000012E-2</v>
      </c>
      <c r="Y34" s="399"/>
      <c r="Z34" s="399"/>
      <c r="AA34" s="399"/>
      <c r="AB34" s="400">
        <f t="shared" si="8"/>
        <v>4.484320340634475E-5</v>
      </c>
      <c r="AC34" s="401">
        <f>IF(((D32+I32)*$B$2)&lt;=0,0,((D32+I32)*T34*$B$2))</f>
        <v>4.9825781562605275E-5</v>
      </c>
      <c r="AD34" s="798">
        <v>3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9"/>
        <v>R-WH_Apt_BDL_X0</v>
      </c>
      <c r="AI34" s="26" t="str">
        <f t="shared" si="9"/>
        <v>Residential Water Heating Apartment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LEFT(SETUP!B3,1)&amp;"-"&amp;RIGHT(COMM!$O$30,6)&amp;"_"&amp;RIGHT(O35,LEN(O35)-3)&amp;"_"&amp;SETUP!$B$64</f>
        <v>R-WH_Apt_ETH_X0</v>
      </c>
      <c r="N35" s="294" t="str">
        <f>COMM!$P$30&amp;" "&amp;COMM!F20&amp;" "&amp;SETUP!$C$64</f>
        <v>Residential Water Heating Apartment Ethanol to Residential Existing 00</v>
      </c>
      <c r="O35" s="294" t="str">
        <f>COMM!$E$20</f>
        <v>RSDETH</v>
      </c>
      <c r="P35" s="294"/>
      <c r="Q35" s="294" t="str">
        <f>COMM!$O$30</f>
        <v>RSDWH_Apt</v>
      </c>
      <c r="R35" s="389">
        <f>E33/SUM($E$31:$E$49)</f>
        <v>2.2361692929232695E-5</v>
      </c>
      <c r="S35" s="390">
        <f>R35*DwellingStocks!$I$28/1000</f>
        <v>4.7366512246753822E-3</v>
      </c>
      <c r="T35" s="391">
        <f>IFERROR((S35*1000)/E33,0)</f>
        <v>1.5788837415584609</v>
      </c>
      <c r="U35" s="807">
        <f t="shared" si="6"/>
        <v>0.9</v>
      </c>
      <c r="V35" s="804">
        <f t="shared" si="10"/>
        <v>9.042237442922374E-2</v>
      </c>
      <c r="W35" s="393">
        <v>20</v>
      </c>
      <c r="X35" s="391">
        <f t="shared" si="7"/>
        <v>9.4608000000000012E-2</v>
      </c>
      <c r="Y35" s="393"/>
      <c r="Z35" s="393"/>
      <c r="AA35" s="393"/>
      <c r="AB35" s="394">
        <f t="shared" si="8"/>
        <v>4.0520535498705998E-5</v>
      </c>
      <c r="AC35" s="394">
        <f>IF(((D33+I33)*$B$2)&lt;=0,0,((D33+I33)*T35*$B$2))</f>
        <v>4.5022817220784442E-5</v>
      </c>
      <c r="AD35" s="393">
        <v>3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9"/>
        <v>R-WH_Apt_ETH_X0</v>
      </c>
      <c r="AI35" s="294" t="str">
        <f t="shared" si="9"/>
        <v>Residential Water Heating Apartment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LEFT(SETUP!B3,1)&amp;"-"&amp;RIGHT(COMM!$O$30,6)&amp;"_"&amp;RIGHT(O36,LEN(O36)-3)&amp;"_"&amp;SETUP!$B$64</f>
        <v>R-WH_Apt_LPG_X0</v>
      </c>
      <c r="N36" s="395" t="str">
        <f>COMM!$P$30&amp;" "&amp;COMM!F8&amp;" "&amp;SETUP!$C$64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6">
        <f>(E34+E35)/SUM($E$31:$E$49)-($R$51/7)</f>
        <v>1.2920181534352884E-2</v>
      </c>
      <c r="S36" s="397">
        <f>(R36)*DwellingStocks!$I$28/1000</f>
        <v>2.736751366785751</v>
      </c>
      <c r="T36" s="398">
        <f>IFERROR((S36*1000)/(E34+E35),0)+0.5284</f>
        <v>1.9500890217068836</v>
      </c>
      <c r="U36" s="806">
        <f t="shared" si="6"/>
        <v>0.80677902621722841</v>
      </c>
      <c r="V36" s="806">
        <f t="shared" si="10"/>
        <v>0.12792665468435152</v>
      </c>
      <c r="W36" s="399">
        <v>20</v>
      </c>
      <c r="X36" s="802">
        <f t="shared" si="7"/>
        <v>9.4608000000000012E-2</v>
      </c>
      <c r="Y36" s="399"/>
      <c r="Z36" s="399"/>
      <c r="AA36" s="399"/>
      <c r="AB36" s="400">
        <f t="shared" si="8"/>
        <v>3.3122586919048298E-2</v>
      </c>
      <c r="AC36" s="401">
        <f>IF(((D34+I34+D35+I35)*$B$2)&lt;=0,0,((D34+I34+D35+I35)*T36*$B$2))</f>
        <v>4.1055339619265108E-2</v>
      </c>
      <c r="AD36" s="798">
        <v>3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9"/>
        <v>R-WH_Apt_LPG_X0</v>
      </c>
      <c r="AI36" s="26" t="str">
        <f t="shared" si="9"/>
        <v>Residential Water Heating Apartment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LEFT(SETUP!B3,1)&amp;"-"&amp;RIGHT(COMM!$O$30,6)&amp;"_"&amp;RIGHT(O38,LEN(O38)-3)&amp;"_"&amp;SETUP!$B$64</f>
        <v>R-WH_Apt_ELC_X0</v>
      </c>
      <c r="N37" s="294" t="str">
        <f>COMM!$P$30&amp;" "&amp;COMM!F24&amp;" "&amp;SETUP!$C$64</f>
        <v>Residential Water Heating Apartment Electricity to Residential Existing 00</v>
      </c>
      <c r="O37" s="294" t="str">
        <f>COMM!$E$24</f>
        <v>RSDELC</v>
      </c>
      <c r="P37" s="294"/>
      <c r="Q37" s="294" t="str">
        <f>COMM!$O$30</f>
        <v>RSDWH_Apt</v>
      </c>
      <c r="R37" s="389">
        <f>(ArchetypeDemand!Y50*SUM(E36+E49))/SUM($E$31:$E$49)-($R$51/7)</f>
        <v>0.32466305188125721</v>
      </c>
      <c r="S37" s="390">
        <f>R37*DwellingStocks!$I$28/1000</f>
        <v>68.770090313236921</v>
      </c>
      <c r="T37" s="391">
        <f>IFERROR((S37*1000)/E49,0)-0.67619</f>
        <v>1.1444731979571356</v>
      </c>
      <c r="U37" s="804">
        <f t="shared" si="6"/>
        <v>1</v>
      </c>
      <c r="V37" s="804">
        <f t="shared" si="10"/>
        <v>5.3377456313566309E-2</v>
      </c>
      <c r="W37" s="393">
        <v>20</v>
      </c>
      <c r="X37" s="391">
        <f t="shared" si="7"/>
        <v>9.4608000000000012E-2</v>
      </c>
      <c r="Y37" s="393"/>
      <c r="Z37" s="393"/>
      <c r="AA37" s="393"/>
      <c r="AB37" s="394">
        <f t="shared" si="8"/>
        <v>0.34728444386398838</v>
      </c>
      <c r="AC37" s="394">
        <f>IF(((D49+I49)*$B$2)&lt;=0,0,((D49+I49)*T37*$B$2))</f>
        <v>0.34728444386398838</v>
      </c>
      <c r="AD37" s="393">
        <v>3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9"/>
        <v>R-WH_Apt_ELC_X0</v>
      </c>
      <c r="AI37" s="294" t="str">
        <f t="shared" si="9"/>
        <v>Residential Water Heating Apartment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LEFT(SETUP!B3,1)&amp;"-"&amp;RIGHT(COMM!$O$30,6)&amp;"_"&amp;RIGHT(O38,LEN(O38)-3)&amp;"_"&amp;SETUP!$B$65</f>
        <v>R-WH_Apt_ELC_X1</v>
      </c>
      <c r="N38" s="395" t="str">
        <f>COMM!$P$30&amp;" "&amp;COMM!F24&amp;" "&amp;SETUP!$C$65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6">
        <f>(ArchetypeDemand!Z50*SUM(E36+E49))/SUM($E$31:$E$49)-($R$51/7)</f>
        <v>0.15202631012899503</v>
      </c>
      <c r="S38" s="397">
        <f>R38*DwellingStocks!$I$28/1000</f>
        <v>32.202195528498059</v>
      </c>
      <c r="T38" s="398">
        <f>IFERROR((S38*1000)/E36,0)+0.392</f>
        <v>1.6042951296351338</v>
      </c>
      <c r="U38" s="806">
        <f t="shared" si="6"/>
        <v>3.0701960784313722</v>
      </c>
      <c r="V38" s="806">
        <f t="shared" si="10"/>
        <v>1.4717633763921263</v>
      </c>
      <c r="W38" s="399">
        <v>20</v>
      </c>
      <c r="X38" s="802">
        <f t="shared" si="7"/>
        <v>3.1536000000000002E-2</v>
      </c>
      <c r="Y38" s="399"/>
      <c r="Z38" s="399"/>
      <c r="AA38" s="399"/>
      <c r="AB38" s="400">
        <f t="shared" si="8"/>
        <v>1.4946175630079022</v>
      </c>
      <c r="AC38" s="401">
        <f>IF(((D49+I49)*$B$2)&lt;=0,0,((D49+I49)*T38*$B$2))</f>
        <v>0.4868150192451336</v>
      </c>
      <c r="AD38" s="798">
        <v>1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9"/>
        <v>R-WH_Apt_ELC_X1</v>
      </c>
      <c r="AI38" s="26" t="str">
        <f t="shared" si="9"/>
        <v>Residential Water Heating Apartment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846</v>
      </c>
      <c r="Q39" s="26"/>
      <c r="R39" s="396"/>
      <c r="S39" s="397"/>
      <c r="T39" s="398"/>
      <c r="U39" s="806"/>
      <c r="V39" s="806"/>
      <c r="W39" s="399"/>
      <c r="X39" s="802">
        <f t="shared" si="7"/>
        <v>6.3072000000000003E-2</v>
      </c>
      <c r="Y39" s="399"/>
      <c r="Z39" s="399"/>
      <c r="AA39" s="399">
        <f>AC39/AB38</f>
        <v>0.21072257405249342</v>
      </c>
      <c r="AB39" s="400"/>
      <c r="AC39" s="401">
        <f>RSD_Balance!I22</f>
        <v>0.31494966010108993</v>
      </c>
      <c r="AD39" s="798">
        <v>2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R-WH_Apt_KER_X0</v>
      </c>
      <c r="AI39" s="294" t="str">
        <f>N40</f>
        <v>Residential Water Heating Apartment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LEFT(SETUP!B3,1)&amp;"-"&amp;RIGHT(COMM!$O$30,6)&amp;"_"&amp;RIGHT(O40,LEN(O40)-3)&amp;"_"&amp;SETUP!$B$64</f>
        <v>R-WH_Apt_KER_X0</v>
      </c>
      <c r="N40" s="294" t="str">
        <f>COMM!$P$30&amp;" "&amp;COMM!F10&amp;" "&amp;SETUP!$C$64</f>
        <v>Residential Water Heating Apartment Kerosene to Residential Existing 00</v>
      </c>
      <c r="O40" s="294" t="str">
        <f>COMM!$E$10</f>
        <v>RSDKER</v>
      </c>
      <c r="P40" s="294"/>
      <c r="Q40" s="294" t="str">
        <f>COMM!$O$30</f>
        <v>RSDWH_Apt</v>
      </c>
      <c r="R40" s="389">
        <f>E37/SUM($E$31:$E$49)-($R$51/7)</f>
        <v>2.6940963000981786E-2</v>
      </c>
      <c r="S40" s="390">
        <f>R40*DwellingStocks!$I$28/1000</f>
        <v>5.706631684657216</v>
      </c>
      <c r="T40" s="444">
        <f>IFERROR((S40*1000)/E37,0)-0.1727</f>
        <v>1.3266777416335302</v>
      </c>
      <c r="U40" s="804">
        <f>U14</f>
        <v>0.81016216216216219</v>
      </c>
      <c r="V40" s="804">
        <f t="shared" si="10"/>
        <v>0.11252568167857148</v>
      </c>
      <c r="W40" s="393">
        <v>20</v>
      </c>
      <c r="X40" s="391">
        <f t="shared" si="7"/>
        <v>9.4608000000000012E-2</v>
      </c>
      <c r="Y40" s="393"/>
      <c r="Z40" s="393"/>
      <c r="AA40" s="393"/>
      <c r="AB40" s="394">
        <f t="shared" si="8"/>
        <v>6.075182903123727E-2</v>
      </c>
      <c r="AC40" s="394">
        <f>IF(((D37+I37)*$B$2)&lt;=0,0,((D37+I37)*T40*$B$2))</f>
        <v>7.4987245601673969E-2</v>
      </c>
      <c r="AD40" s="393">
        <v>3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8" t="s">
        <v>254</v>
      </c>
      <c r="M41" s="508" t="s">
        <v>254</v>
      </c>
      <c r="N41" s="402"/>
      <c r="O41" s="402"/>
      <c r="P41" s="402"/>
      <c r="Q41" s="402"/>
      <c r="R41" s="403"/>
      <c r="S41" s="404"/>
      <c r="T41" s="402"/>
      <c r="U41" s="808"/>
      <c r="V41" s="808"/>
      <c r="W41" s="402"/>
      <c r="X41" s="799"/>
      <c r="Y41" s="402"/>
      <c r="Z41" s="402"/>
      <c r="AA41" s="402"/>
      <c r="AB41" s="402"/>
      <c r="AC41" s="402"/>
      <c r="AD41" s="800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R-WH_Apt_GAS_X0</v>
      </c>
      <c r="AI41" s="294" t="str">
        <f>N42</f>
        <v>Residential Water Heating Apartment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LEFT(SETUP!B3,1)&amp;"-"&amp;RIGHT(COMM!$O$30,6)&amp;"_"&amp;MID(O42,4,3)&amp;"_"&amp;SETUP!$B$64</f>
        <v>R-WH_Apt_GAS_X0</v>
      </c>
      <c r="N42" s="294" t="str">
        <f>COMM!$P$30&amp;" "&amp;COMM!F14&amp;" "&amp;SETUP!$C$64</f>
        <v>Residential Water Heating Apartment Natural Gas to Residential Existing 00</v>
      </c>
      <c r="O42" s="294" t="str">
        <f>COMM!$E$14&amp;","&amp;COMM!$E$17</f>
        <v>RSDGAS,RSDBGS</v>
      </c>
      <c r="P42" s="294"/>
      <c r="Q42" s="294" t="str">
        <f>COMM!$O$30</f>
        <v>RSDWH_Apt</v>
      </c>
      <c r="R42" s="389">
        <f>E39/SUM($E$31:$E$49)-($R$51/7)</f>
        <v>0.40480139622151279</v>
      </c>
      <c r="S42" s="390">
        <f>R42*DwellingStocks!$I$28/1000</f>
        <v>85.744985195480268</v>
      </c>
      <c r="T42" s="444">
        <f>IFERROR((S42*1000)/E39,0)-0.66693</f>
        <v>0.90640134911613557</v>
      </c>
      <c r="U42" s="804">
        <f>U16</f>
        <v>0.81026881720430111</v>
      </c>
      <c r="V42" s="804">
        <f>AB42/S42/X42</f>
        <v>6.0645497051149085E-2</v>
      </c>
      <c r="W42" s="393">
        <v>20</v>
      </c>
      <c r="X42" s="391">
        <f t="shared" ref="X42" si="11">31.536*(AD42/1000)</f>
        <v>9.4608000000000012E-2</v>
      </c>
      <c r="Y42" s="393"/>
      <c r="Z42" s="393"/>
      <c r="AA42" s="393"/>
      <c r="AB42" s="394">
        <f>AC42*U42</f>
        <v>0.49196606992746078</v>
      </c>
      <c r="AC42" s="394">
        <f>IF(((D39+I39)*$B$2)&lt;=0,0,((D39+I39)*T42*$B$2))</f>
        <v>0.60716401702944534</v>
      </c>
      <c r="AD42" s="393">
        <v>3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8" t="s">
        <v>254</v>
      </c>
      <c r="M43" s="508" t="s">
        <v>254</v>
      </c>
      <c r="N43" s="402"/>
      <c r="O43" s="402"/>
      <c r="P43" s="402"/>
      <c r="Q43" s="402"/>
      <c r="R43" s="403"/>
      <c r="S43" s="404"/>
      <c r="T43" s="402"/>
      <c r="U43" s="808"/>
      <c r="V43" s="808"/>
      <c r="W43" s="402"/>
      <c r="X43" s="799"/>
      <c r="Y43" s="402"/>
      <c r="Z43" s="402"/>
      <c r="AA43" s="402"/>
      <c r="AB43" s="402"/>
      <c r="AC43" s="402"/>
      <c r="AD43" s="800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R-WH_Apt_PEA_X0</v>
      </c>
      <c r="AI43" s="294" t="str">
        <f>N44</f>
        <v>Residential Water Heating Apartment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LEFT(SETUP!B3,1)&amp;"-"&amp;RIGHT(COMM!$O$30,6)&amp;"_"&amp;RIGHT(O44,LEN(O44)-3)&amp;"_"&amp;SETUP!$B$64</f>
        <v>R-WH_Apt_PEA_X0</v>
      </c>
      <c r="N44" s="294" t="str">
        <f>COMM!$P$30&amp;" "&amp;COMM!F7&amp;" "&amp;SETUP!$C$64</f>
        <v>Residential Water Heating Apartment Peat to Residential Existing 00</v>
      </c>
      <c r="O44" s="294" t="str">
        <f>COMM!$E$7</f>
        <v>RSDPEA</v>
      </c>
      <c r="P44" s="294"/>
      <c r="Q44" s="294" t="str">
        <f>COMM!$O$30</f>
        <v>RSDWH_Apt</v>
      </c>
      <c r="R44" s="389">
        <f>(E41+E42)/SUM($E$31:$E$49)</f>
        <v>9.6900669360008349E-5</v>
      </c>
      <c r="S44" s="390">
        <f>R44*DwellingStocks!$I$28/1000</f>
        <v>2.0525488640259989E-2</v>
      </c>
      <c r="T44" s="391">
        <f>(S44*1000)/(E42+E41)</f>
        <v>1.5788837415584607</v>
      </c>
      <c r="U44" s="804">
        <f>U18</f>
        <v>0.52500000000000002</v>
      </c>
      <c r="V44" s="804">
        <f>AB44/S44/X44</f>
        <v>9.0627195293291177E-2</v>
      </c>
      <c r="W44" s="393">
        <v>20</v>
      </c>
      <c r="X44" s="391">
        <f t="shared" ref="X44" si="12">31.536*(AD44/1000)</f>
        <v>9.4608000000000012E-2</v>
      </c>
      <c r="Y44" s="393"/>
      <c r="Z44" s="393"/>
      <c r="AA44" s="393"/>
      <c r="AB44" s="394">
        <f>AC44*U44</f>
        <v>1.7598672376439533E-4</v>
      </c>
      <c r="AC44" s="394">
        <f>IF(((D41+I41+D42+I42)*$B$2)&lt;=0,0,((D41+I41+D42+I42)*T44*$B$2))</f>
        <v>3.3521280717027679E-4</v>
      </c>
      <c r="AD44" s="393">
        <v>3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8" t="s">
        <v>254</v>
      </c>
      <c r="M45" s="508" t="s">
        <v>254</v>
      </c>
      <c r="N45" s="402"/>
      <c r="O45" s="402"/>
      <c r="P45" s="402"/>
      <c r="Q45" s="402"/>
      <c r="R45" s="403"/>
      <c r="S45" s="404"/>
      <c r="T45" s="402"/>
      <c r="U45" s="808"/>
      <c r="V45" s="808"/>
      <c r="W45" s="402"/>
      <c r="X45" s="799"/>
      <c r="Y45" s="402"/>
      <c r="Z45" s="402"/>
      <c r="AA45" s="402"/>
      <c r="AB45" s="402"/>
      <c r="AC45" s="402"/>
      <c r="AD45" s="800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R-WH_Apt_SMF_X0</v>
      </c>
      <c r="AI45" s="294" t="str">
        <f>N46</f>
        <v>Residential Water Heating Apartment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LEFT(SETUP!B3,1)&amp;"-"&amp;RIGHT(COMM!$O$30,6)&amp;"_"&amp;RIGHT(COMM!E23,LEN(COMM!E23)-3)&amp;"_"&amp;SETUP!B64</f>
        <v>R-WH_Apt_SMF_X0</v>
      </c>
      <c r="N46" s="26" t="str">
        <f>COMM!P30&amp;" "&amp;COMM!F23&amp;" "&amp;SETUP!C64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6">
        <f>E43/SUM($E$31:$E$49)</f>
        <v>2.9070200808002503E-3</v>
      </c>
      <c r="S46" s="397">
        <f>R46*DwellingStocks!$I$28/1000</f>
        <v>0.61576465920779966</v>
      </c>
      <c r="T46" s="398">
        <f>(S46*1000)/E43-0.19617</f>
        <v>1.3827137415584607</v>
      </c>
      <c r="U46" s="805">
        <f>U20</f>
        <v>0.58177777777777773</v>
      </c>
      <c r="V46" s="806">
        <f>SUM(AB46:AB48)/S46/X46</f>
        <v>8.6738193212473141E-2</v>
      </c>
      <c r="W46" s="399">
        <v>20</v>
      </c>
      <c r="X46" s="802">
        <f t="shared" ref="X46" si="13">31.536*(AD46/1000)</f>
        <v>9.4608000000000012E-2</v>
      </c>
      <c r="Y46" s="515">
        <f>RSD_Balance!H2</f>
        <v>0.19400000000000001</v>
      </c>
      <c r="Z46" s="399">
        <v>5</v>
      </c>
      <c r="AA46" s="399"/>
      <c r="AB46" s="400">
        <f>AC46*$U$46</f>
        <v>9.802903391632051E-4</v>
      </c>
      <c r="AC46" s="401">
        <f>IF(((D43+I43)*$B$2)&lt;=0,0,((D43+I43)*T46*$B$2))*Y46</f>
        <v>1.6849910337029881E-3</v>
      </c>
      <c r="AD46" s="798">
        <v>3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 t="shared" ref="AH46:AI48" si="14">M49</f>
        <v>R-WH_Apt_WOO_X0</v>
      </c>
      <c r="AI46" s="26" t="str">
        <f t="shared" si="14"/>
        <v>Residential Water Heating Apartment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807"/>
      <c r="V47" s="804"/>
      <c r="W47" s="393"/>
      <c r="X47" s="391"/>
      <c r="Y47" s="516">
        <f>RSD_Balance!H3</f>
        <v>0.74399999999999999</v>
      </c>
      <c r="Z47" s="393">
        <v>5</v>
      </c>
      <c r="AA47" s="393"/>
      <c r="AB47" s="394">
        <f t="shared" ref="AB47:AB48" si="15">AC47*$U$46</f>
        <v>3.7594639811207452E-3</v>
      </c>
      <c r="AC47" s="394">
        <f>IF(((D43+I43)*$B$2)&lt;=0,0,((D43+I43)*T46*$B$2))*Y47</f>
        <v>6.4620274694588828E-3</v>
      </c>
      <c r="AD47" s="393">
        <v>3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 t="shared" si="14"/>
        <v>R-WH_Apt_HET_X0</v>
      </c>
      <c r="AI47" s="294" t="str">
        <f t="shared" si="14"/>
        <v>Residential Water Heating Apartment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805"/>
      <c r="V48" s="806"/>
      <c r="W48" s="399"/>
      <c r="X48" s="802"/>
      <c r="Y48" s="515">
        <f>RSD_Balance!H4</f>
        <v>6.2E-2</v>
      </c>
      <c r="Z48" s="399">
        <v>5</v>
      </c>
      <c r="AA48" s="399"/>
      <c r="AB48" s="400">
        <f t="shared" si="15"/>
        <v>3.132886650933954E-4</v>
      </c>
      <c r="AC48" s="401">
        <f>IF(((D43+I43)*$B$2)&lt;=0,0,((D43+I43)*T46*$B$2))*Y48</f>
        <v>5.3850228912157353E-4</v>
      </c>
      <c r="AD48" s="798">
        <v>3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si="14"/>
        <v>R-WH_Apt_SOL_X0</v>
      </c>
      <c r="AI48" s="26" t="str">
        <f t="shared" si="14"/>
        <v>Residential Water Heating Apartment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LEFT(SETUP!B3,1)&amp;"-"&amp;RIGHT(COMM!$O$30,6)&amp;"_"&amp;RIGHT(O49,LEN(O49)-3)&amp;"_"&amp;SETUP!B64</f>
        <v>R-WH_Apt_WOO_X0</v>
      </c>
      <c r="N49" s="294" t="str">
        <f>COMM!P30&amp;" "&amp;COMM!F16&amp;" "&amp;SETUP!C64</f>
        <v>Residential Water Heating Apartment Biomass to Residential Existing 00</v>
      </c>
      <c r="O49" s="294" t="str">
        <f>COMM!E16</f>
        <v>RSDWOO</v>
      </c>
      <c r="P49" s="294"/>
      <c r="Q49" s="294" t="str">
        <f>COMM!$O$30</f>
        <v>RSDWH_Apt</v>
      </c>
      <c r="R49" s="389">
        <f>(E47+E44+E45+E46)/SUM($E$31:$E$49)</f>
        <v>1.319339882824729E-3</v>
      </c>
      <c r="S49" s="390">
        <f>R49*DwellingStocks!$I$28/1000</f>
        <v>0.27946242225584755</v>
      </c>
      <c r="T49" s="391">
        <f>(S49*1000)/(E47+E44+E45+E46)+0.1866</f>
        <v>1.765483741558461</v>
      </c>
      <c r="U49" s="804">
        <f>U23</f>
        <v>0.6880451127819549</v>
      </c>
      <c r="V49" s="804">
        <f>AB49/S49/X49</f>
        <v>9.9394310243560213E-2</v>
      </c>
      <c r="W49" s="393">
        <v>20</v>
      </c>
      <c r="X49" s="391">
        <f t="shared" ref="X49:X51" si="16">31.536*(AD49/1000)</f>
        <v>9.4608000000000012E-2</v>
      </c>
      <c r="Y49" s="393"/>
      <c r="Z49" s="393"/>
      <c r="AA49" s="393"/>
      <c r="AB49" s="394">
        <f>AC49*U49</f>
        <v>2.6279240223338282E-3</v>
      </c>
      <c r="AC49" s="394">
        <f>IF(((D44+I44+D45+I45+D46+I46+D47+I47)*$B$2)&lt;=0,0,((D44+I44+D45+I45+D46+I46+D47+I47)*T49*$B$2))</f>
        <v>3.8194065672647703E-3</v>
      </c>
      <c r="AD49" s="393">
        <v>3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45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LEFT(SETUP!B3,1)&amp;"-"&amp;RIGHT(COMM!$O$30,6)&amp;"_"&amp;RIGHT(O50,LEN(O50)-3)&amp;"_"&amp;SETUP!B64</f>
        <v>R-WH_Apt_HET_X0</v>
      </c>
      <c r="N50" s="395" t="str">
        <f>COMM!P30&amp;" "&amp;COMM!F25&amp;" "&amp;SETUP!C64</f>
        <v>Residential Water Heating Apartment Heat to Residential Existing 00</v>
      </c>
      <c r="O50" s="26" t="str">
        <f>COMM!E25</f>
        <v>RSDHET</v>
      </c>
      <c r="P50" s="26"/>
      <c r="Q50" s="26" t="str">
        <f>COMM!$O$30</f>
        <v>RSDWH_Apt</v>
      </c>
      <c r="R50" s="396">
        <f>E48/SUM($E$31:$E$49)-($R$51/7)</f>
        <v>6.3919749208289578E-2</v>
      </c>
      <c r="S50" s="397">
        <f>R50*DwellingStocks!$I$28/1000</f>
        <v>13.539473926528739</v>
      </c>
      <c r="T50" s="398">
        <f>(S50*1000)/E48</f>
        <v>1.5443679624191557</v>
      </c>
      <c r="U50" s="806">
        <f>U24</f>
        <v>0.39838442187649958</v>
      </c>
      <c r="V50" s="806">
        <f>AB50/S50/X50</f>
        <v>3.2373195740855918E-3</v>
      </c>
      <c r="W50" s="399">
        <v>20</v>
      </c>
      <c r="X50" s="802">
        <f t="shared" si="16"/>
        <v>9.4608000000000012E-2</v>
      </c>
      <c r="Y50" s="399"/>
      <c r="Z50" s="399"/>
      <c r="AA50" s="399"/>
      <c r="AB50" s="400">
        <f>AC50*U50</f>
        <v>4.1468203879370868E-3</v>
      </c>
      <c r="AC50" s="401">
        <f>IF(((D48+I48)*$B$2)&lt;=0,0,((D48+I48)*T50*$B$2))</f>
        <v>1.0409092726077061E-2</v>
      </c>
      <c r="AD50" s="798">
        <v>3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LEFT(SETUP!B3,1)&amp;"-"&amp;RIGHT(COMM!$O$30,6)&amp;"_"&amp;RIGHT(O51,LEN(O51)-3)&amp;"_"&amp;SETUP!B64</f>
        <v>R-WH_Apt_SOL_X0</v>
      </c>
      <c r="N51" s="294" t="str">
        <f>COMM!P30&amp;" "&amp;COMM!F15&amp;" "&amp;SETUP!C64</f>
        <v>Residential Water Heating Apartment Solar Thermal to Residential Existing 00</v>
      </c>
      <c r="O51" s="294" t="str">
        <f>COMM!E15</f>
        <v>RSDSOL</v>
      </c>
      <c r="P51" s="294"/>
      <c r="Q51" s="294" t="str">
        <f>COMM!$O$30</f>
        <v>RSDWH_Apt</v>
      </c>
      <c r="R51" s="452">
        <v>0.01</v>
      </c>
      <c r="S51" s="390">
        <f>R51*DwellingStocks!$I$28/1000</f>
        <v>2.1181988499999997</v>
      </c>
      <c r="T51" s="391">
        <f>MAX(T33:T50)</f>
        <v>1.9500890217068836</v>
      </c>
      <c r="U51" s="804">
        <v>1</v>
      </c>
      <c r="V51" s="804">
        <f>AB51/S51/X51</f>
        <v>0.1397656556271597</v>
      </c>
      <c r="W51" s="393">
        <v>20</v>
      </c>
      <c r="X51" s="391">
        <f t="shared" si="16"/>
        <v>9.4608000000000012E-2</v>
      </c>
      <c r="Y51" s="393"/>
      <c r="Z51" s="393"/>
      <c r="AA51" s="393"/>
      <c r="AB51" s="394">
        <f>AC51*U51</f>
        <v>2.8008835678000416E-2</v>
      </c>
      <c r="AC51" s="394">
        <f>RSD_Balance!I18</f>
        <v>2.8008835678000416E-2</v>
      </c>
      <c r="AD51" s="393">
        <v>3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27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2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211.81988499999994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2.4708350674698245</v>
      </c>
      <c r="AC54" s="382">
        <f>SUM(AC31:AC52)</f>
        <v>1.9286826207700236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647</v>
      </c>
      <c r="N56" s="49"/>
      <c r="O56" s="53"/>
      <c r="P56" s="53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830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31" t="s">
        <v>710</v>
      </c>
      <c r="Z57" s="31" t="s">
        <v>711</v>
      </c>
      <c r="AA57" s="21" t="s">
        <v>832</v>
      </c>
      <c r="AB57" s="27" t="s">
        <v>637</v>
      </c>
      <c r="AC57" s="31" t="s">
        <v>636</v>
      </c>
      <c r="AD57" s="31" t="s">
        <v>833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831</v>
      </c>
      <c r="Q58" s="22" t="s">
        <v>274</v>
      </c>
      <c r="R58" s="22"/>
      <c r="S58" s="29" t="s">
        <v>275</v>
      </c>
      <c r="T58" s="22"/>
      <c r="U58" s="22" t="s">
        <v>391</v>
      </c>
      <c r="V58" s="22" t="s">
        <v>391</v>
      </c>
      <c r="W58" s="28"/>
      <c r="X58" s="28"/>
      <c r="Y58" s="212" t="s">
        <v>391</v>
      </c>
      <c r="Z58" s="28" t="s">
        <v>712</v>
      </c>
      <c r="AA58" s="22"/>
      <c r="AB58" s="28" t="s">
        <v>13</v>
      </c>
      <c r="AC58" s="212" t="s">
        <v>13</v>
      </c>
      <c r="AD58" s="212" t="s">
        <v>837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R-LT_Apt_X0</v>
      </c>
      <c r="AI58" s="294" t="str">
        <f>N59</f>
        <v>Residential Lighting Apartment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LEFT(SETUP!B3,1)&amp;"-"&amp;RIGHT(COMM!$O$33,6)&amp;"_"&amp;SETUP!B64</f>
        <v>R-LT_Apt_X0</v>
      </c>
      <c r="N59" s="294" t="str">
        <f>COMM!$P$33&amp;" "&amp;SETUP!$C$64</f>
        <v>Residential Lighting Apartment Existing 00</v>
      </c>
      <c r="O59" s="294" t="str">
        <f>COMM!E24</f>
        <v>RSDELC</v>
      </c>
      <c r="P59" s="294"/>
      <c r="Q59" s="294" t="str">
        <f>COMM!$O$33</f>
        <v>RSDLT_Apt</v>
      </c>
      <c r="R59" s="294">
        <v>1</v>
      </c>
      <c r="S59" s="391">
        <f>DwellingStocks!I28/1000</f>
        <v>211.81988499999997</v>
      </c>
      <c r="T59" s="294">
        <f>(S59*1000)/SUM(G54:G62)-0.1837</f>
        <v>1.3876991038376223</v>
      </c>
      <c r="U59" s="804">
        <v>0.4</v>
      </c>
      <c r="V59" s="804">
        <f t="shared" ref="V59" si="17">AB59/S59/X59</f>
        <v>0.21098594733224113</v>
      </c>
      <c r="W59" s="393">
        <v>10</v>
      </c>
      <c r="X59" s="392">
        <f>31.536*(AD59/1000)</f>
        <v>3.0747599999999997E-3</v>
      </c>
      <c r="Y59" s="393"/>
      <c r="Z59" s="393"/>
      <c r="AA59" s="393"/>
      <c r="AB59" s="990">
        <f>AC59*U59</f>
        <v>0.1374141578895498</v>
      </c>
      <c r="AC59" s="394">
        <f>((D54+D55+D56+D57+D58+D59+D60+D61+D62)*T59*$B$2)</f>
        <v>0.34353539472387451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R-PF_Apt_X0</v>
      </c>
      <c r="AI59" s="395" t="str">
        <f>N60</f>
        <v>Residential Pumps &amp; Fans Apartment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LEFT(SETUP!B3,1)&amp;"-"&amp;RIGHT(COMM!$O$36,6)&amp;"_"&amp;SETUP!$B$64</f>
        <v>R-PF_Apt_X0</v>
      </c>
      <c r="N60" s="395" t="str">
        <f>COMM!$P$36&amp;" "&amp;SETUP!$C$64</f>
        <v>Residential Pumps &amp; Fans Apartment Existing 00</v>
      </c>
      <c r="O60" s="395" t="str">
        <f>COMM!E24</f>
        <v>RSDELC</v>
      </c>
      <c r="P60" s="395"/>
      <c r="Q60" s="395" t="str">
        <f>COMM!$O$36</f>
        <v>RSDPF_Apt</v>
      </c>
      <c r="R60" s="395">
        <v>1</v>
      </c>
      <c r="S60" s="810">
        <f>DwellingStocks!I28/1000</f>
        <v>211.81988499999997</v>
      </c>
      <c r="T60" s="395">
        <f>(S60*1000)/SUM(G54:G62)-0.1837</f>
        <v>1.3876991038376223</v>
      </c>
      <c r="U60" s="811">
        <v>0.6</v>
      </c>
      <c r="V60" s="811">
        <f>AB60/S60/X60</f>
        <v>0.12716586319930656</v>
      </c>
      <c r="W60" s="812">
        <v>15</v>
      </c>
      <c r="X60" s="813">
        <f t="shared" ref="X60" si="18">31.536*(AD60/1000)</f>
        <v>1.5768000000000002E-3</v>
      </c>
      <c r="Y60" s="812"/>
      <c r="Z60" s="812"/>
      <c r="AA60" s="812"/>
      <c r="AB60" s="814">
        <f>AC60*U60</f>
        <v>4.2473092432448331E-2</v>
      </c>
      <c r="AC60" s="401">
        <f>(F54+F55+F56+F57+F58+F59+F60+F61+F62)*T60*$B$2</f>
        <v>7.078848738741389E-2</v>
      </c>
      <c r="AD60" s="797">
        <v>0.05</v>
      </c>
      <c r="AE60" s="261"/>
    </row>
    <row r="61" spans="1:43">
      <c r="B61" s="299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525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E24" zoomScale="60" zoomScaleNormal="60" workbookViewId="0">
      <selection activeCell="N68" sqref="N68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27.85546875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7" width="11.42578125" style="48" customWidth="1"/>
    <col min="28" max="30" width="23.28515625" style="48" customWidth="1"/>
    <col min="31" max="31" width="19.42578125" style="48" customWidth="1"/>
    <col min="32" max="32" width="7.85546875" style="48" customWidth="1"/>
    <col min="33" max="33" width="10.7109375" style="48" bestFit="1" customWidth="1"/>
    <col min="34" max="34" width="22.140625" style="48" bestFit="1" customWidth="1"/>
    <col min="35" max="35" width="85.42578125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648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771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501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501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4" t="s">
        <v>643</v>
      </c>
      <c r="C4" s="1145"/>
      <c r="D4" s="1145"/>
      <c r="E4" s="1145"/>
      <c r="F4" s="1145"/>
      <c r="G4" s="1146"/>
      <c r="H4" s="1144" t="s">
        <v>644</v>
      </c>
      <c r="I4" s="1145"/>
      <c r="J4" s="1146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830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832</v>
      </c>
      <c r="AB4" s="27" t="s">
        <v>637</v>
      </c>
      <c r="AC4" s="31" t="s">
        <v>636</v>
      </c>
      <c r="AD4" s="31" t="s">
        <v>833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831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835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834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LEFT(SETUP!$B$3,1)&amp;"-"&amp;SETUP!$B$50&amp;"_"&amp;RIGHT(COMM!$O$31,3)&amp;"_"&amp;RIGHT(O7,LEN(O7)-3)&amp;"_"&amp;SETUP!$B$64</f>
        <v>R-SH_Att_COA_X0</v>
      </c>
      <c r="N7" s="294" t="str">
        <f>COMM!$P$25&amp;" "&amp;COMM!F6&amp;" "&amp;SETUP!$C$64</f>
        <v>Residential Space Heating Attached Coal to Residential Existing 00</v>
      </c>
      <c r="O7" s="294" t="str">
        <f>COMM!$E$6</f>
        <v>RSDCOA</v>
      </c>
      <c r="P7" s="294"/>
      <c r="Q7" s="294" t="str">
        <f>COMM!O10&amp;","&amp;COMM!O13&amp;","&amp;COMM!O16&amp;","&amp;COMM!O19&amp;","&amp;COMM!O22&amp;","&amp;COMM!O25</f>
        <v>RSDSH_Att-AB,RSDSH_Att-C,RSDSH_Att-D,RSDSH_Att-E,RSDSH_Att-F,RSDSH_Att-G</v>
      </c>
      <c r="R7" s="389">
        <f>(E7+E14+E16)/SUM($E$7:$E$25)</f>
        <v>1.6565651697171984E-2</v>
      </c>
      <c r="S7" s="390">
        <f>R7*DwellingStocks!$J$28/1000</f>
        <v>13.054805682915012</v>
      </c>
      <c r="T7" s="444">
        <f>(S7*1000)/(E7+E14+E16)*DwellingStocks!$S$27+1.0376</f>
        <v>2.4016554957912319</v>
      </c>
      <c r="U7" s="804">
        <f>(G7+G14+G16)/300</f>
        <v>0.55798087905732663</v>
      </c>
      <c r="V7" s="804">
        <f>AB7/S7/X7</f>
        <v>0.30984484845142629</v>
      </c>
      <c r="W7" s="393">
        <v>20</v>
      </c>
      <c r="X7" s="391">
        <f>31.536*(AD7/1000)</f>
        <v>0.63072000000000006</v>
      </c>
      <c r="Y7" s="393"/>
      <c r="Z7" s="393"/>
      <c r="AA7" s="393"/>
      <c r="AB7" s="394">
        <f>AC7*U7</f>
        <v>2.5512398759705786</v>
      </c>
      <c r="AC7" s="394">
        <f>IF(((D7+I7+D14+I14+D16+I16)*$B$2)&lt;=0,0,((D7+I7+D14+I14+D16+I16)*T7*$B$2))</f>
        <v>4.5722711507260554</v>
      </c>
      <c r="AD7" s="393">
        <v>20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R-SH_Att_COA_X0</v>
      </c>
      <c r="AI7" s="294" t="str">
        <f t="shared" si="0"/>
        <v>Residential Space Heating Attached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SUMIFS(INDEX(Table716[],,MATCH($C$6,Table716[#Headers],0)),Table716[MainSpaceHeatingFuel],B8)</f>
        <v>16672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LEFT(SETUP!$B$3,1)&amp;"-"&amp;SETUP!$B$50&amp;"_"&amp;RIGHT(COMM!$O$31,3)&amp;"_"&amp;RIGHT(O8,LEN(O8)-3)&amp;"_"&amp;SETUP!$B$64</f>
        <v>R-SH_Att_BDL_X0</v>
      </c>
      <c r="N8" s="26" t="str">
        <f>COMM!$P$25&amp;" "&amp;COMM!F21&amp;" "&amp;SETUP!$C$64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6">
        <f>E8/SUM($E$7:$E$25)</f>
        <v>2.4098998686604574E-6</v>
      </c>
      <c r="S8" s="397">
        <f>R8*DwellingStocks!$J$28/1000</f>
        <v>1.8991570676338393E-3</v>
      </c>
      <c r="T8" s="398">
        <f>(S8*1000)/E8*DwellingStocks!$S$27</f>
        <v>1.3640554957912319</v>
      </c>
      <c r="U8" s="806">
        <f>(G8)/100</f>
        <v>1</v>
      </c>
      <c r="V8" s="806">
        <f>AB8/S8/X8</f>
        <v>2.5314771738512397E-2</v>
      </c>
      <c r="W8" s="399">
        <v>20</v>
      </c>
      <c r="X8" s="802">
        <f t="shared" ref="X8:X13" si="1">31.536*(AD8/1000)</f>
        <v>0.63072000000000006</v>
      </c>
      <c r="Y8" s="399"/>
      <c r="Z8" s="399"/>
      <c r="AA8" s="399"/>
      <c r="AB8" s="400">
        <f>AC8*U8</f>
        <v>3.0322953671439083E-5</v>
      </c>
      <c r="AC8" s="401">
        <f>IF(((D8+I8)*$B$2)&lt;=0,0,((D8+I8)*T8*$B$2))</f>
        <v>3.0322953671439083E-5</v>
      </c>
      <c r="AD8" s="798">
        <v>20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R-SH_Att_BDL_X0</v>
      </c>
      <c r="AI8" s="26" t="str">
        <f t="shared" si="0"/>
        <v>Residential Space Heating Attached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LEFT(SETUP!$B$3,1)&amp;"-"&amp;SETUP!$B$50&amp;"_"&amp;RIGHT(COMM!$O$31,3)&amp;"_"&amp;RIGHT(O9,LEN(O9)-3)&amp;"_"&amp;SETUP!$B$64</f>
        <v>R-SH_Att_ETH_X0</v>
      </c>
      <c r="N9" s="294" t="str">
        <f>COMM!P25&amp;" "&amp;COMM!F20&amp;" "&amp;SETUP!C64</f>
        <v>Residential Space Heating Attached Ethanol to Residential Existing 00</v>
      </c>
      <c r="O9" s="294" t="str">
        <f>COMM!$E$20</f>
        <v>RSDETH</v>
      </c>
      <c r="P9" s="294"/>
      <c r="Q9" s="294" t="str">
        <f>COMM!O10&amp;","&amp;COMM!O13&amp;","&amp;COMM!O16&amp;","&amp;COMM!O19&amp;","&amp;COMM!O22&amp;","&amp;COMM!O25</f>
        <v>RSDSH_Att-AB,RSDSH_Att-C,RSDSH_Att-D,RSDSH_Att-E,RSDSH_Att-F,RSDSH_Att-G</v>
      </c>
      <c r="R9" s="389">
        <f>E9/SUM($E$7:$E$25)</f>
        <v>0</v>
      </c>
      <c r="S9" s="390">
        <f>R9*DwellingStocks!$J$28/1000</f>
        <v>0</v>
      </c>
      <c r="T9" s="391">
        <f>IFERROR((S9*1000)/E9*DwellingStocks!$S$27,0)</f>
        <v>0</v>
      </c>
      <c r="U9" s="807">
        <v>0.9</v>
      </c>
      <c r="V9" s="804">
        <f>IFERROR(AB9/S9/X9,0)</f>
        <v>0</v>
      </c>
      <c r="W9" s="393">
        <v>20</v>
      </c>
      <c r="X9" s="391">
        <f t="shared" si="1"/>
        <v>0.63072000000000006</v>
      </c>
      <c r="Y9" s="393"/>
      <c r="Z9" s="393"/>
      <c r="AA9" s="393"/>
      <c r="AB9" s="394">
        <f>IFERROR(AC9*U9,0)</f>
        <v>0</v>
      </c>
      <c r="AC9" s="394">
        <f>IF(((D9+I9)*$B$2)&lt;=0,0,((D9+I9)*T9*$B$2))</f>
        <v>0</v>
      </c>
      <c r="AD9" s="393">
        <v>20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R-SH_Att_ETH_X0</v>
      </c>
      <c r="AI9" s="294" t="str">
        <f t="shared" si="0"/>
        <v>Residential Space Heating Attached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LEFT(SETUP!$B$3,1)&amp;"-"&amp;SETUP!$B$50&amp;"_"&amp;RIGHT(COMM!$O$31,3)&amp;"_"&amp;RIGHT(O10,LEN(O10)-3)&amp;"_"&amp;SETUP!$B$64</f>
        <v>R-SH_Att_LPG_X0</v>
      </c>
      <c r="N10" s="26" t="str">
        <f>COMM!P25&amp;" "&amp;COMM!F8&amp;" "&amp;SETUP!C64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6">
        <f>(E10+E11)/SUM($E$7:$E$25)</f>
        <v>1.1165066091503898E-2</v>
      </c>
      <c r="S10" s="397">
        <f>(R10)*DwellingStocks!$J$28/1000</f>
        <v>8.7987946943475777</v>
      </c>
      <c r="T10" s="398">
        <f>(S10*1000)/(E10+E11)*DwellingStocks!$S$27+0.5284</f>
        <v>1.8924554957912318</v>
      </c>
      <c r="U10" s="806">
        <f>(G10+G11)/200</f>
        <v>0.8070757743362833</v>
      </c>
      <c r="V10" s="806">
        <f t="shared" ref="V10:V12" si="2">AB10/S10/X10</f>
        <v>4.8109166237074036E-2</v>
      </c>
      <c r="W10" s="399">
        <v>20</v>
      </c>
      <c r="X10" s="802">
        <f t="shared" si="1"/>
        <v>0.63072000000000006</v>
      </c>
      <c r="Y10" s="399"/>
      <c r="Z10" s="399"/>
      <c r="AA10" s="399"/>
      <c r="AB10" s="400">
        <f>AC10*U10</f>
        <v>0.26698546420801728</v>
      </c>
      <c r="AC10" s="401">
        <f>IF(((D10+I10+D11+I11)*T10*$B$2)&lt;=0,0,((D10+I10+D11+I11)*T10*$B$2))</f>
        <v>0.33080594499020705</v>
      </c>
      <c r="AD10" s="798">
        <v>20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R-SH_Att_LPG_X0</v>
      </c>
      <c r="AI10" s="26" t="str">
        <f t="shared" si="0"/>
        <v>Residential Space Heating Attached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LEFT(SETUP!$B$3,1)&amp;"-"&amp;SETUP!$B$50&amp;"_"&amp;RIGHT(COMM!$O$31,3)&amp;"_"&amp;RIGHT(O11,LEN(O11)-3)&amp;"_"&amp;SETUP!$B$64</f>
        <v>R-SH_Att_ELC_X0</v>
      </c>
      <c r="N11" s="294" t="str">
        <f>COMM!P25&amp;" "&amp;COMM!F24&amp;" "&amp;SETUP!C64</f>
        <v>Residential Space Heating Attached Electricity to Residential Existing 00</v>
      </c>
      <c r="O11" s="294" t="str">
        <f>COMM!$E$24</f>
        <v>RSDELC</v>
      </c>
      <c r="P11" s="294"/>
      <c r="Q11" s="294" t="str">
        <f>COMM!O10&amp;","&amp;COMM!O13&amp;","&amp;COMM!O16&amp;","&amp;COMM!O19&amp;","&amp;COMM!O22&amp;","&amp;COMM!O25</f>
        <v>RSDSH_Att-AB,RSDSH_Att-C,RSDSH_Att-D,RSDSH_Att-E,RSDSH_Att-F,RSDSH_Att-G</v>
      </c>
      <c r="R11" s="389">
        <f>(ArchetypeDemand!Y51*SUM(E12+E25))/SUM($E$7:$E$25)</f>
        <v>5.4427347543709564E-2</v>
      </c>
      <c r="S11" s="390">
        <f>(R11)*DwellingStocks!$J$28/1000</f>
        <v>42.892272456803504</v>
      </c>
      <c r="T11" s="391">
        <f>(S11*1000)/(E25)*DwellingStocks!$S$27-0.67619</f>
        <v>1.7409976788462451</v>
      </c>
      <c r="U11" s="804">
        <f>(G25)/100</f>
        <v>1</v>
      </c>
      <c r="V11" s="804">
        <f t="shared" si="2"/>
        <v>3.5156391297092457E-2</v>
      </c>
      <c r="W11" s="393">
        <v>20</v>
      </c>
      <c r="X11" s="391">
        <f t="shared" si="1"/>
        <v>0.63072000000000006</v>
      </c>
      <c r="Y11" s="393"/>
      <c r="Z11" s="393"/>
      <c r="AA11" s="393"/>
      <c r="AB11" s="394">
        <f>AC11*U11</f>
        <v>0.95108634890127908</v>
      </c>
      <c r="AC11" s="394">
        <f>IF(((D25+I25)*T11*$B$2)&lt;=0,0,((D25+I25)*T11*$B$2))</f>
        <v>0.95108634890127908</v>
      </c>
      <c r="AD11" s="393">
        <v>20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R-SH_Att_ELC_X0</v>
      </c>
      <c r="AI11" s="294" t="str">
        <f t="shared" si="0"/>
        <v>Residential Space Heating Attached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LEFT(SETUP!$B$3,1)&amp;"-"&amp;SETUP!$B$50&amp;"_"&amp;RIGHT(COMM!$O$31,3)&amp;"_"&amp;RIGHT(O12,LEN(O12)-3)&amp;"_"&amp;SETUP!$B$65</f>
        <v>R-SH_Att_ELC_X1</v>
      </c>
      <c r="N12" s="26" t="str">
        <f>COMM!P25&amp;" "&amp;COMM!F24&amp;" "&amp;SETUP!C65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6">
        <f>(ArchetypeDemand!Z51*SUM(E12+E25))/SUM($E$7:$E$25)</f>
        <v>2.9307033292766682E-2</v>
      </c>
      <c r="S12" s="397">
        <f>R12*DwellingStocks!$J$28/1000</f>
        <v>23.095839015201879</v>
      </c>
      <c r="T12" s="398">
        <f>(S12*1000)/E12*DwellingStocks!$S$27+0.392</f>
        <v>1.1459846047846347</v>
      </c>
      <c r="U12" s="806">
        <f>G12/100</f>
        <v>3.1157627118644071</v>
      </c>
      <c r="V12" s="806">
        <f t="shared" si="2"/>
        <v>0.11404303534564036</v>
      </c>
      <c r="W12" s="399">
        <v>20</v>
      </c>
      <c r="X12" s="802">
        <f t="shared" si="1"/>
        <v>0.220752</v>
      </c>
      <c r="Y12" s="399"/>
      <c r="Z12" s="399"/>
      <c r="AA12" s="399"/>
      <c r="AB12" s="400">
        <f>AC12*U12</f>
        <v>0.58144301626056649</v>
      </c>
      <c r="AC12" s="401">
        <f>IF(((D12+I12)*T12*$B$2)&lt;=0,0,((D12+I12)*T12*$B$2))</f>
        <v>0.18661338170795527</v>
      </c>
      <c r="AD12" s="798">
        <v>7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R-SH_Att_ELC_X1</v>
      </c>
      <c r="AI12" s="26" t="str">
        <f t="shared" si="0"/>
        <v>Residential Space Heating Attached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809"/>
      <c r="V13" s="809"/>
      <c r="X13" s="803">
        <f t="shared" si="1"/>
        <v>0.409968</v>
      </c>
      <c r="AA13" s="852">
        <f>AC13/AB12</f>
        <v>0.17937902446518994</v>
      </c>
      <c r="AC13" s="795">
        <f>RSD_Balance!G22</f>
        <v>0.10429868103891798</v>
      </c>
      <c r="AD13" s="795">
        <v>13</v>
      </c>
      <c r="AE13" s="261"/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LEFT(SETUP!$B$3,1)&amp;"-"&amp;SETUP!$B$50&amp;"_"&amp;RIGHT(COMM!$O$31,3)&amp;"_"&amp;RIGHT(O14,LEN(O14)-3)&amp;"_"&amp;SETUP!$B$64</f>
        <v>R-SH_Att_KER_X0</v>
      </c>
      <c r="N14" s="294" t="str">
        <f>COMM!P25&amp;" "&amp;COMM!F10&amp;" "&amp;SETUP!C64</f>
        <v>Residential Space Heating Attached Kerosene to Residential Existing 00</v>
      </c>
      <c r="O14" s="294" t="str">
        <f>COMM!$E$10</f>
        <v>RSDKER</v>
      </c>
      <c r="P14" s="294"/>
      <c r="Q14" s="294" t="str">
        <f>COMM!O10&amp;","&amp;COMM!O13&amp;","&amp;COMM!O16&amp;","&amp;COMM!O19&amp;","&amp;COMM!O22&amp;","&amp;COMM!O25</f>
        <v>RSDSH_Att-AB,RSDSH_Att-C,RSDSH_Att-D,RSDSH_Att-E,RSDSH_Att-F,RSDSH_Att-G</v>
      </c>
      <c r="R14" s="389">
        <f>E13/SUM($E$7:$E$25)</f>
        <v>0.29959152197226208</v>
      </c>
      <c r="S14" s="390">
        <f>R14*DwellingStocks!$J$28/1000</f>
        <v>236.09750917703602</v>
      </c>
      <c r="T14" s="391">
        <f>(S14*1000)/E13*DwellingStocks!$S$27+0.16818</f>
        <v>1.5322354957912319</v>
      </c>
      <c r="U14" s="804">
        <f>G13/100</f>
        <v>0.81941558441558437</v>
      </c>
      <c r="V14" s="804">
        <f>AB14/S14/X14</f>
        <v>4.3705701165065197E-2</v>
      </c>
      <c r="W14" s="393">
        <v>20</v>
      </c>
      <c r="X14" s="391">
        <f>31.536*(AD14/1000)</f>
        <v>0.63072000000000006</v>
      </c>
      <c r="Y14" s="393"/>
      <c r="Z14" s="393"/>
      <c r="AA14" s="393"/>
      <c r="AB14" s="394">
        <f>AC14*U14</f>
        <v>6.5082780657728714</v>
      </c>
      <c r="AC14" s="394">
        <f>IF(((D13+I13)*$B$2)&lt;=0,0,((D13+I13)*T14*$B$2))</f>
        <v>7.9425851662494829</v>
      </c>
      <c r="AD14" s="393">
        <v>20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R-SH_Att_KER_X0</v>
      </c>
      <c r="AI14" s="294" t="str">
        <f>N14</f>
        <v>Residential Space Heating Attached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8" t="s">
        <v>254</v>
      </c>
      <c r="M15" s="508" t="s">
        <v>254</v>
      </c>
      <c r="N15" s="402"/>
      <c r="O15" s="402"/>
      <c r="P15" s="402"/>
      <c r="Q15" s="402"/>
      <c r="R15" s="403"/>
      <c r="S15" s="404"/>
      <c r="T15" s="402"/>
      <c r="U15" s="808"/>
      <c r="V15" s="808"/>
      <c r="W15" s="402"/>
      <c r="X15" s="799"/>
      <c r="Y15" s="402"/>
      <c r="Z15" s="402"/>
      <c r="AA15" s="402"/>
      <c r="AB15" s="402"/>
      <c r="AC15" s="402"/>
      <c r="AD15" s="800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LEFT(SETUP!$B$3,1)&amp;"-"&amp;SETUP!$B$50&amp;"_"&amp;RIGHT(COMM!$O$31,3)&amp;"_"&amp;MID(O16,4,3)&amp;"_"&amp;SETUP!$B$64</f>
        <v>R-SH_Att_GAS_X0</v>
      </c>
      <c r="N16" s="294" t="str">
        <f>COMM!P25&amp;" "&amp;COMM!F14&amp;" "&amp;SETUP!C64</f>
        <v>Residential Space Heating Attached Natural Gas to Residential Existing 00</v>
      </c>
      <c r="O16" s="294" t="str">
        <f>COMM!$E$14&amp;","&amp;COMM!$E$17</f>
        <v>RSDGAS,RSDBGS</v>
      </c>
      <c r="P16" s="294"/>
      <c r="Q16" s="294" t="str">
        <f>COMM!O10&amp;","&amp;COMM!O13&amp;","&amp;COMM!O16&amp;","&amp;COMM!O19&amp;","&amp;COMM!O22&amp;","&amp;COMM!O25</f>
        <v>RSDSH_Att-AB,RSDSH_Att-C,RSDSH_Att-D,RSDSH_Att-E,RSDSH_Att-F,RSDSH_Att-G</v>
      </c>
      <c r="R16" s="389">
        <f>E15/SUM($E$7:$E$25)</f>
        <v>0.54312877299948192</v>
      </c>
      <c r="S16" s="390">
        <f>R16*DwellingStocks!$J$28/1000</f>
        <v>428.02062496090895</v>
      </c>
      <c r="T16" s="391">
        <f>(S16*1000)/E15*DwellingStocks!$S$27</f>
        <v>1.3640554957912319</v>
      </c>
      <c r="U16" s="804">
        <f>G15/100</f>
        <v>0.81729411764705884</v>
      </c>
      <c r="V16" s="804">
        <f>AB16/S16/X16</f>
        <v>3.596455768453613E-2</v>
      </c>
      <c r="W16" s="393">
        <v>20</v>
      </c>
      <c r="X16" s="391">
        <f>31.536*(AD16/1000)</f>
        <v>0.63072000000000006</v>
      </c>
      <c r="Y16" s="393"/>
      <c r="Z16" s="393"/>
      <c r="AA16" s="393"/>
      <c r="AB16" s="394">
        <f>AC16*U16</f>
        <v>9.7090340198127603</v>
      </c>
      <c r="AC16" s="394">
        <f>IF(((D15+I15)*$B$2)&lt;=0,0,((D15+I15)*T16*$B$2))</f>
        <v>11.879485989406717</v>
      </c>
      <c r="AD16" s="393">
        <v>20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R-SH_Att_GAS_X0</v>
      </c>
      <c r="AI16" s="294" t="str">
        <f>N16</f>
        <v>Residential Space Heating Attached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8" t="s">
        <v>254</v>
      </c>
      <c r="M17" s="508" t="s">
        <v>254</v>
      </c>
      <c r="N17" s="402"/>
      <c r="O17" s="402"/>
      <c r="P17" s="402"/>
      <c r="Q17" s="402"/>
      <c r="R17" s="403"/>
      <c r="S17" s="404"/>
      <c r="T17" s="402"/>
      <c r="U17" s="808"/>
      <c r="V17" s="808"/>
      <c r="W17" s="402"/>
      <c r="X17" s="799"/>
      <c r="Y17" s="402"/>
      <c r="Z17" s="402"/>
      <c r="AA17" s="402"/>
      <c r="AB17" s="402"/>
      <c r="AC17" s="402"/>
      <c r="AD17" s="800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LEFT(SETUP!$B$3,1)&amp;"-"&amp;SETUP!$B$50&amp;"_"&amp;RIGHT(COMM!$O$31,3)&amp;"_"&amp;RIGHT(O18,LEN(O18)-3)&amp;"_"&amp;SETUP!$B$64</f>
        <v>R-SH_Att_PEA_X0</v>
      </c>
      <c r="N18" s="294" t="str">
        <f>COMM!P25&amp;" "&amp;COMM!F7&amp;" "&amp;SETUP!C64</f>
        <v>Residential Space Heating Attached Peat to Residential Existing 00</v>
      </c>
      <c r="O18" s="294" t="str">
        <f>COMM!E7</f>
        <v>RSDPEA</v>
      </c>
      <c r="P18" s="294"/>
      <c r="Q18" s="294" t="str">
        <f>COMM!O10&amp;","&amp;COMM!O13&amp;","&amp;COMM!O16&amp;","&amp;COMM!O19&amp;","&amp;COMM!O22&amp;","&amp;COMM!O25</f>
        <v>RSDSH_Att-AB,RSDSH_Att-C,RSDSH_Att-D,RSDSH_Att-E,RSDSH_Att-F,RSDSH_Att-G</v>
      </c>
      <c r="R18" s="389">
        <f>(E17+E18)/SUM($E$7:$E$25)</f>
        <v>1.4917280187008229E-3</v>
      </c>
      <c r="S18" s="390">
        <f>R18*DwellingStocks!$J$28/1000</f>
        <v>1.1755782248653466</v>
      </c>
      <c r="T18" s="391">
        <f>(S18*1000)/(E17+E18)*DwellingStocks!$S$27</f>
        <v>1.3640554957912319</v>
      </c>
      <c r="U18" s="804">
        <f>(G17+G18)/200</f>
        <v>0.5509294871794872</v>
      </c>
      <c r="V18" s="804">
        <f>AB18/S18/X18</f>
        <v>7.2779078841739273E-2</v>
      </c>
      <c r="W18" s="393">
        <v>20</v>
      </c>
      <c r="X18" s="391">
        <f>31.536*(AD18/1000)</f>
        <v>0.63072000000000006</v>
      </c>
      <c r="Y18" s="393"/>
      <c r="Z18" s="393"/>
      <c r="AA18" s="393"/>
      <c r="AB18" s="394">
        <f>AC18*U18</f>
        <v>5.3962826596852108E-2</v>
      </c>
      <c r="AC18" s="394">
        <f>IF(((D17+I17)+D18+I18*$B$2)&lt;=0,0,((D17+I17+D18+I18)*T18*$B$2))</f>
        <v>9.7948699157704683E-2</v>
      </c>
      <c r="AD18" s="393">
        <v>20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R-SH_Att_PEA_X0</v>
      </c>
      <c r="AI18" s="294" t="str">
        <f>N18</f>
        <v>Residential Space Heating Attached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3"/>
      <c r="S19" s="404"/>
      <c r="T19" s="402"/>
      <c r="U19" s="808"/>
      <c r="V19" s="808"/>
      <c r="W19" s="402"/>
      <c r="X19" s="799"/>
      <c r="Y19" s="402"/>
      <c r="Z19" s="402"/>
      <c r="AA19" s="402"/>
      <c r="AB19" s="402"/>
      <c r="AC19" s="402"/>
      <c r="AD19" s="800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LEFT(SETUP!$B$3,1)&amp;"-"&amp;SETUP!$B$50&amp;"_"&amp;RIGHT(COMM!$O$31,3)&amp;"_"&amp;RIGHT(COMM!E23,LEN(COMM!E23)-3)&amp;"_"&amp;SETUP!$B$64</f>
        <v>R-SH_Att_SMF_X0</v>
      </c>
      <c r="N20" s="26" t="str">
        <f>COMM!P25&amp;" "&amp;COMM!F23&amp;" "&amp;SETUP!C64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6">
        <f>E19/SUM($E$7:$E$25)</f>
        <v>4.0705618681543779E-2</v>
      </c>
      <c r="S20" s="397">
        <f>R20*DwellingStocks!$J$28/1000</f>
        <v>32.078662029403176</v>
      </c>
      <c r="T20" s="398">
        <f>(S20*1000)/E19*DwellingStocks!$S$27-0.19617</f>
        <v>1.1678854957912315</v>
      </c>
      <c r="U20" s="805">
        <f>G19/100</f>
        <v>0.57113772455089817</v>
      </c>
      <c r="V20" s="806">
        <f>SUM(AB20:AB22)/S20/X20</f>
        <v>7.2438724233275839E-2</v>
      </c>
      <c r="W20" s="399">
        <v>20</v>
      </c>
      <c r="X20" s="802">
        <f>31.536*(AD20/1000)</f>
        <v>0.63072000000000006</v>
      </c>
      <c r="Y20" s="515">
        <f>RSD_Balance!$H$2</f>
        <v>0.19400000000000001</v>
      </c>
      <c r="Z20" s="399">
        <v>5</v>
      </c>
      <c r="AA20" s="399"/>
      <c r="AB20" s="400">
        <f>AC20*$U$20</f>
        <v>0.28433175885844253</v>
      </c>
      <c r="AC20" s="401">
        <f>IF(((D19+I19)*$B$2)&lt;=0,0,((D19+I19)*T20*$B$2))*Y20</f>
        <v>0.49783396654812234</v>
      </c>
      <c r="AD20" s="798">
        <v>20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R-SH_Att_SMF_X0</v>
      </c>
      <c r="AI20" s="294" t="str">
        <f>N20</f>
        <v>Residential Space Heating Attached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807"/>
      <c r="V21" s="804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1.0904269514983569</v>
      </c>
      <c r="AC21" s="394">
        <f>IF(((D19+I19)*$B$2)&lt;=0,0,((D19+I19)*T20*$B$2))*Y21</f>
        <v>1.9092189232567165</v>
      </c>
      <c r="AD21" s="393">
        <v>20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3">M23</f>
        <v>R-SH_Att_WOO_X0</v>
      </c>
      <c r="AI21" s="26" t="str">
        <f t="shared" si="3"/>
        <v>Residential Space Heating Attached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805"/>
      <c r="V22" s="806"/>
      <c r="W22" s="399"/>
      <c r="X22" s="802"/>
      <c r="Y22" s="515">
        <f>RSD_Balance!$H$4</f>
        <v>6.2E-2</v>
      </c>
      <c r="Z22" s="399">
        <v>5</v>
      </c>
      <c r="AA22" s="399"/>
      <c r="AB22" s="400">
        <f>AC22*$U$20</f>
        <v>9.0868912624863074E-2</v>
      </c>
      <c r="AC22" s="401">
        <f>IF(((D19+I19)*$B$2)&lt;=0,0,((D19+I19)*T20*$B$2))*Y22</f>
        <v>0.15910157693805971</v>
      </c>
      <c r="AD22" s="798">
        <v>20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3"/>
        <v>R-SH_Att_HET_X0</v>
      </c>
      <c r="AI22" s="294" t="str">
        <f t="shared" si="3"/>
        <v>Residential Space Heating Attached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LEFT(SETUP!$B$3,1)&amp;"-"&amp;SETUP!$B$50&amp;"_"&amp;RIGHT(COMM!$O$31,3)&amp;"_"&amp;RIGHT(O23,LEN(O23)-3)&amp;"_"&amp;SETUP!$B$64</f>
        <v>R-SH_Att_WOO_X0</v>
      </c>
      <c r="N23" s="294" t="str">
        <f>COMM!P25&amp;" "&amp;COMM!F16&amp;" "&amp;SETUP!C64</f>
        <v>Residential Space Heating Attached Biomass to Residential Existing 00</v>
      </c>
      <c r="O23" s="294" t="str">
        <f>COMM!E16</f>
        <v>RSDWOO</v>
      </c>
      <c r="P23" s="294"/>
      <c r="Q23" s="294" t="str">
        <f>COMM!O10&amp;","&amp;COMM!O13&amp;","&amp;COMM!O16&amp;","&amp;COMM!O19&amp;","&amp;COMM!O22&amp;","&amp;COMM!O25</f>
        <v>RSDSH_Att-AB,RSDSH_Att-C,RSDSH_Att-D,RSDSH_Att-E,RSDSH_Att-F,RSDSH_Att-G</v>
      </c>
      <c r="R23" s="389">
        <f>(E20+E21+E22+E23)/SUM($E$7:$E$25)</f>
        <v>1.1639816365630008E-3</v>
      </c>
      <c r="S23" s="390">
        <f>R23*DwellingStocks!$J$28/1000</f>
        <v>0.91729286366714435</v>
      </c>
      <c r="T23" s="391">
        <f>(S23*1000)/(E20+E21+E22+E23)*DwellingStocks!$S$27+0.1866</f>
        <v>1.550655495791232</v>
      </c>
      <c r="U23" s="804">
        <f>(G21+G22+G23)/300</f>
        <v>0.70400656814449913</v>
      </c>
      <c r="V23" s="804">
        <f>AB23/S23/X23</f>
        <v>0.11656908094434706</v>
      </c>
      <c r="W23" s="393">
        <v>20</v>
      </c>
      <c r="X23" s="391">
        <f t="shared" ref="X23:X24" si="4">31.536*(AD23/1000)</f>
        <v>0.63072000000000006</v>
      </c>
      <c r="Y23" s="393"/>
      <c r="Z23" s="393"/>
      <c r="AA23" s="393"/>
      <c r="AB23" s="394">
        <f>AC23*U23</f>
        <v>6.7441619376900616E-2</v>
      </c>
      <c r="AC23" s="394">
        <f>IF(((D20+I20+D21+I21+D22+I22+D23+I23)*$B$2)&lt;=0,0,((D20+I20+D21+I21+D22+I22+D23+I23)*T23*$B$2))</f>
        <v>9.5796861035901668E-2</v>
      </c>
      <c r="AD23" s="393">
        <v>20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996801.7852058335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60.949973059968386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LEFT(SETUP!$B$3,1)&amp;"-"&amp;SETUP!$B$50&amp;"_"&amp;RIGHT(COMM!$O$31,3)&amp;"_"&amp;RIGHT(O24,LEN(O24)-3)&amp;"_"&amp;SETUP!$B$64</f>
        <v>R-SH_Att_HET_X0</v>
      </c>
      <c r="N24" s="395" t="str">
        <f>COMM!P25&amp;" "&amp;COMM!F25&amp;" "&amp;SETUP!C64</f>
        <v>Residential Space Heating Attached Heat to Residential Existing 00</v>
      </c>
      <c r="O24" s="26" t="str">
        <f>COMM!E25</f>
        <v>RSDHET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6">
        <f>E24/SUM($E$7:$E$25)</f>
        <v>2.4508681664276851E-3</v>
      </c>
      <c r="S24" s="397">
        <f>R24*DwellingStocks!$J$28/1000</f>
        <v>1.9314427377836147</v>
      </c>
      <c r="T24" s="398">
        <f>(S24*1000)/E24*DwellingStocks!$S$27</f>
        <v>1.3640554957912319</v>
      </c>
      <c r="U24" s="806">
        <f>G24/100</f>
        <v>0.60949973059968388</v>
      </c>
      <c r="V24" s="806">
        <f>AB24/S24/X24</f>
        <v>2.348123327696117E-2</v>
      </c>
      <c r="W24" s="399">
        <v>20</v>
      </c>
      <c r="X24" s="802">
        <f t="shared" si="4"/>
        <v>0.63072000000000006</v>
      </c>
      <c r="Y24" s="399"/>
      <c r="Z24" s="399"/>
      <c r="AA24" s="399"/>
      <c r="AB24" s="400">
        <f>AC24*U24</f>
        <v>2.8604828130194083E-2</v>
      </c>
      <c r="AC24" s="401">
        <f>IF(((D24+I24)*$B$2)&lt;=0,0,((D24+I24)*T24*$B$2))</f>
        <v>4.6931650161764517E-2</v>
      </c>
      <c r="AD24" s="798">
        <v>20</v>
      </c>
      <c r="AE24" s="261"/>
      <c r="AF24" s="388"/>
      <c r="AG24" s="388"/>
      <c r="AH24" s="388"/>
      <c r="AI24" s="388"/>
      <c r="AJ24" s="388"/>
      <c r="AK24" s="388"/>
      <c r="AL24" s="388"/>
      <c r="AM24" s="261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388"/>
      <c r="AG25" s="388"/>
      <c r="AH25" s="388"/>
      <c r="AI25" s="388"/>
      <c r="AJ25" s="388"/>
      <c r="AK25" s="388"/>
      <c r="AL25" s="388"/>
      <c r="AM25" s="261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500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788.06472099999985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22.183734010965356</v>
      </c>
      <c r="AC27" s="382">
        <f>SUM(AC6:AC25)</f>
        <v>28.77400866307255</v>
      </c>
      <c r="AD27" s="261"/>
      <c r="AE27" s="261"/>
      <c r="AF27" s="388"/>
      <c r="AG27" s="388"/>
      <c r="AH27" s="388"/>
      <c r="AI27" s="261"/>
      <c r="AJ27" s="388"/>
      <c r="AK27" s="388"/>
      <c r="AL27" s="388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4" t="s">
        <v>643</v>
      </c>
      <c r="C28" s="1145"/>
      <c r="D28" s="1145"/>
      <c r="E28" s="1145"/>
      <c r="F28" s="1145"/>
      <c r="G28" s="1146"/>
      <c r="H28" s="1144" t="s">
        <v>644</v>
      </c>
      <c r="I28" s="1145"/>
      <c r="J28" s="1146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796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500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830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832</v>
      </c>
      <c r="AB30" s="27" t="s">
        <v>637</v>
      </c>
      <c r="AC30" s="31" t="s">
        <v>636</v>
      </c>
      <c r="AD30" s="31" t="s">
        <v>833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831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834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LEFT(SETUP!B3,1)&amp;"-"&amp;RIGHT(COMM!$O$31,6)&amp;"_"&amp;RIGHT(O33,LEN(O33)-3)&amp;"_"&amp;SETUP!$B$64</f>
        <v>R-WH_Att_COA_X0</v>
      </c>
      <c r="N33" s="294" t="str">
        <f>COMM!$P$31&amp;" "&amp;COMM!F6&amp;" "&amp;SETUP!$C$64</f>
        <v>Residential Water Heating Attached Coal to Residential Existing 00</v>
      </c>
      <c r="O33" s="294" t="str">
        <f>COMM!$E$6</f>
        <v>RSDCOA</v>
      </c>
      <c r="P33" s="294"/>
      <c r="Q33" s="294" t="str">
        <f>COMM!$O$31</f>
        <v>RSDWH_Att</v>
      </c>
      <c r="R33" s="389">
        <f>(E31+E38+E40)/SUM($E$31:$E$49)-($R$51/7)</f>
        <v>1.4005877019013029E-2</v>
      </c>
      <c r="S33" s="390">
        <f>R33*DwellingStocks!$J$28/1000</f>
        <v>11.037537565348812</v>
      </c>
      <c r="T33" s="444">
        <f>IFERROR((S33*1000)/(E31+E38+E40),0)+1.0376</f>
        <v>2.7714261962533477</v>
      </c>
      <c r="U33" s="804">
        <f>U7</f>
        <v>0.55798087905732663</v>
      </c>
      <c r="V33" s="804">
        <f>IFERROR(AB33/S33/X33,0)</f>
        <v>0.1008177352074696</v>
      </c>
      <c r="W33" s="393">
        <v>20</v>
      </c>
      <c r="X33" s="391">
        <f t="shared" ref="X33:X40" si="5">31.536*(AD33/1000)</f>
        <v>0.15768000000000001</v>
      </c>
      <c r="Y33" s="393"/>
      <c r="Z33" s="393"/>
      <c r="AA33" s="393"/>
      <c r="AB33" s="394">
        <f>AC33*U33</f>
        <v>0.17546307780504811</v>
      </c>
      <c r="AC33" s="394">
        <f>IF(((D31+I31+D38+I38+D40+I40)*$B$2)&lt;=0,0,((D31+I31+D38+I38+D40+I40)*T33*$B$2))</f>
        <v>0.31446073582571837</v>
      </c>
      <c r="AD33" s="393">
        <v>5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6">M33</f>
        <v>R-WH_Att_COA_X0</v>
      </c>
      <c r="AI33" s="294" t="str">
        <f t="shared" si="6"/>
        <v>Residential Water Heating Attached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LEFT(SETUP!B3,1)&amp;"-"&amp;RIGHT(COMM!$O$31,6)&amp;"_"&amp;RIGHT(O34,LEN(O34)-3)&amp;"_"&amp;SETUP!$B$64</f>
        <v>R-WH_Att_BDL_X0</v>
      </c>
      <c r="N34" s="395" t="str">
        <f>COMM!$P$31&amp;" "&amp;COMM!F21&amp;" "&amp;SETUP!$C$64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6">
        <f>E32/SUM($E$31:$E$49)</f>
        <v>7.2735383824620442E-6</v>
      </c>
      <c r="S34" s="397">
        <f>R34*DwellingStocks!$J$28/1000</f>
        <v>5.7320189960577399E-3</v>
      </c>
      <c r="T34" s="398">
        <f>IFERROR((S34*1000)/E32,0)</f>
        <v>1.9106729986859134</v>
      </c>
      <c r="U34" s="806">
        <f>U8</f>
        <v>1</v>
      </c>
      <c r="V34" s="806">
        <f>AB34/S34/X34</f>
        <v>8.8919330289193299E-2</v>
      </c>
      <c r="W34" s="399">
        <v>20</v>
      </c>
      <c r="X34" s="802">
        <f t="shared" si="5"/>
        <v>0.15768000000000001</v>
      </c>
      <c r="Y34" s="399"/>
      <c r="Z34" s="399"/>
      <c r="AA34" s="399"/>
      <c r="AB34" s="400">
        <f>AC34*U34</f>
        <v>8.0367491939926361E-5</v>
      </c>
      <c r="AC34" s="401">
        <f>IF(((D32+I32)*$B$2)&lt;=0,0,((D32+I32)*T34*$B$2))</f>
        <v>8.0367491939926361E-5</v>
      </c>
      <c r="AD34" s="798">
        <v>5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6"/>
        <v>R-WH_Att_BDL_X0</v>
      </c>
      <c r="AI34" s="26" t="str">
        <f t="shared" si="6"/>
        <v>Residential Water Heating Attached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LEFT(SETUP!B3,1)&amp;"-"&amp;RIGHT(COMM!$O$31,6)&amp;"_"&amp;RIGHT(O35,LEN(O35)-3)&amp;"_"&amp;SETUP!$B$64</f>
        <v>R-WH_Att_ETH_X0</v>
      </c>
      <c r="N35" s="294" t="str">
        <f>COMM!$P$31&amp;" "&amp;COMM!F20&amp;" "&amp;SETUP!$C$64</f>
        <v>Residential Water Heating Attached Ethanol to Residential Existing 00</v>
      </c>
      <c r="O35" s="294" t="str">
        <f>COMM!$E$20</f>
        <v>RSDETH</v>
      </c>
      <c r="P35" s="294"/>
      <c r="Q35" s="294" t="str">
        <f>COMM!$O$31</f>
        <v>RSDWH_Att</v>
      </c>
      <c r="R35" s="389">
        <f>E33/SUM($E$31:$E$49)</f>
        <v>2.4245127941540146E-6</v>
      </c>
      <c r="S35" s="390">
        <f>R35*DwellingStocks!$J$28/1000</f>
        <v>1.9106729986859135E-3</v>
      </c>
      <c r="T35" s="391">
        <f>IFERROR((S35*1000)/E33,0)</f>
        <v>1.9106729986859134</v>
      </c>
      <c r="U35" s="807">
        <v>0.9</v>
      </c>
      <c r="V35" s="804">
        <f>IFERROR(AB35/S35/X35,0)</f>
        <v>6.7212328767123283E-2</v>
      </c>
      <c r="W35" s="393">
        <v>20</v>
      </c>
      <c r="X35" s="391">
        <f t="shared" si="5"/>
        <v>0.15768000000000001</v>
      </c>
      <c r="Y35" s="393"/>
      <c r="Z35" s="393"/>
      <c r="AA35" s="393"/>
      <c r="AB35" s="394">
        <f>IFERROR(AC35*U35,0)</f>
        <v>2.0249388866993258E-5</v>
      </c>
      <c r="AC35" s="394">
        <f>IF(((D33+I33)*$B$2)&lt;=0,0,((D33+I33)*T35*$B$2))</f>
        <v>2.2499320963325842E-5</v>
      </c>
      <c r="AD35" s="393">
        <v>5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6"/>
        <v>R-WH_Att_ETH_X0</v>
      </c>
      <c r="AI35" s="294" t="str">
        <f t="shared" si="6"/>
        <v>Residential Water Heating Attached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LEFT(SETUP!B3,1)&amp;"-"&amp;RIGHT(COMM!$O$31,6)&amp;"_"&amp;RIGHT(O36,LEN(O36)-3)&amp;"_"&amp;SETUP!$B$64</f>
        <v>R-WH_Att_LPG_X0</v>
      </c>
      <c r="N36" s="395" t="str">
        <f>COMM!$P$31&amp;" "&amp;COMM!F8&amp;" "&amp;SETUP!$C$64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6">
        <f>(E34+E35)/SUM($E$31:$E$49)-($R$51/7)</f>
        <v>9.9423935760109012E-3</v>
      </c>
      <c r="S36" s="397">
        <f>(R36)*DwellingStocks!$J$28/1000</f>
        <v>7.8352496195512211</v>
      </c>
      <c r="T36" s="398">
        <f>IFERROR((S36*1000)/(E34+E35),0)+0.5284</f>
        <v>2.1990289167486612</v>
      </c>
      <c r="U36" s="806">
        <f>U10</f>
        <v>0.8070757743362833</v>
      </c>
      <c r="V36" s="806">
        <f t="shared" ref="V36:V42" si="7">AB36/S36/X36</f>
        <v>9.7363964734111214E-2</v>
      </c>
      <c r="W36" s="399">
        <v>20</v>
      </c>
      <c r="X36" s="802">
        <f t="shared" si="5"/>
        <v>0.15768000000000001</v>
      </c>
      <c r="Y36" s="399"/>
      <c r="Z36" s="399"/>
      <c r="AA36" s="399"/>
      <c r="AB36" s="400">
        <f>AC36*U36</f>
        <v>0.12028949417762397</v>
      </c>
      <c r="AC36" s="401">
        <f>IF(((D34+I34+D35+I35)*$B$2)&lt;=0,0,((D34+I34+D35+I35)*T36*$B$2))</f>
        <v>0.14904361895454823</v>
      </c>
      <c r="AD36" s="798">
        <v>5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6"/>
        <v>R-WH_Att_LPG_X0</v>
      </c>
      <c r="AI36" s="26" t="str">
        <f t="shared" si="6"/>
        <v>Residential Water Heating Attached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LEFT(SETUP!B3,1)&amp;"-"&amp;RIGHT(COMM!$O$31,6)&amp;"_"&amp;RIGHT(O38,LEN(O38)-3)&amp;"_"&amp;SETUP!$B$64</f>
        <v>R-WH_Att_ELC_X0</v>
      </c>
      <c r="N37" s="294" t="str">
        <f>COMM!$P$31&amp;" "&amp;COMM!F24&amp;" "&amp;SETUP!$C$64</f>
        <v>Residential Water Heating Attached Electricity to Residential Existing 00</v>
      </c>
      <c r="O37" s="294" t="str">
        <f>COMM!$E$24</f>
        <v>RSDELC</v>
      </c>
      <c r="P37" s="294"/>
      <c r="Q37" s="294" t="str">
        <f>COMM!$O$31</f>
        <v>RSDWH_Att</v>
      </c>
      <c r="R37" s="389">
        <f>(ArchetypeDemand!Y51*SUM(E36+E49))/SUM($E$31:$E$49)-($R$51/7)</f>
        <v>5.2846571981360342E-2</v>
      </c>
      <c r="S37" s="390">
        <f>R37*DwellingStocks!$J$28/1000</f>
        <v>41.646519004297147</v>
      </c>
      <c r="T37" s="391">
        <f>IFERROR((S37*1000)/E49,0)-0.67619</f>
        <v>2.5914850886070728</v>
      </c>
      <c r="U37" s="804">
        <f>U11</f>
        <v>1</v>
      </c>
      <c r="V37" s="804">
        <f t="shared" si="7"/>
        <v>6.207793636382708E-2</v>
      </c>
      <c r="W37" s="393">
        <v>20</v>
      </c>
      <c r="X37" s="391">
        <f t="shared" si="5"/>
        <v>0.15768000000000001</v>
      </c>
      <c r="Y37" s="393"/>
      <c r="Z37" s="393"/>
      <c r="AA37" s="393"/>
      <c r="AB37" s="394">
        <f>AC37*U37</f>
        <v>0.40765482754465288</v>
      </c>
      <c r="AC37" s="394">
        <f>IF(((D49+I49)*$B$2)&lt;=0,0,((D49+I49)*T37*$B$2))</f>
        <v>0.40765482754465288</v>
      </c>
      <c r="AD37" s="393">
        <v>5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6"/>
        <v>R-WH_Att_ELC_X0</v>
      </c>
      <c r="AI37" s="294" t="str">
        <f t="shared" si="6"/>
        <v>Residential Water Heating Attached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LEFT(SETUP!B3,1)&amp;"-"&amp;RIGHT(COMM!$O$31,6)&amp;"_"&amp;RIGHT(O38,LEN(O38)-3)&amp;"_"&amp;SETUP!$B$65</f>
        <v>R-WH_Att_ELC_X1</v>
      </c>
      <c r="N38" s="395" t="str">
        <f>COMM!$P$31&amp;" "&amp;COMM!F24&amp;" "&amp;SETUP!$C$65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6">
        <f>(ArchetypeDemand!Z51*SUM(E36+E49))/SUM($E$31:$E$49)-($R$51/7)</f>
        <v>2.7796505792161065E-2</v>
      </c>
      <c r="S38" s="397">
        <f>R38*DwellingStocks!$J$28/1000</f>
        <v>21.905445581874286</v>
      </c>
      <c r="T38" s="398">
        <f>IFERROR((S38*1000)/E36,0)+0.392</f>
        <v>1.4017001881481579</v>
      </c>
      <c r="U38" s="806">
        <f>U12</f>
        <v>3.1157627118644071</v>
      </c>
      <c r="V38" s="806">
        <f t="shared" si="7"/>
        <v>0.66299984214582264</v>
      </c>
      <c r="W38" s="399">
        <v>20</v>
      </c>
      <c r="X38" s="802">
        <f t="shared" si="5"/>
        <v>4.7304000000000006E-2</v>
      </c>
      <c r="Y38" s="399"/>
      <c r="Z38" s="399"/>
      <c r="AA38" s="399"/>
      <c r="AB38" s="400">
        <f>AC38*U38</f>
        <v>0.68701051257380508</v>
      </c>
      <c r="AC38" s="401">
        <f>IF(((D49+I49)*$B$2)&lt;=0,0,((D49+I49)*T38*$B$2))</f>
        <v>0.22049513268701787</v>
      </c>
      <c r="AD38" s="850">
        <v>1.5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6"/>
        <v>R-WH_Att_ELC_X1</v>
      </c>
      <c r="AI38" s="26" t="str">
        <f t="shared" si="6"/>
        <v>Residential Water Heating Attached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846</v>
      </c>
      <c r="Q39" s="26"/>
      <c r="R39" s="396"/>
      <c r="S39" s="397"/>
      <c r="T39" s="398"/>
      <c r="U39" s="806"/>
      <c r="V39" s="806"/>
      <c r="W39" s="399"/>
      <c r="X39" s="802"/>
      <c r="Y39" s="399"/>
      <c r="Z39" s="399"/>
      <c r="AA39" s="399">
        <f>AC39/AB38</f>
        <v>0.2087151761846755</v>
      </c>
      <c r="AB39" s="400"/>
      <c r="AC39" s="401">
        <f>RSD_Balance!J22</f>
        <v>0.14338952017256595</v>
      </c>
      <c r="AD39" s="850">
        <v>3.5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R-WH_Att_KER_X0</v>
      </c>
      <c r="AI39" s="294" t="str">
        <f>N40</f>
        <v>Residential Water Heating Attached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LEFT(SETUP!B3,1)&amp;"-"&amp;RIGHT(COMM!$O$31,6)&amp;"_"&amp;RIGHT(O40,LEN(O40)-3)&amp;"_"&amp;SETUP!$B$64</f>
        <v>R-WH_Att_KER_X0</v>
      </c>
      <c r="N40" s="294" t="str">
        <f>COMM!$P$31&amp;" "&amp;COMM!F10&amp;" "&amp;SETUP!$C$64</f>
        <v>Residential Water Heating Attached Kerosene to Residential Existing 00</v>
      </c>
      <c r="O40" s="294" t="str">
        <f>COMM!$E$10</f>
        <v>RSDKER</v>
      </c>
      <c r="P40" s="294"/>
      <c r="Q40" s="294" t="str">
        <f>COMM!$O$31</f>
        <v>RSDWH_Att</v>
      </c>
      <c r="R40" s="389">
        <f>E37/SUM($E$31:$E$49)-($R$51/7)</f>
        <v>0.2981830216218051</v>
      </c>
      <c r="S40" s="390">
        <f>R40*DwellingStocks!$J$28/1000</f>
        <v>234.98751974132475</v>
      </c>
      <c r="T40" s="444">
        <f>IFERROR((S40*1000)/E37,0)-0.1727</f>
        <v>1.7288627609028024</v>
      </c>
      <c r="U40" s="804">
        <f>U14</f>
        <v>0.81941558441558437</v>
      </c>
      <c r="V40" s="804">
        <f t="shared" si="7"/>
        <v>6.990312058817566E-2</v>
      </c>
      <c r="W40" s="393">
        <v>20</v>
      </c>
      <c r="X40" s="391">
        <f t="shared" si="5"/>
        <v>0.15768000000000001</v>
      </c>
      <c r="Y40" s="393"/>
      <c r="Z40" s="393"/>
      <c r="AA40" s="393"/>
      <c r="AB40" s="394">
        <f>AC40*U40</f>
        <v>2.5901085913153308</v>
      </c>
      <c r="AC40" s="394">
        <f>IF(((D37+I37)*$B$2)&lt;=0,0,((D37+I37)*T40*$B$2))</f>
        <v>3.1609218088799507</v>
      </c>
      <c r="AD40" s="393">
        <v>5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808"/>
      <c r="V41" s="808"/>
      <c r="W41" s="402"/>
      <c r="X41" s="799"/>
      <c r="Y41" s="402"/>
      <c r="Z41" s="402"/>
      <c r="AA41" s="402"/>
      <c r="AB41" s="402"/>
      <c r="AC41" s="402"/>
      <c r="AD41" s="800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R-WH_Att_GAS_X0</v>
      </c>
      <c r="AI41" s="294" t="str">
        <f>N42</f>
        <v>Residential Water Heating Attached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LEFT(SETUP!B3,1)&amp;"-"&amp;RIGHT(COMM!$O$31,6)&amp;"_"&amp;MID(O42,4,3)&amp;"_"&amp;SETUP!$B$64</f>
        <v>R-WH_Att_GAS_X0</v>
      </c>
      <c r="N42" s="294" t="str">
        <f>COMM!$P$31&amp;" "&amp;COMM!F14&amp;" "&amp;SETUP!$C$64</f>
        <v>Residential Water Heating Attached Natural Gas to Residential Existing 00</v>
      </c>
      <c r="O42" s="294" t="str">
        <f>COMM!$E$14&amp;","&amp;COMM!$E$17</f>
        <v>RSDGAS,RSDBGS</v>
      </c>
      <c r="P42" s="294"/>
      <c r="Q42" s="294" t="str">
        <f>COMM!$O$31</f>
        <v>RSDWH_Att</v>
      </c>
      <c r="R42" s="389">
        <f>E39/SUM($E$31:$E$49)-($R$51/7)</f>
        <v>0.54301032357547752</v>
      </c>
      <c r="S42" s="390">
        <f>R42*DwellingStocks!$J$28/1000</f>
        <v>427.92727914862832</v>
      </c>
      <c r="T42" s="444">
        <f>IFERROR((S42*1000)/E39,0)-0.66693</f>
        <v>1.2387295198909327</v>
      </c>
      <c r="U42" s="804">
        <f>U16</f>
        <v>0.81729411764705884</v>
      </c>
      <c r="V42" s="804">
        <f t="shared" si="7"/>
        <v>4.9806776874505576E-2</v>
      </c>
      <c r="W42" s="393">
        <v>20</v>
      </c>
      <c r="X42" s="391">
        <f t="shared" ref="X42" si="8">31.536*(AD42/1000)</f>
        <v>0.15768000000000001</v>
      </c>
      <c r="Y42" s="393"/>
      <c r="Z42" s="393"/>
      <c r="AA42" s="393"/>
      <c r="AB42" s="394">
        <f>AC42*U42</f>
        <v>3.3607408276255168</v>
      </c>
      <c r="AC42" s="394">
        <f>IF(((D39+I39)*$B$2)&lt;=0,0,((D39+I39)*T42*$B$2))</f>
        <v>4.1120335446691945</v>
      </c>
      <c r="AD42" s="393">
        <v>5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808"/>
      <c r="V43" s="808"/>
      <c r="W43" s="402"/>
      <c r="X43" s="799"/>
      <c r="Y43" s="402"/>
      <c r="Z43" s="402"/>
      <c r="AA43" s="402"/>
      <c r="AB43" s="402"/>
      <c r="AC43" s="402"/>
      <c r="AD43" s="800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R-WH_Att_PEA_X0</v>
      </c>
      <c r="AI43" s="294" t="str">
        <f>N44</f>
        <v>Residential Water Heating Attached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LEFT(SETUP!B3,1)&amp;"-"&amp;RIGHT(COMM!$O$31,6)&amp;"_"&amp;RIGHT(O44,LEN(O44)-3)&amp;"_"&amp;SETUP!$B$64</f>
        <v>R-WH_Att_PEA_X0</v>
      </c>
      <c r="N44" s="294" t="str">
        <f>COMM!$P$31&amp;" "&amp;COMM!F7&amp;" "&amp;SETUP!$C$64</f>
        <v>Residential Water Heating Attached Peat to Residential Existing 00</v>
      </c>
      <c r="O44" s="294" t="str">
        <f>COMM!$E$7</f>
        <v>RSDPEA</v>
      </c>
      <c r="P44" s="294"/>
      <c r="Q44" s="294" t="str">
        <f>COMM!$O$31</f>
        <v>RSDWH_Att</v>
      </c>
      <c r="R44" s="389">
        <f>(E41+E42)/SUM($E$31:$E$49)</f>
        <v>1.5516881882585694E-3</v>
      </c>
      <c r="S44" s="390">
        <f>R44*DwellingStocks!$J$28/1000</f>
        <v>1.2228307191589847</v>
      </c>
      <c r="T44" s="391">
        <f>(S44*1000)/(E42+E41)</f>
        <v>1.9106729986859137</v>
      </c>
      <c r="U44" s="804">
        <f>U18</f>
        <v>0.5509294871794872</v>
      </c>
      <c r="V44" s="804">
        <f>AB44/S44/X44</f>
        <v>6.8944308925102088E-2</v>
      </c>
      <c r="W44" s="393">
        <v>20</v>
      </c>
      <c r="X44" s="391">
        <f>31.536*(AD44/1000)</f>
        <v>0.15768000000000001</v>
      </c>
      <c r="Y44" s="393"/>
      <c r="Z44" s="393"/>
      <c r="AA44" s="393"/>
      <c r="AB44" s="394">
        <f>AC44*U44</f>
        <v>1.3293562270601947E-2</v>
      </c>
      <c r="AC44" s="394">
        <f>IF(((D41+I41+D42+I42)*$B$2)&lt;=0,0,((D41+I41+D42+I42)*T44*$B$2))</f>
        <v>2.4129335205234786E-2</v>
      </c>
      <c r="AD44" s="393">
        <v>5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808"/>
      <c r="V45" s="808"/>
      <c r="W45" s="402"/>
      <c r="X45" s="799"/>
      <c r="Y45" s="402"/>
      <c r="Z45" s="402"/>
      <c r="AA45" s="402"/>
      <c r="AB45" s="402"/>
      <c r="AC45" s="402"/>
      <c r="AD45" s="800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R-WH_Att_SMF_X0</v>
      </c>
      <c r="AI45" s="294" t="str">
        <f>N46</f>
        <v>Residential Water Heating Attached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LEFT(SETUP!B3,1)&amp;"-"&amp;RIGHT(COMM!$O$31,6)&amp;"_"&amp;RIGHT(COMM!E23,LEN(COMM!E23)-3)&amp;"_"&amp;SETUP!B64</f>
        <v>R-WH_Att_SMF_X0</v>
      </c>
      <c r="N46" s="26" t="str">
        <f>COMM!P31&amp;" "&amp;COMM!F23&amp;" "&amp;SETUP!C64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6">
        <f>E43/SUM($E$31:$E$49)-($R$51/7)</f>
        <v>3.9012301977917531E-2</v>
      </c>
      <c r="S46" s="397">
        <f>R46*DwellingStocks!$J$28/1000</f>
        <v>30.744218873795319</v>
      </c>
      <c r="T46" s="398">
        <f>(S46*1000)/E43-0.19617</f>
        <v>1.6470085895560742</v>
      </c>
      <c r="U46" s="805">
        <f>U20</f>
        <v>0.57113772455089817</v>
      </c>
      <c r="V46" s="806">
        <f>SUM(AB46:AB48)/S46/X46</f>
        <v>5.7147241043066219E-2</v>
      </c>
      <c r="W46" s="399">
        <v>20</v>
      </c>
      <c r="X46" s="802">
        <f t="shared" ref="X46" si="9">31.536*(AD46/1000)</f>
        <v>0.15768000000000001</v>
      </c>
      <c r="Y46" s="515">
        <f>RSD_Balance!$H$2</f>
        <v>0.19400000000000001</v>
      </c>
      <c r="Z46" s="399">
        <v>5</v>
      </c>
      <c r="AA46" s="399"/>
      <c r="AB46" s="400">
        <f>AC46*$U$46</f>
        <v>5.3744876943194402E-2</v>
      </c>
      <c r="AC46" s="401">
        <f>IF(((D43+I43)*$B$2)&lt;=0,0,((D43+I43)*T46*$B$2))*Y46</f>
        <v>9.4101430588314799E-2</v>
      </c>
      <c r="AD46" s="798">
        <v>5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R-WH_Att_WOO_X0</v>
      </c>
      <c r="AI46" s="26" t="str">
        <f>N49</f>
        <v>Residential Water Heating Attached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807"/>
      <c r="V47" s="804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>AC47*$U$46</f>
        <v>0.20611437343163214</v>
      </c>
      <c r="AC47" s="394">
        <f>IF(((D43+I43)*$B$2)&lt;=0,0,((D43+I43)*T46*$B$2))*Y47</f>
        <v>0.36088383689539283</v>
      </c>
      <c r="AD47" s="393">
        <v>5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R-WH_Att_HET_X0</v>
      </c>
      <c r="AI47" s="294" t="str">
        <f>N50</f>
        <v>Residential Water Heating Attached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805"/>
      <c r="V48" s="806"/>
      <c r="W48" s="399"/>
      <c r="X48" s="802"/>
      <c r="Y48" s="515">
        <f>RSD_Balance!$H$4</f>
        <v>6.2E-2</v>
      </c>
      <c r="Z48" s="399">
        <v>5</v>
      </c>
      <c r="AA48" s="399"/>
      <c r="AB48" s="400">
        <f t="shared" ref="AB48" si="10">AC48*$U$46</f>
        <v>1.7176197785969346E-2</v>
      </c>
      <c r="AC48" s="401">
        <f>IF(((D43+I43)*$B$2)&lt;=0,0,((D43+I43)*T46*$B$2))*Y48</f>
        <v>3.0073653074616069E-2</v>
      </c>
      <c r="AD48" s="798">
        <v>5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R-WH_Att_SOL_X0</v>
      </c>
      <c r="AI48" s="26" t="str">
        <f t="shared" ref="AI48" si="12">N51</f>
        <v>Residential Water Heating Attached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LEFT(SETUP!B3,1)&amp;"-"&amp;RIGHT(COMM!$O$31,6)&amp;"_"&amp;RIGHT(O49,LEN(O49)-3)&amp;"_"&amp;SETUP!B64</f>
        <v>R-WH_Att_WOO_X0</v>
      </c>
      <c r="N49" s="294" t="str">
        <f>COMM!P31&amp;" "&amp;COMM!F16&amp;" "&amp;SETUP!C64</f>
        <v>Residential Water Heating Attached Biomass to Residential Existing 00</v>
      </c>
      <c r="O49" s="294" t="str">
        <f>COMM!E16</f>
        <v>RSDWOO</v>
      </c>
      <c r="P49" s="294"/>
      <c r="Q49" s="294" t="str">
        <f>COMM!$O$31</f>
        <v>RSDWH_Att</v>
      </c>
      <c r="R49" s="389">
        <f>(E47+E44+E45+E46)/SUM($E$31:$E$49)</f>
        <v>1.1758887051646972E-3</v>
      </c>
      <c r="S49" s="390">
        <f>R49*DwellingStocks!$J$28/1000</f>
        <v>0.92667640436266807</v>
      </c>
      <c r="T49" s="391">
        <f>(S49*1000)/(E47+E44+E45+E46)+0.1866</f>
        <v>2.0972729986859138</v>
      </c>
      <c r="U49" s="804">
        <f>U23</f>
        <v>0.70400656814449913</v>
      </c>
      <c r="V49" s="804">
        <f>AB49/S49/X49</f>
        <v>6.6620869969995639E-2</v>
      </c>
      <c r="W49" s="393">
        <v>20</v>
      </c>
      <c r="X49" s="391">
        <f t="shared" ref="X49:X50" si="13">31.536*(AD49/1000)</f>
        <v>0.15768000000000001</v>
      </c>
      <c r="Y49" s="393"/>
      <c r="Z49" s="393"/>
      <c r="AA49" s="393"/>
      <c r="AB49" s="394">
        <f>AC49*U49</f>
        <v>9.7345306255741497E-3</v>
      </c>
      <c r="AC49" s="394">
        <f>IF(((D44+I44+D45+I45+D46+I46+D47+I47)*$B$2)&lt;=0,0,((D44+I44+D45+I45+D46+I46+D47+I47)*T49*$B$2))</f>
        <v>1.3827329269428226E-2</v>
      </c>
      <c r="AD49" s="393">
        <v>5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LEFT(SETUP!B3,1)&amp;"-"&amp;RIGHT(COMM!$O$31,6)&amp;"_"&amp;RIGHT(O50,LEN(O50)-3)&amp;"_"&amp;SETUP!B64</f>
        <v>R-WH_Att_HET_X0</v>
      </c>
      <c r="N50" s="395" t="str">
        <f>COMM!P31&amp;" "&amp;COMM!F25&amp;" "&amp;SETUP!C64</f>
        <v>Residential Water Heating Attached Heat to Residential Existing 00</v>
      </c>
      <c r="O50" s="26" t="str">
        <f>COMM!E25</f>
        <v>RSDHET</v>
      </c>
      <c r="P50" s="26"/>
      <c r="Q50" s="26" t="str">
        <f>COMM!$O$31</f>
        <v>RSDWH_Att</v>
      </c>
      <c r="R50" s="396">
        <f>E48/SUM($E$31:$E$49)</f>
        <v>2.465729511654633E-3</v>
      </c>
      <c r="S50" s="397">
        <f>R50*DwellingStocks!$J$28/1000</f>
        <v>1.943154439663574</v>
      </c>
      <c r="T50" s="398">
        <f>(S50*1000)/E48</f>
        <v>1.9106729986859134</v>
      </c>
      <c r="U50" s="806">
        <f>U24</f>
        <v>0.60949973059968388</v>
      </c>
      <c r="V50" s="806">
        <f t="shared" ref="V50" si="14">AB50/S50/X50</f>
        <v>4.8794584261943356E-3</v>
      </c>
      <c r="W50" s="399">
        <v>20</v>
      </c>
      <c r="X50" s="802">
        <f t="shared" si="13"/>
        <v>0.15768000000000001</v>
      </c>
      <c r="Y50" s="399"/>
      <c r="Z50" s="399"/>
      <c r="AA50" s="399"/>
      <c r="AB50" s="400">
        <f>AC50*U50</f>
        <v>1.4950494328168267E-3</v>
      </c>
      <c r="AC50" s="401">
        <f>IF(((D48+I48)*$B$2)&lt;=0,0,((D48+I48)*T50*$B$2))</f>
        <v>2.4529123767550393E-3</v>
      </c>
      <c r="AD50" s="798">
        <v>5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75" thickBot="1">
      <c r="B51" s="50" t="s">
        <v>649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LEFT(SETUP!B3,1)&amp;"-"&amp;RIGHT(COMM!$O$31,6)&amp;"_"&amp;RIGHT(O51,LEN(O51)-3)&amp;"_"&amp;SETUP!B64</f>
        <v>R-WH_Att_SOL_X0</v>
      </c>
      <c r="N51" s="294" t="str">
        <f>COMM!P31&amp;" "&amp;COMM!F15&amp;" "&amp;SETUP!C64</f>
        <v>Residential Water Heating Attached Solar Thermal to Residential Existing 00</v>
      </c>
      <c r="O51" s="294" t="str">
        <f>COMM!E15</f>
        <v>RSDSOL</v>
      </c>
      <c r="P51" s="294"/>
      <c r="Q51" s="294" t="str">
        <f>COMM!$O$31</f>
        <v>RSDWH_Att</v>
      </c>
      <c r="R51" s="389">
        <v>0.01</v>
      </c>
      <c r="S51" s="390">
        <f>R51*DwellingStocks!$J$28/1000</f>
        <v>7.8806472099999985</v>
      </c>
      <c r="T51" s="391">
        <f>MAX(T33:T50)</f>
        <v>2.7714261962533477</v>
      </c>
      <c r="U51" s="804">
        <v>1</v>
      </c>
      <c r="V51" s="804">
        <f>AB51/S51/X51</f>
        <v>0.21413130493478733</v>
      </c>
      <c r="W51" s="393">
        <v>20</v>
      </c>
      <c r="X51" s="391">
        <f>31.536*(AD51/1000)</f>
        <v>0.15768000000000001</v>
      </c>
      <c r="Y51" s="393"/>
      <c r="Z51" s="393"/>
      <c r="AA51" s="393"/>
      <c r="AB51" s="394">
        <f>AC51*U51</f>
        <v>0.26608393894100396</v>
      </c>
      <c r="AC51" s="394">
        <f>RSD_Balance!J18</f>
        <v>0.26608393894100396</v>
      </c>
      <c r="AD51" s="393">
        <v>5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39.75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788.06472099999974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7.9090104773535774</v>
      </c>
      <c r="AC54" s="382">
        <f>SUM(AC31:AC52)</f>
        <v>9.2996544918972983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3">
      <c r="B55" s="299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649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830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832</v>
      </c>
      <c r="AB57" s="27" t="s">
        <v>637</v>
      </c>
      <c r="AC57" s="31" t="s">
        <v>636</v>
      </c>
      <c r="AD57" s="31" t="s">
        <v>833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831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837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R-LT_Att_X0</v>
      </c>
      <c r="AI58" s="294" t="str">
        <f>N59</f>
        <v>Residential Lighting Attached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LEFT(SETUP!B3,1)&amp;"-"&amp;RIGHT(COMM!$O$34,6)&amp;"_"&amp;SETUP!B64</f>
        <v>R-LT_Att_X0</v>
      </c>
      <c r="N59" s="294" t="str">
        <f>COMM!$P$34&amp;" "&amp;SETUP!$C$64</f>
        <v>Residential Lighting Attached Existing 00</v>
      </c>
      <c r="O59" s="294" t="str">
        <f>COMM!E24</f>
        <v>RSDELC</v>
      </c>
      <c r="P59" s="294"/>
      <c r="Q59" s="294" t="str">
        <f>COMM!$O$34</f>
        <v>RSDLT_Att</v>
      </c>
      <c r="R59" s="294">
        <v>1</v>
      </c>
      <c r="S59" s="391">
        <f>DwellingStocks!J28/1000</f>
        <v>788.06472099999974</v>
      </c>
      <c r="T59" s="294">
        <f>(S59*1000)/SUM(G54:G62)-0.188</f>
        <v>1.7111433373980012</v>
      </c>
      <c r="U59" s="804">
        <v>0.4</v>
      </c>
      <c r="V59" s="804">
        <f>AB59/S59/X59</f>
        <v>0.29847129365993369</v>
      </c>
      <c r="W59" s="393">
        <v>10</v>
      </c>
      <c r="X59" s="390">
        <f t="shared" ref="X59:X60" si="15">31.536*(AD59/1000)</f>
        <v>3.0747599999999997E-3</v>
      </c>
      <c r="Y59" s="393"/>
      <c r="Z59" s="393"/>
      <c r="AA59" s="393"/>
      <c r="AB59" s="394">
        <f>AC59*U59</f>
        <v>0.72322874102399715</v>
      </c>
      <c r="AC59" s="394">
        <f>(D54+D55+D56+D57+D58+D59+D60+D61+D62)*T59*$B$2</f>
        <v>1.8080718525599928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R-PF_Att_X0</v>
      </c>
      <c r="AI59" s="395" t="str">
        <f>N60</f>
        <v>Residential Pumps &amp; Fans Attached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LEFT(SETUP!B3,1)&amp;"-"&amp;RIGHT(COMM!$O$37,6)&amp;"_"&amp;SETUP!$B$64</f>
        <v>R-PF_Att_X0</v>
      </c>
      <c r="N60" s="395" t="str">
        <f>COMM!$P$37&amp;" "&amp;SETUP!$C$64</f>
        <v>Residential Pumps &amp; Fans Attached Existing 00</v>
      </c>
      <c r="O60" s="395" t="str">
        <f>COMM!E24</f>
        <v>RSDELC</v>
      </c>
      <c r="P60" s="395"/>
      <c r="Q60" s="395" t="str">
        <f>COMM!$O$37</f>
        <v>RSDPF_Att</v>
      </c>
      <c r="R60" s="395">
        <v>1</v>
      </c>
      <c r="S60" s="810">
        <f>DwellingStocks!J28/1000</f>
        <v>788.06472099999974</v>
      </c>
      <c r="T60" s="395">
        <f>(S60*1000)/SUM(G54:G62)-0.188</f>
        <v>1.7111433373980012</v>
      </c>
      <c r="U60" s="811">
        <v>0.6</v>
      </c>
      <c r="V60" s="811">
        <f>AB60/S60/X60</f>
        <v>0.24175608869574006</v>
      </c>
      <c r="W60" s="812">
        <v>15</v>
      </c>
      <c r="X60" s="813">
        <f t="shared" si="15"/>
        <v>1.5768000000000002E-3</v>
      </c>
      <c r="Y60" s="812"/>
      <c r="Z60" s="812"/>
      <c r="AA60" s="812"/>
      <c r="AB60" s="814">
        <f>AC60*U60</f>
        <v>0.30041106022645236</v>
      </c>
      <c r="AC60" s="401">
        <f>(F54+F55+F56+F57+F58+F59+F60+F61+F62)*T60*$B$2</f>
        <v>0.50068510037742064</v>
      </c>
      <c r="AD60" s="797">
        <v>0.05</v>
      </c>
      <c r="AE60" s="261"/>
    </row>
    <row r="61" spans="1:43">
      <c r="B61" s="299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abSelected="1" topLeftCell="H1" zoomScale="60" zoomScaleNormal="60" workbookViewId="0">
      <selection activeCell="N27" sqref="N2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4" width="8.140625" style="48" bestFit="1" customWidth="1"/>
    <col min="25" max="27" width="8.140625" style="48" customWidth="1"/>
    <col min="28" max="30" width="23.28515625" style="48" customWidth="1"/>
    <col min="31" max="31" width="19.42578125" style="48" customWidth="1"/>
    <col min="32" max="32" width="7.85546875" style="48" customWidth="1"/>
    <col min="33" max="33" width="10.7109375" style="48" bestFit="1" customWidth="1"/>
    <col min="34" max="34" width="22.5703125" style="48" bestFit="1" customWidth="1"/>
    <col min="35" max="35" width="85.85546875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655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656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656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4" t="s">
        <v>643</v>
      </c>
      <c r="C4" s="1145"/>
      <c r="D4" s="1145"/>
      <c r="E4" s="1145"/>
      <c r="F4" s="1145"/>
      <c r="G4" s="1146"/>
      <c r="H4" s="1144" t="s">
        <v>644</v>
      </c>
      <c r="I4" s="1145"/>
      <c r="J4" s="1146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830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832</v>
      </c>
      <c r="AB4" s="27" t="s">
        <v>637</v>
      </c>
      <c r="AC4" s="31" t="s">
        <v>636</v>
      </c>
      <c r="AD4" s="31" t="s">
        <v>833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831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835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834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LEFT(SETUP!$B$3,1)&amp;"-"&amp;SETUP!$B$50&amp;"_"&amp;RIGHT(COMM!$O$32,3)&amp;"_"&amp;RIGHT(O7,LEN(O7)-3)&amp;"_"&amp;SETUP!$B$64</f>
        <v>R-SH_Det_COA_X0</v>
      </c>
      <c r="N7" s="294" t="str">
        <f>COMM!$P$26&amp;" "&amp;COMM!F6&amp;" "&amp;SETUP!$C$64</f>
        <v>Residential Space Heating Detached Coal to Residential Existing 00</v>
      </c>
      <c r="O7" s="294" t="str">
        <f>COMM!$E$6</f>
        <v>RSDCOA</v>
      </c>
      <c r="P7" s="294"/>
      <c r="Q7" s="294" t="str">
        <f>COMM!O11&amp;","&amp;COMM!O14&amp;","&amp;COMM!O17&amp;","&amp;COMM!O20&amp;","&amp;COMM!O23&amp;","&amp;COMM!O26</f>
        <v>RSDSH_Det-AB,RSDSH_Det-C,RSDSH_Det-D,RSDSH_Det-E,RSDSH_Det-F,RSDSH_Det-G</v>
      </c>
      <c r="R7" s="389">
        <f>(E7+E14+E16)/SUM($E$7:$E$25)</f>
        <v>6.0080307972788707E-3</v>
      </c>
      <c r="S7" s="390">
        <f>R7*DwellingStocks!$K$28/1000</f>
        <v>4.4183462763581156</v>
      </c>
      <c r="T7" s="391">
        <f>(S7*1000)/(E7+E14+E16)*DwellingStocks!$T$27+1.0376</f>
        <v>3.0390542124396305</v>
      </c>
      <c r="U7" s="804">
        <f>(G7+G14+G16)/300</f>
        <v>0.61986329460013678</v>
      </c>
      <c r="V7" s="804">
        <f>AB7/S7/X7</f>
        <v>0.46414376338591429</v>
      </c>
      <c r="W7" s="393">
        <v>20</v>
      </c>
      <c r="X7" s="391">
        <f>31.536*(AD7/1000)</f>
        <v>0.94608000000000003</v>
      </c>
      <c r="Y7" s="393"/>
      <c r="Z7" s="393"/>
      <c r="AA7" s="393"/>
      <c r="AB7" s="394">
        <f>AC7*U7</f>
        <v>1.9401715435733349</v>
      </c>
      <c r="AC7" s="394">
        <f>IF(((D7+I7+D14+I14+D16+I16)*$B$2)&lt;=0,0,((D7+I7+D14+I14+D16+I16)*T7*$B$2))</f>
        <v>3.1299990828218123</v>
      </c>
      <c r="AD7" s="393">
        <v>30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R-SH_Det_COA_X0</v>
      </c>
      <c r="AI7" s="294" t="str">
        <f t="shared" si="0"/>
        <v>Residential Space Heating Detached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LEFT(SETUP!$B$3,1)&amp;"-"&amp;SETUP!$B$50&amp;"_"&amp;RIGHT(COMM!$O$32,3)&amp;"_"&amp;RIGHT(O8,LEN(O8)-3)&amp;"_"&amp;SETUP!$B$64</f>
        <v>R-SH_Det_BDL_X0</v>
      </c>
      <c r="N8" s="26" t="str">
        <f>COMM!$P$26&amp;" "&amp;COMM!F21&amp;" "&amp;SETUP!$C$64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6">
        <f>E8/SUM($E$7:$E$25)</f>
        <v>0</v>
      </c>
      <c r="S8" s="397">
        <f>R8*DwellingStocks!$K$28/1000</f>
        <v>0</v>
      </c>
      <c r="T8" s="398">
        <f>IFERROR((S8*1000)/E8*DwellingStocks!$T$27,0)</f>
        <v>0</v>
      </c>
      <c r="U8" s="805">
        <v>0.9</v>
      </c>
      <c r="V8" s="806">
        <f>IFERROR(AB8/S8/X8,0)</f>
        <v>0</v>
      </c>
      <c r="W8" s="399">
        <v>20</v>
      </c>
      <c r="X8" s="802">
        <f t="shared" ref="X8:X13" si="1">31.536*(AD8/1000)</f>
        <v>0.94608000000000003</v>
      </c>
      <c r="Y8" s="399"/>
      <c r="Z8" s="399"/>
      <c r="AA8" s="399"/>
      <c r="AB8" s="400">
        <f>IFERROR(AC8*U8,0)</f>
        <v>0</v>
      </c>
      <c r="AC8" s="401">
        <f>IF(((D8+I8)*$B$2)&lt;=0,0,((D8+I8)*T8*$B$2))</f>
        <v>0</v>
      </c>
      <c r="AD8" s="798">
        <v>30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R-SH_Det_BDL_X0</v>
      </c>
      <c r="AI8" s="26" t="str">
        <f t="shared" si="0"/>
        <v>Residential Space Heating Detached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LEFT(SETUP!$B$3,1)&amp;"-"&amp;SETUP!$B$50&amp;"_"&amp;RIGHT(COMM!$O$32,3)&amp;"_"&amp;RIGHT(O9,LEN(O9)-3)&amp;"_"&amp;SETUP!$B$64</f>
        <v>R-SH_Det_ETH_X0</v>
      </c>
      <c r="N9" s="294" t="str">
        <f>COMM!$P$26&amp;" "&amp;COMM!F20&amp;" "&amp;SETUP!C64</f>
        <v>Residential Space Heating Detached Ethanol to Residential Existing 00</v>
      </c>
      <c r="O9" s="294" t="str">
        <f>COMM!$E$20</f>
        <v>RSDETH</v>
      </c>
      <c r="P9" s="294"/>
      <c r="Q9" s="294" t="str">
        <f>COMM!O11&amp;","&amp;COMM!O14&amp;","&amp;COMM!O17&amp;","&amp;COMM!O20&amp;","&amp;COMM!O23&amp;","&amp;COMM!O26</f>
        <v>RSDSH_Det-AB,RSDSH_Det-C,RSDSH_Det-D,RSDSH_Det-E,RSDSH_Det-F,RSDSH_Det-G</v>
      </c>
      <c r="R9" s="389">
        <f>E9/SUM($E$7:$E$25)</f>
        <v>0</v>
      </c>
      <c r="S9" s="390">
        <f>R9*DwellingStocks!$K$28/1000</f>
        <v>0</v>
      </c>
      <c r="T9" s="391">
        <f>IFERROR((S9*1000)/E9*DwellingStocks!$T$27,0)</f>
        <v>0</v>
      </c>
      <c r="U9" s="807">
        <v>0.9</v>
      </c>
      <c r="V9" s="804">
        <f>IFERROR(AB9/S9/X9,0)</f>
        <v>0</v>
      </c>
      <c r="W9" s="393">
        <v>20</v>
      </c>
      <c r="X9" s="391">
        <f t="shared" si="1"/>
        <v>0.94608000000000003</v>
      </c>
      <c r="Y9" s="393"/>
      <c r="Z9" s="393"/>
      <c r="AA9" s="393"/>
      <c r="AB9" s="394">
        <f>IFERROR(AC9*U9,0)</f>
        <v>0</v>
      </c>
      <c r="AC9" s="394">
        <f>IF(((D9+I9)*$B$2)&lt;=0,0,((D9+I9)*T9*$B$2))</f>
        <v>0</v>
      </c>
      <c r="AD9" s="393">
        <v>30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R-SH_Det_ETH_X0</v>
      </c>
      <c r="AI9" s="294" t="str">
        <f t="shared" si="0"/>
        <v>Residential Space Heating Detached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LEFT(SETUP!$B$3,1)&amp;"-"&amp;SETUP!$B$50&amp;"_"&amp;RIGHT(COMM!$O$32,3)&amp;"_"&amp;RIGHT(O10,LEN(O10)-3)&amp;"_"&amp;SETUP!$B$64</f>
        <v>R-SH_Det_LPG_X0</v>
      </c>
      <c r="N10" s="26" t="str">
        <f>COMM!$P$26&amp;" "&amp;COMM!F8&amp;" "&amp;SETUP!C64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6">
        <f>(E10+E11)/SUM($E$7:$E$25)</f>
        <v>2.2058324983614461E-2</v>
      </c>
      <c r="S10" s="397">
        <f>(R10)*DwellingStocks!$K$28/1000</f>
        <v>16.221840623418888</v>
      </c>
      <c r="T10" s="398">
        <f>(S10*1000)/(E10+E11)*DwellingStocks!$T$27+0.5284</f>
        <v>2.529854212439631</v>
      </c>
      <c r="U10" s="806">
        <f>(G10+G11)/200</f>
        <v>0.82661774762699336</v>
      </c>
      <c r="V10" s="806">
        <f t="shared" ref="V10:V12" si="2">AB10/S10/X10</f>
        <v>6.9794671886081558E-2</v>
      </c>
      <c r="W10" s="399">
        <v>20</v>
      </c>
      <c r="X10" s="802">
        <f t="shared" si="1"/>
        <v>0.94608000000000003</v>
      </c>
      <c r="Y10" s="399"/>
      <c r="Z10" s="399"/>
      <c r="AA10" s="399"/>
      <c r="AB10" s="400">
        <f>AC10*U10</f>
        <v>1.071149925183535</v>
      </c>
      <c r="AC10" s="401">
        <f>IF(((D10+I10+D11+I11)*T10*$B$2)&lt;=0,0,((D10+I10+D11+I11)*T10*$B$2))</f>
        <v>1.2958225591678023</v>
      </c>
      <c r="AD10" s="798">
        <v>30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R-SH_Det_LPG_X0</v>
      </c>
      <c r="AI10" s="26" t="str">
        <f t="shared" si="0"/>
        <v>Residential Space Heating Detached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LEFT(SETUP!$B$3,1)&amp;"-"&amp;SETUP!$B$50&amp;"_"&amp;RIGHT(COMM!$O$32,3)&amp;"_"&amp;RIGHT(O11,LEN(O11)-3)&amp;"_"&amp;SETUP!$B$64</f>
        <v>R-SH_Det_ELC_X0</v>
      </c>
      <c r="N11" s="294" t="str">
        <f>COMM!$P$26&amp;" "&amp;COMM!F24&amp;" "&amp;SETUP!C64</f>
        <v>Residential Space Heating Detached Electricity to Residential Existing 00</v>
      </c>
      <c r="O11" s="294" t="str">
        <f>COMM!$E$24</f>
        <v>RSDELC</v>
      </c>
      <c r="P11" s="294"/>
      <c r="Q11" s="294" t="str">
        <f>COMM!O11&amp;","&amp;COMM!O14&amp;","&amp;COMM!O17&amp;","&amp;COMM!O20&amp;","&amp;COMM!O23&amp;","&amp;COMM!O26</f>
        <v>RSDSH_Det-AB,RSDSH_Det-C,RSDSH_Det-D,RSDSH_Det-E,RSDSH_Det-F,RSDSH_Det-G</v>
      </c>
      <c r="R11" s="389">
        <f>(ArchetypeDemand!Y52*SUM(E12+E25))/SUM($E$7:$E$25)</f>
        <v>4.7184700803833086E-2</v>
      </c>
      <c r="S11" s="390">
        <f>(R11)*DwellingStocks!$K$28/1000</f>
        <v>34.699946476990561</v>
      </c>
      <c r="T11" s="391">
        <f>(S11*1000)/(E25)*DwellingStocks!$T$27-0.67619</f>
        <v>3.30399990190904</v>
      </c>
      <c r="U11" s="804">
        <f>(G25)/100</f>
        <v>0.99952095808383234</v>
      </c>
      <c r="V11" s="804">
        <f t="shared" si="2"/>
        <v>4.3843217634644882E-2</v>
      </c>
      <c r="W11" s="393">
        <v>20</v>
      </c>
      <c r="X11" s="391">
        <f t="shared" si="1"/>
        <v>0.94608000000000003</v>
      </c>
      <c r="Y11" s="393"/>
      <c r="Z11" s="393"/>
      <c r="AA11" s="393"/>
      <c r="AB11" s="394">
        <f>AC11*U11</f>
        <v>1.439325719399384</v>
      </c>
      <c r="AC11" s="394">
        <f>IF(((D25+I25)*T11*$B$2)&lt;=0,0,((D25+I25)*T11*$B$2))</f>
        <v>1.4400155472064291</v>
      </c>
      <c r="AD11" s="393">
        <v>30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R-SH_Det_ELC_X0</v>
      </c>
      <c r="AI11" s="294" t="str">
        <f t="shared" si="0"/>
        <v>Residential Space Heating Detached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LEFT(SETUP!$B$3,1)&amp;"-"&amp;SETUP!$B$50&amp;"_"&amp;RIGHT(COMM!$O$32,3)&amp;"_"&amp;RIGHT(O12,LEN(O12)-3)&amp;"_"&amp;SETUP!$B$65</f>
        <v>R-SH_Det_ELC_X1</v>
      </c>
      <c r="N12" s="26" t="str">
        <f>COMM!$P$26&amp;" "&amp;COMM!F24&amp;" "&amp;SETUP!C65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6">
        <f>(ArchetypeDemand!Z52*SUM(E12+E25))/SUM($E$7:$E$25)</f>
        <v>2.0222014630214179E-2</v>
      </c>
      <c r="S12" s="397">
        <f>R12*DwellingStocks!$K$28/1000</f>
        <v>14.871405632995954</v>
      </c>
      <c r="T12" s="398">
        <f>(S12*1000)/E12*DwellingStocks!$T$27+0.392</f>
        <v>1.3185959761540325</v>
      </c>
      <c r="U12" s="806">
        <f>G12/100</f>
        <v>3.0897837837837834</v>
      </c>
      <c r="V12" s="806">
        <f t="shared" si="2"/>
        <v>0.13831906725092244</v>
      </c>
      <c r="W12" s="399">
        <v>20</v>
      </c>
      <c r="X12" s="802">
        <f t="shared" si="1"/>
        <v>0.31536000000000003</v>
      </c>
      <c r="Y12" s="399"/>
      <c r="Z12" s="399"/>
      <c r="AA12" s="399"/>
      <c r="AB12" s="400">
        <f>AC12*U12</f>
        <v>0.64869519072193782</v>
      </c>
      <c r="AC12" s="401">
        <f>IF(((D12+I12)*T12*$B$2)&lt;=0,0,((D12+I12)*T12*$B$2))</f>
        <v>0.20994840937625045</v>
      </c>
      <c r="AD12" s="798">
        <v>10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R-SH_Det_ELC_X1</v>
      </c>
      <c r="AI12" s="26" t="str">
        <f t="shared" si="0"/>
        <v>Residential Space Heating Detached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809"/>
      <c r="V13" s="809"/>
      <c r="X13" s="803">
        <f t="shared" si="1"/>
        <v>0.63072000000000006</v>
      </c>
      <c r="AA13" s="852">
        <f>AC13/AB12</f>
        <v>0.18088724481387947</v>
      </c>
      <c r="AC13" s="795">
        <f>RSD_Balance!H22</f>
        <v>0.11734068577370541</v>
      </c>
      <c r="AD13" s="795">
        <v>20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LEFT(SETUP!$B$3,1)&amp;"-"&amp;SETUP!$B$50&amp;"_"&amp;RIGHT(COMM!$O$32,3)&amp;"_"&amp;RIGHT(O14,LEN(O14)-3)&amp;"_"&amp;SETUP!$B$64</f>
        <v>R-SH_Det_KER_X0</v>
      </c>
      <c r="N14" s="294" t="str">
        <f>COMM!$P$26&amp;" "&amp;COMM!F10&amp;" "&amp;SETUP!C64</f>
        <v>Residential Space Heating Detached Kerosene to Residential Existing 00</v>
      </c>
      <c r="O14" s="294" t="str">
        <f>COMM!$E$10</f>
        <v>RSDKER</v>
      </c>
      <c r="P14" s="294"/>
      <c r="Q14" s="294" t="str">
        <f>COMM!O11&amp;","&amp;COMM!O14&amp;","&amp;COMM!O17&amp;","&amp;COMM!O20&amp;","&amp;COMM!O23&amp;","&amp;COMM!O26</f>
        <v>RSDSH_Det-AB,RSDSH_Det-C,RSDSH_Det-D,RSDSH_Det-E,RSDSH_Det-F,RSDSH_Det-G</v>
      </c>
      <c r="R14" s="389">
        <f>E13/SUM($E$7:$E$25)</f>
        <v>0.69522898319258097</v>
      </c>
      <c r="S14" s="390">
        <f>R14*DwellingStocks!$K$28/1000</f>
        <v>511.27607243565188</v>
      </c>
      <c r="T14" s="391">
        <f>(S14*1000)/E13*DwellingStocks!$T$27+0.16818</f>
        <v>2.1696342124396311</v>
      </c>
      <c r="U14" s="804">
        <f>G13/100</f>
        <v>0.82280373831775711</v>
      </c>
      <c r="V14" s="804">
        <f>AB14/S14/X14</f>
        <v>4.815735405140293E-2</v>
      </c>
      <c r="W14" s="393">
        <v>20</v>
      </c>
      <c r="X14" s="391">
        <f>31.536*(AD14/1000)</f>
        <v>0.94608000000000003</v>
      </c>
      <c r="Y14" s="393"/>
      <c r="Z14" s="393"/>
      <c r="AA14" s="393"/>
      <c r="AB14" s="394">
        <f>AC14*U14</f>
        <v>23.294100621253584</v>
      </c>
      <c r="AC14" s="394">
        <f>IF(((D13+I13)*$B$2)&lt;=0,0,((D13+I13)*T14*$B$2))</f>
        <v>28.310640237098287</v>
      </c>
      <c r="AD14" s="393">
        <v>30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R-SH_Det_KER_X0</v>
      </c>
      <c r="AI14" s="294" t="str">
        <f>N14</f>
        <v>Residential Space Heating Detached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405" t="s">
        <v>254</v>
      </c>
      <c r="M15" s="405" t="s">
        <v>254</v>
      </c>
      <c r="N15" s="402"/>
      <c r="O15" s="402"/>
      <c r="P15" s="402"/>
      <c r="Q15" s="402"/>
      <c r="R15" s="403"/>
      <c r="S15" s="404"/>
      <c r="T15" s="402"/>
      <c r="U15" s="808"/>
      <c r="V15" s="808"/>
      <c r="W15" s="402"/>
      <c r="X15" s="799"/>
      <c r="Y15" s="402"/>
      <c r="Z15" s="402"/>
      <c r="AA15" s="402"/>
      <c r="AB15" s="402"/>
      <c r="AC15" s="402"/>
      <c r="AD15" s="800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LEFT(SETUP!$B$3,1)&amp;"-"&amp;SETUP!$B$50&amp;"_"&amp;RIGHT(COMM!$O$32,3)&amp;"_"&amp;MID(O16,4,3)&amp;"_"&amp;SETUP!$B$64</f>
        <v>R-SH_Det_GAS_X0</v>
      </c>
      <c r="N16" s="294" t="str">
        <f>COMM!$P$26&amp;" "&amp;COMM!F14&amp;" "&amp;SETUP!C64</f>
        <v>Residential Space Heating Detached Natural Gas to Residential Existing 00</v>
      </c>
      <c r="O16" s="294" t="str">
        <f>COMM!$E$14&amp;","&amp;COMM!$E$17</f>
        <v>RSDGAS,RSDBGS</v>
      </c>
      <c r="P16" s="294"/>
      <c r="Q16" s="294" t="str">
        <f>COMM!O11&amp;","&amp;COMM!O14&amp;","&amp;COMM!O17&amp;","&amp;COMM!O20&amp;","&amp;COMM!O23&amp;","&amp;COMM!O26</f>
        <v>RSDSH_Det-AB,RSDSH_Det-C,RSDSH_Det-D,RSDSH_Det-E,RSDSH_Det-F,RSDSH_Det-G</v>
      </c>
      <c r="R16" s="389">
        <f>E15/SUM($E$7:$E$25)</f>
        <v>0.15689058980405157</v>
      </c>
      <c r="S16" s="390">
        <f>R16*DwellingStocks!$K$28/1000</f>
        <v>115.37839545867831</v>
      </c>
      <c r="T16" s="391">
        <f>(S16*1000)/E15*DwellingStocks!$T$27</f>
        <v>2.0014542124396311</v>
      </c>
      <c r="U16" s="804">
        <f>G15/100</f>
        <v>0.82728758169934635</v>
      </c>
      <c r="V16" s="804">
        <f>AB16/S16/X16</f>
        <v>3.9672004092005449E-2</v>
      </c>
      <c r="W16" s="393">
        <v>20</v>
      </c>
      <c r="X16" s="391">
        <f>31.536*(AD16/1000)</f>
        <v>0.94608000000000003</v>
      </c>
      <c r="Y16" s="393"/>
      <c r="Z16" s="393"/>
      <c r="AA16" s="393"/>
      <c r="AB16" s="394">
        <f>AC16*U16</f>
        <v>4.3304845825945018</v>
      </c>
      <c r="AC16" s="394">
        <f>IF(((D15+I15)*$B$2)&lt;=0,0,((D15+I15)*T16*$B$2))</f>
        <v>5.2345577020498419</v>
      </c>
      <c r="AD16" s="393">
        <v>30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R-SH_Det_GAS_X0</v>
      </c>
      <c r="AI16" s="294" t="str">
        <f>N16</f>
        <v>Residential Space Heating Detached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405" t="s">
        <v>254</v>
      </c>
      <c r="M17" s="405" t="s">
        <v>254</v>
      </c>
      <c r="N17" s="402"/>
      <c r="O17" s="402"/>
      <c r="P17" s="402"/>
      <c r="Q17" s="402"/>
      <c r="R17" s="403"/>
      <c r="S17" s="404"/>
      <c r="T17" s="402"/>
      <c r="U17" s="808"/>
      <c r="V17" s="808"/>
      <c r="W17" s="402"/>
      <c r="X17" s="799"/>
      <c r="Y17" s="402"/>
      <c r="Z17" s="402"/>
      <c r="AA17" s="402"/>
      <c r="AB17" s="402"/>
      <c r="AC17" s="402"/>
      <c r="AD17" s="800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LEFT(SETUP!$B$3,1)&amp;"-"&amp;SETUP!$B$50&amp;"_"&amp;RIGHT(COMM!$O$32,3)&amp;"_"&amp;RIGHT(O18,LEN(O18)-3)&amp;"_"&amp;SETUP!$B$64</f>
        <v>R-SH_Det_PEA_X0</v>
      </c>
      <c r="N18" s="294" t="str">
        <f>COMM!$P$26&amp;" "&amp;COMM!F7&amp;" "&amp;SETUP!C64</f>
        <v>Residential Space Heating Detached Peat to Residential Existing 00</v>
      </c>
      <c r="O18" s="294" t="str">
        <f>COMM!E7</f>
        <v>RSDPEA</v>
      </c>
      <c r="P18" s="294"/>
      <c r="Q18" s="294" t="str">
        <f>COMM!O11&amp;","&amp;COMM!O14&amp;","&amp;COMM!O17&amp;","&amp;COMM!O20&amp;","&amp;COMM!O23&amp;","&amp;COMM!O26</f>
        <v>RSDSH_Det-AB,RSDSH_Det-C,RSDSH_Det-D,RSDSH_Det-E,RSDSH_Det-F,RSDSH_Det-G</v>
      </c>
      <c r="R18" s="389">
        <f>(E17+E18)/SUM($E$7:$E$25)</f>
        <v>2.90419545122383E-3</v>
      </c>
      <c r="S18" s="390">
        <f>R18*DwellingStocks!$K$28/1000</f>
        <v>2.1357648771611957</v>
      </c>
      <c r="T18" s="391">
        <f>(S18*1000)/(E17+E18)*DwellingStocks!$T$27+0.16</f>
        <v>2.1614542124396308</v>
      </c>
      <c r="U18" s="804">
        <f>(G17+G18)/200</f>
        <v>0.5457894736842106</v>
      </c>
      <c r="V18" s="804">
        <f>AB18/S18/X18</f>
        <v>0.10153946704487185</v>
      </c>
      <c r="W18" s="393">
        <v>20</v>
      </c>
      <c r="X18" s="391">
        <f>31.536*(AD18/1000)</f>
        <v>0.94608000000000003</v>
      </c>
      <c r="Y18" s="393"/>
      <c r="Z18" s="393"/>
      <c r="AA18" s="393"/>
      <c r="AB18" s="394">
        <f>AC18*U18</f>
        <v>0.20517109743684719</v>
      </c>
      <c r="AC18" s="394">
        <f>IF(((D17+I17)+D18+I18*$B$2)&lt;=0,0,((D17+I17+D18+I18)*T18*$B$2))</f>
        <v>0.37591618623916068</v>
      </c>
      <c r="AD18" s="393">
        <v>30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R-SH_Det_PEA_X0</v>
      </c>
      <c r="AI18" s="294" t="str">
        <f>N18</f>
        <v>Residential Space Heating Detached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405" t="s">
        <v>254</v>
      </c>
      <c r="M19" s="405" t="s">
        <v>254</v>
      </c>
      <c r="N19" s="402"/>
      <c r="O19" s="402"/>
      <c r="P19" s="402"/>
      <c r="Q19" s="402"/>
      <c r="R19" s="403"/>
      <c r="S19" s="404"/>
      <c r="T19" s="402"/>
      <c r="U19" s="808"/>
      <c r="V19" s="808"/>
      <c r="W19" s="402"/>
      <c r="X19" s="799"/>
      <c r="Y19" s="402"/>
      <c r="Z19" s="402"/>
      <c r="AA19" s="402"/>
      <c r="AB19" s="402"/>
      <c r="AC19" s="402"/>
      <c r="AD19" s="800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LEFT(SETUP!$B$3,1)&amp;"-"&amp;SETUP!$B$50&amp;"_"&amp;RIGHT(COMM!$O$32,3)&amp;"_"&amp;RIGHT(COMM!E23,LEN(COMM!E23)-3)&amp;"_"&amp;SETUP!$B$64</f>
        <v>R-SH_Det_SMF_X0</v>
      </c>
      <c r="N20" s="26" t="str">
        <f>COMM!$P$26&amp;" "&amp;COMM!F23&amp;" "&amp;SETUP!C64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6">
        <f>E19/SUM($E$7:$E$25)</f>
        <v>4.3826607101153388E-2</v>
      </c>
      <c r="S20" s="397">
        <f>R20*DwellingStocks!$K$28/1000</f>
        <v>32.230381771427382</v>
      </c>
      <c r="T20" s="398">
        <f>(S20*1000)/E19*DwellingStocks!$T$27-0.19617</f>
        <v>1.8052842124396307</v>
      </c>
      <c r="U20" s="805">
        <f>G19/100</f>
        <v>0.61474226804123711</v>
      </c>
      <c r="V20" s="806">
        <f>SUM(AB20:AB22)/S20/X20</f>
        <v>0.13495608652757685</v>
      </c>
      <c r="W20" s="399">
        <v>20</v>
      </c>
      <c r="X20" s="802">
        <f>31.536*(AD20/1000)</f>
        <v>0.94608000000000003</v>
      </c>
      <c r="Y20" s="515">
        <f>RSD_Balance!$H$2</f>
        <v>0.19400000000000001</v>
      </c>
      <c r="Z20" s="399">
        <v>5</v>
      </c>
      <c r="AA20" s="399"/>
      <c r="AB20" s="400">
        <f>AC20*$U$20</f>
        <v>0.79833931567642635</v>
      </c>
      <c r="AC20" s="401">
        <f>IF(((D19+I19)*$B$2)&lt;=0,0,((D19+I19)*T20*$B$2))*Y20</f>
        <v>1.2986569448367158</v>
      </c>
      <c r="AD20" s="798">
        <v>30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R-SH_Det_SMF_X0</v>
      </c>
      <c r="AI20" s="294" t="str">
        <f>N20</f>
        <v>Residential Space Heating Detached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807"/>
      <c r="V21" s="804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3.0616724271302127</v>
      </c>
      <c r="AC21" s="394">
        <f>IF(((D19+I19)*$B$2)&lt;=0,0,((D19+I19)*T20*$B$2))*Y21</f>
        <v>4.9804163245284361</v>
      </c>
      <c r="AD21" s="393">
        <v>30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>M23</f>
        <v>R-SH_Det_WOO_X0</v>
      </c>
      <c r="AI21" s="26" t="str">
        <f>N23</f>
        <v>Residential Space Heating Detached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805"/>
      <c r="V22" s="806"/>
      <c r="W22" s="399"/>
      <c r="X22" s="802"/>
      <c r="Y22" s="515">
        <f>RSD_Balance!$H$4</f>
        <v>6.2E-2</v>
      </c>
      <c r="Z22" s="399">
        <v>5</v>
      </c>
      <c r="AA22" s="399"/>
      <c r="AB22" s="400">
        <f>AC22*$U$20</f>
        <v>0.25513936892751771</v>
      </c>
      <c r="AC22" s="401">
        <f>IF(((D19+I19)*$B$2)&lt;=0,0,((D19+I19)*T20*$B$2))*Y22</f>
        <v>0.41503469371070295</v>
      </c>
      <c r="AD22" s="798">
        <v>30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>M24</f>
        <v>R-SH_Det_HET_X0</v>
      </c>
      <c r="AI22" s="294" t="str">
        <f>N24</f>
        <v>Residential Space Heating Detached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LEFT(SETUP!$B$3,1)&amp;"-"&amp;SETUP!$B$50&amp;"_"&amp;RIGHT(COMM!$O$32,3)&amp;"_"&amp;RIGHT(O23,LEN(O23)-3)&amp;"_"&amp;SETUP!$B$64</f>
        <v>R-SH_Det_WOO_X0</v>
      </c>
      <c r="N23" s="294" t="str">
        <f>COMM!$P$26&amp;" "&amp;COMM!F16&amp;" "&amp;SETUP!C64</f>
        <v>Residential Space Heating Detached Biomass to Residential Existing 00</v>
      </c>
      <c r="O23" s="294" t="str">
        <f>COMM!E16</f>
        <v>RSDWOO</v>
      </c>
      <c r="P23" s="294"/>
      <c r="Q23" s="294" t="str">
        <f>COMM!O11&amp;","&amp;COMM!O14&amp;","&amp;COMM!O17&amp;","&amp;COMM!O20&amp;","&amp;COMM!O23&amp;","&amp;COMM!O26</f>
        <v>RSDSH_Det-AB,RSDSH_Det-C,RSDSH_Det-D,RSDSH_Det-E,RSDSH_Det-F,RSDSH_Det-G</v>
      </c>
      <c r="R23" s="389">
        <f>(E20+E21+E22+E23)/SUM($E$7:$E$25)</f>
        <v>4.9608630470321458E-3</v>
      </c>
      <c r="S23" s="390">
        <f>R23*DwellingStocks!$K$28/1000</f>
        <v>3.6482520664348832</v>
      </c>
      <c r="T23" s="391">
        <f>(S23*1000)/(E20+E21+E22+E23)*DwellingStocks!$T$27+0.1866</f>
        <v>2.1880542124396309</v>
      </c>
      <c r="U23" s="804">
        <f>(G21+G22+G23)/300</f>
        <v>0.72928609692169366</v>
      </c>
      <c r="V23" s="804">
        <f>AB23/S23/X23</f>
        <v>9.4687203541950787E-2</v>
      </c>
      <c r="W23" s="393">
        <v>20</v>
      </c>
      <c r="X23" s="391">
        <f t="shared" ref="X23:X24" si="3">31.536*(AD23/1000)</f>
        <v>0.94608000000000003</v>
      </c>
      <c r="Y23" s="393"/>
      <c r="Z23" s="393"/>
      <c r="AA23" s="393"/>
      <c r="AB23" s="394">
        <f>AC23*U23</f>
        <v>0.32681651096645076</v>
      </c>
      <c r="AC23" s="394">
        <f>IF(((D20+I20+D21+I21+D22+I22+D23+I23)*$B$2)&lt;=0,0,((D20+I20+D21+I21+D22+I22+D23+I23)*T23*$B$2))</f>
        <v>0.44813210116844215</v>
      </c>
      <c r="AD23" s="393">
        <v>30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LEFT(SETUP!$B$3,1)&amp;"-"&amp;SETUP!$B$50&amp;"_"&amp;RIGHT(COMM!$O$32,3)&amp;"_"&amp;RIGHT(O24,LEN(O24)-3)&amp;"_"&amp;SETUP!$B$64</f>
        <v>R-SH_Det_HET_X0</v>
      </c>
      <c r="N24" s="395" t="str">
        <f>COMM!$P$26&amp;" "&amp;COMM!F25&amp;" "&amp;SETUP!C64</f>
        <v>Residential Space Heating Detached Heat to Residential Existing 00</v>
      </c>
      <c r="O24" s="26" t="str">
        <f>COMM!E25</f>
        <v>RSDHET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6">
        <f>E24/SUM($E$7:$E$25)</f>
        <v>7.156901890175457E-4</v>
      </c>
      <c r="S24" s="397">
        <f>R24*DwellingStocks!$K$28/1000</f>
        <v>0.52632338088278496</v>
      </c>
      <c r="T24" s="398">
        <f>(S24*1000)/E24*DwellingStocks!$T$27</f>
        <v>2.0014542124396306</v>
      </c>
      <c r="U24" s="806">
        <f>G24/100</f>
        <v>0.65865731206453049</v>
      </c>
      <c r="V24" s="806">
        <f>AB24/S24/X24</f>
        <v>0.20349399476137303</v>
      </c>
      <c r="W24" s="399">
        <v>20</v>
      </c>
      <c r="X24" s="802">
        <f t="shared" si="3"/>
        <v>0.94608000000000003</v>
      </c>
      <c r="Y24" s="399"/>
      <c r="Z24" s="399"/>
      <c r="AA24" s="399"/>
      <c r="AB24" s="400">
        <f>AC24*U24</f>
        <v>0.10132861864907848</v>
      </c>
      <c r="AC24" s="401">
        <f>IF(((D24+I24)*$B$2)&lt;=0,0,((D24+I24)*T24*$B$2))</f>
        <v>0.15384118082811329</v>
      </c>
      <c r="AD24" s="798">
        <v>30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405"/>
      <c r="M25" s="405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5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657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735.40672899999993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37.472394921512809</v>
      </c>
      <c r="AC27" s="382">
        <f>SUM(AC6:AC25)</f>
        <v>47.410321654805692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4" t="s">
        <v>643</v>
      </c>
      <c r="C28" s="1145"/>
      <c r="D28" s="1145"/>
      <c r="E28" s="1145"/>
      <c r="F28" s="1145"/>
      <c r="G28" s="1146"/>
      <c r="H28" s="1144" t="s">
        <v>644</v>
      </c>
      <c r="I28" s="1145"/>
      <c r="J28" s="1146"/>
      <c r="K28" s="261"/>
      <c r="L28" s="261"/>
      <c r="M28" s="261"/>
      <c r="N28" s="261"/>
      <c r="O28" s="261"/>
      <c r="P28" s="261"/>
      <c r="Q28" s="261"/>
      <c r="R28" s="261"/>
      <c r="S28" s="261"/>
      <c r="T28" s="443"/>
      <c r="U28" s="261"/>
      <c r="V28" s="261"/>
      <c r="W28" s="261"/>
      <c r="X28" s="261"/>
      <c r="Y28" s="261"/>
      <c r="Z28" s="261"/>
      <c r="AA28" s="261"/>
      <c r="AB28" s="261"/>
      <c r="AC28" s="261"/>
      <c r="AD28" s="796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657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830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832</v>
      </c>
      <c r="AB30" s="27" t="s">
        <v>637</v>
      </c>
      <c r="AC30" s="31" t="s">
        <v>636</v>
      </c>
      <c r="AD30" s="31" t="s">
        <v>833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831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834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LEFT(SETUP!B3,1)&amp;"-"&amp;RIGHT(COMM!$O$32,6)&amp;"_"&amp;RIGHT(O33,LEN(O33)-3)&amp;"_"&amp;SETUP!$B$64</f>
        <v>R-WH_Det_COA_X0</v>
      </c>
      <c r="N33" s="294" t="str">
        <f>COMM!$P$32&amp;" "&amp;COMM!F6&amp;" "&amp;SETUP!$C$64</f>
        <v>Residential Water Heating Detached Coal to Residential Existing 00</v>
      </c>
      <c r="O33" s="294" t="str">
        <f>COMM!$E$6</f>
        <v>RSDCOA</v>
      </c>
      <c r="P33" s="294"/>
      <c r="Q33" s="294" t="str">
        <f>COMM!$O$32</f>
        <v>RSDWH_Det</v>
      </c>
      <c r="R33" s="389">
        <f>(E31+E38+E40)/SUM($E$31:$E$49)-($R$51/7)</f>
        <v>4.2750604037060293E-3</v>
      </c>
      <c r="S33" s="390">
        <f>R33*DwellingStocks!$K$28/1000</f>
        <v>3.1439081877668702</v>
      </c>
      <c r="T33" s="444">
        <f>IFERROR((S33*1000)/(E31+E38+E40),0)+1.0376</f>
        <v>3.1349370165222616</v>
      </c>
      <c r="U33" s="804">
        <f>U7</f>
        <v>0.61986329460013678</v>
      </c>
      <c r="V33" s="804">
        <f>IFERROR(AB33/S33/X33,0)</f>
        <v>7.0651721487066416E-2</v>
      </c>
      <c r="W33" s="393">
        <v>20</v>
      </c>
      <c r="X33" s="391">
        <f t="shared" ref="X33:X40" si="4">31.536*(AD33/1000)</f>
        <v>0.25228800000000001</v>
      </c>
      <c r="Y33" s="393"/>
      <c r="Z33" s="393"/>
      <c r="AA33" s="393"/>
      <c r="AB33" s="394">
        <f>AC33*U33</f>
        <v>5.6038847754470135E-2</v>
      </c>
      <c r="AC33" s="394">
        <f>IF(((D31+I31+D38+I38+D40+I40)*$B$2)&lt;=0,0,((D31+I31+D38+I38+D40+I40)*T33*$B$2))</f>
        <v>9.0405171983315838E-2</v>
      </c>
      <c r="AD33" s="393">
        <v>8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5">M33</f>
        <v>R-WH_Det_COA_X0</v>
      </c>
      <c r="AI33" s="294" t="str">
        <f t="shared" si="5"/>
        <v>Residential Water Heating Detached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LEFT(SETUP!B3,1)&amp;"-"&amp;RIGHT(COMM!$O$32,6)&amp;"_"&amp;RIGHT(O34,LEN(O34)-3)&amp;"_"&amp;SETUP!$B$64</f>
        <v>R-WH_Det_BDL_X0</v>
      </c>
      <c r="N34" s="395" t="str">
        <f>COMM!$P$32&amp;" "&amp;COMM!F21&amp;" "&amp;SETUP!$C$64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6">
        <f>E32/SUM($E$31:$E$49)</f>
        <v>7.6099157201833988E-6</v>
      </c>
      <c r="S34" s="397">
        <f>R34*DwellingStocks!$K$28/1000</f>
        <v>5.5963832277457527E-3</v>
      </c>
      <c r="T34" s="398">
        <f>IFERROR((S34*1000)/E32,0)</f>
        <v>2.7981916138728762</v>
      </c>
      <c r="U34" s="805">
        <v>0.9</v>
      </c>
      <c r="V34" s="806">
        <f>AB34/S34/X34</f>
        <v>4.2328767123287675E-2</v>
      </c>
      <c r="W34" s="399">
        <v>20</v>
      </c>
      <c r="X34" s="802">
        <f t="shared" si="4"/>
        <v>0.25228800000000001</v>
      </c>
      <c r="Y34" s="399"/>
      <c r="Z34" s="399"/>
      <c r="AA34" s="399"/>
      <c r="AB34" s="400">
        <f>AC34*U34</f>
        <v>5.9764000344426004E-5</v>
      </c>
      <c r="AC34" s="401">
        <f>IF(((D32+I32)*$B$2)&lt;=0,0,((D32+I32)*T34*$B$2))</f>
        <v>6.6404444827140003E-5</v>
      </c>
      <c r="AD34" s="798">
        <v>8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5"/>
        <v>R-WH_Det_BDL_X0</v>
      </c>
      <c r="AI34" s="26" t="str">
        <f t="shared" si="5"/>
        <v>Residential Water Heating Detached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LEFT(SETUP!B3,1)&amp;"-"&amp;RIGHT(COMM!$O$32,6)&amp;"_"&amp;RIGHT(O35,LEN(O35)-3)&amp;"_"&amp;SETUP!$B$64</f>
        <v>R-WH_Det_ETH_X0</v>
      </c>
      <c r="N35" s="294" t="str">
        <f>COMM!$P$32&amp;" "&amp;COMM!F20&amp;" "&amp;SETUP!$C$64</f>
        <v>Residential Water Heating Detached Ethanol to Residential Existing 00</v>
      </c>
      <c r="O35" s="294" t="str">
        <f>COMM!$E$20</f>
        <v>RSDETH</v>
      </c>
      <c r="P35" s="294"/>
      <c r="Q35" s="294" t="str">
        <f>COMM!$O$32</f>
        <v>RSDWH_Det</v>
      </c>
      <c r="R35" s="389">
        <f>E33/SUM($E$31:$E$49)</f>
        <v>7.6099157201833988E-6</v>
      </c>
      <c r="S35" s="390">
        <f>R35*DwellingStocks!$K$28/1000</f>
        <v>5.5963832277457527E-3</v>
      </c>
      <c r="T35" s="391">
        <f>IFERROR((S35*1000)/E33,0)</f>
        <v>2.7981916138728762</v>
      </c>
      <c r="U35" s="807">
        <v>0.9</v>
      </c>
      <c r="V35" s="804">
        <f>IFERROR(AB35/S35/X35,0)</f>
        <v>4.7947345890410956E-2</v>
      </c>
      <c r="W35" s="393">
        <v>20</v>
      </c>
      <c r="X35" s="391">
        <f t="shared" si="4"/>
        <v>0.25228800000000001</v>
      </c>
      <c r="Y35" s="393"/>
      <c r="Z35" s="393"/>
      <c r="AA35" s="393"/>
      <c r="AB35" s="394">
        <f>IFERROR(AC35*U35,0)</f>
        <v>6.7696873569755606E-5</v>
      </c>
      <c r="AC35" s="394">
        <f>IF(((D33+I33)*$B$2)&lt;=0,0,((D33+I33)*T35*$B$2))</f>
        <v>7.5218748410839565E-5</v>
      </c>
      <c r="AD35" s="393">
        <v>8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5"/>
        <v>R-WH_Det_ETH_X0</v>
      </c>
      <c r="AI35" s="294" t="str">
        <f t="shared" si="5"/>
        <v>Residential Water Heating Detached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LEFT(SETUP!B3,1)&amp;"-"&amp;RIGHT(COMM!$O$32,6)&amp;"_"&amp;RIGHT(O36,LEN(O36)-3)&amp;"_"&amp;SETUP!$B$64</f>
        <v>R-WH_Det_LPG_X0</v>
      </c>
      <c r="N36" s="395" t="str">
        <f>COMM!$P$32&amp;" "&amp;COMM!F8&amp;" "&amp;SETUP!$C$64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6">
        <f>(E34+E35)/SUM($E$31:$E$49)-($R$51/7)</f>
        <v>2.0773357685063637E-2</v>
      </c>
      <c r="S36" s="397">
        <f>(R36)*DwellingStocks!$K$28/1000</f>
        <v>15.276867025519659</v>
      </c>
      <c r="T36" s="398">
        <f>IFERROR((S36*1000)/(E34+E35),0)+0.5284</f>
        <v>3.1465434491036262</v>
      </c>
      <c r="U36" s="806">
        <f>U10</f>
        <v>0.82661774762699336</v>
      </c>
      <c r="V36" s="806">
        <f t="shared" ref="V36:V44" si="6">AB36/S36/X36</f>
        <v>6.7402586104361437E-2</v>
      </c>
      <c r="W36" s="399">
        <v>20</v>
      </c>
      <c r="X36" s="802">
        <f t="shared" si="4"/>
        <v>0.25228800000000001</v>
      </c>
      <c r="Y36" s="399"/>
      <c r="Z36" s="399"/>
      <c r="AA36" s="399"/>
      <c r="AB36" s="400">
        <f>AC36*U36</f>
        <v>0.25978104066268881</v>
      </c>
      <c r="AC36" s="401">
        <f>IF(((D34+I34+D35+I35)*$B$2)&lt;=0,0,((D34+I34+D35+I35)*T36*$B$2))</f>
        <v>0.31426985618014286</v>
      </c>
      <c r="AD36" s="798">
        <v>8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5"/>
        <v>R-WH_Det_LPG_X0</v>
      </c>
      <c r="AI36" s="26" t="str">
        <f t="shared" si="5"/>
        <v>Residential Water Heating Detached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LEFT(SETUP!B3,1)&amp;"-"&amp;RIGHT(COMM!$O$32,6)&amp;"_"&amp;RIGHT(O38,LEN(O38)-3)&amp;"_"&amp;SETUP!$B$64</f>
        <v>R-WH_Det_ELC_X0</v>
      </c>
      <c r="N37" s="294" t="str">
        <f>COMM!$P$32&amp;" "&amp;COMM!F24&amp;" "&amp;SETUP!$C$64</f>
        <v>Residential Water Heating Detached Electricity to Residential Existing 00</v>
      </c>
      <c r="O37" s="294" t="str">
        <f>COMM!$E$24</f>
        <v>RSDELC</v>
      </c>
      <c r="P37" s="294"/>
      <c r="Q37" s="294" t="str">
        <f>COMM!$O$32</f>
        <v>RSDWH_Det</v>
      </c>
      <c r="R37" s="389">
        <f>(ArchetypeDemand!Y52*SUM(E36+E49))/SUM($E$31:$E$49)-($R$51/7)</f>
        <v>4.604512680022068E-2</v>
      </c>
      <c r="S37" s="390">
        <f>R37*DwellingStocks!$K$28/1000</f>
        <v>33.861896086540526</v>
      </c>
      <c r="T37" s="391">
        <f>IFERROR((S37*1000)/E49,0)-0.67619</f>
        <v>4.6995674355517583</v>
      </c>
      <c r="U37" s="804">
        <f>U11</f>
        <v>0.99952095808383234</v>
      </c>
      <c r="V37" s="804">
        <f t="shared" si="6"/>
        <v>4.473547342435312E-2</v>
      </c>
      <c r="W37" s="393">
        <v>20</v>
      </c>
      <c r="X37" s="391">
        <f t="shared" si="4"/>
        <v>0.25228800000000001</v>
      </c>
      <c r="Y37" s="393"/>
      <c r="Z37" s="393"/>
      <c r="AA37" s="393"/>
      <c r="AB37" s="394">
        <f>AC37*U37</f>
        <v>0.38217291447467905</v>
      </c>
      <c r="AC37" s="394">
        <f>IF(((D49+I49)*$B$2)&lt;=0,0,((D49+I49)*T37*$B$2))</f>
        <v>0.38235607906345198</v>
      </c>
      <c r="AD37" s="393">
        <v>8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5"/>
        <v>R-WH_Det_ELC_X0</v>
      </c>
      <c r="AI37" s="294" t="str">
        <f t="shared" si="5"/>
        <v>Residential Water Heating Detached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LEFT(SETUP!B3,1)&amp;"-"&amp;RIGHT(COMM!$O$32,6)&amp;"_"&amp;RIGHT(O38,LEN(O38)-3)&amp;"_"&amp;SETUP!$B$65</f>
        <v>R-WH_Det_ELC_X1</v>
      </c>
      <c r="N38" s="395" t="str">
        <f>COMM!$P$32&amp;" "&amp;COMM!F24&amp;" "&amp;SETUP!$C$65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6">
        <f>(ArchetypeDemand!Z52*SUM(E36+E49)/SUM($E$31:$E$49)-($R$51/7))</f>
        <v>1.8917299240910908E-2</v>
      </c>
      <c r="S38" s="397">
        <f>R38*DwellingStocks!$K$28/1000</f>
        <v>13.911909156272472</v>
      </c>
      <c r="T38" s="398">
        <f>IFERROR((S38*1000)/E36,0)+0.392</f>
        <v>1.5991070851429479</v>
      </c>
      <c r="U38" s="806">
        <f>U12</f>
        <v>3.0897837837837834</v>
      </c>
      <c r="V38" s="806">
        <f t="shared" si="6"/>
        <v>0.458133885220118</v>
      </c>
      <c r="W38" s="399">
        <v>20</v>
      </c>
      <c r="X38" s="802">
        <f t="shared" si="4"/>
        <v>6.3072000000000003E-2</v>
      </c>
      <c r="Y38" s="399"/>
      <c r="Z38" s="399"/>
      <c r="AA38" s="399"/>
      <c r="AB38" s="400">
        <f>AC38*U38</f>
        <v>0.40199046375679048</v>
      </c>
      <c r="AC38" s="401">
        <f>IF(((D49+I49)*$B$2)&lt;=0,0,((D49+I49)*T38*$B$2))</f>
        <v>0.13010310490545346</v>
      </c>
      <c r="AD38" s="798">
        <v>2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5"/>
        <v>R-WH_Det_ELC_X1</v>
      </c>
      <c r="AI38" s="26" t="str">
        <f t="shared" si="5"/>
        <v>Residential Water Heating Detached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846</v>
      </c>
      <c r="Q39" s="26"/>
      <c r="R39" s="396"/>
      <c r="S39" s="397"/>
      <c r="T39" s="398"/>
      <c r="U39" s="806"/>
      <c r="V39" s="806"/>
      <c r="W39" s="399"/>
      <c r="X39" s="802">
        <f t="shared" si="4"/>
        <v>0.18921600000000002</v>
      </c>
      <c r="Y39" s="399"/>
      <c r="Z39" s="399"/>
      <c r="AA39" s="399">
        <f>AC39/AB38</f>
        <v>0.210663723492236</v>
      </c>
      <c r="AB39" s="400"/>
      <c r="AC39" s="401">
        <f>RSD_Balance!K22</f>
        <v>8.4684807903376222E-2</v>
      </c>
      <c r="AD39" s="798">
        <v>6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R-WH_Det_KER_X0</v>
      </c>
      <c r="AI39" s="294" t="str">
        <f>N40</f>
        <v>Residential Water Heating Detached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LEFT(SETUP!B3,1)&amp;"-"&amp;RIGHT(COMM!$O$32,6)&amp;"_"&amp;RIGHT(O40,LEN(O40)-3)&amp;"_"&amp;SETUP!$B$64</f>
        <v>R-WH_Det_KER_X0</v>
      </c>
      <c r="N40" s="294" t="str">
        <f>COMM!$P$32&amp;" "&amp;COMM!F10&amp;" "&amp;SETUP!$C$64</f>
        <v>Residential Water Heating Detached Kerosene to Residential Existing 00</v>
      </c>
      <c r="O40" s="294" t="str">
        <f>COMM!$E$10</f>
        <v>RSDKER</v>
      </c>
      <c r="P40" s="294"/>
      <c r="Q40" s="294" t="str">
        <f>COMM!$O$32</f>
        <v>RSDWH_Det</v>
      </c>
      <c r="R40" s="389">
        <f>E37/SUM($E$31:$E$49)-($R$51/7)</f>
        <v>0.69549131518368434</v>
      </c>
      <c r="S40" s="390">
        <f>R40*DwellingStocks!$K$28/1000</f>
        <v>511.4689931471413</v>
      </c>
      <c r="T40" s="444">
        <f>IFERROR((S40*1000)/E37,0)-0.1727</f>
        <v>2.6197557801450162</v>
      </c>
      <c r="U40" s="804">
        <f>U14</f>
        <v>0.82280373831775711</v>
      </c>
      <c r="V40" s="804">
        <f t="shared" si="6"/>
        <v>5.371147507918328E-2</v>
      </c>
      <c r="W40" s="393">
        <v>20</v>
      </c>
      <c r="X40" s="391">
        <f t="shared" si="4"/>
        <v>0.25228800000000001</v>
      </c>
      <c r="Y40" s="393"/>
      <c r="Z40" s="393"/>
      <c r="AA40" s="393"/>
      <c r="AB40" s="394">
        <f>AC40*U40</f>
        <v>6.9307938931326154</v>
      </c>
      <c r="AC40" s="394">
        <f>IF(((D37+I37)*$B$2)&lt;=0,0,((D37+I37)*T40*$B$2))</f>
        <v>8.4233864898363215</v>
      </c>
      <c r="AD40" s="393">
        <v>8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808"/>
      <c r="V41" s="808"/>
      <c r="W41" s="402"/>
      <c r="X41" s="799"/>
      <c r="Y41" s="402"/>
      <c r="Z41" s="402"/>
      <c r="AA41" s="402"/>
      <c r="AB41" s="402"/>
      <c r="AC41" s="402"/>
      <c r="AD41" s="800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R-WH_Det_GAS_X0</v>
      </c>
      <c r="AI41" s="294" t="str">
        <f>N42</f>
        <v>Residential Water Heating Detached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LEFT(SETUP!B3,1)&amp;"-"&amp;RIGHT(COMM!$O$32,6)&amp;"_"&amp;MID(O42,4,3)&amp;"_"&amp;SETUP!$B$64</f>
        <v>R-WH_Det_GAS_X0</v>
      </c>
      <c r="N42" s="294" t="str">
        <f>COMM!$P$32&amp;" "&amp;COMM!F14&amp;" "&amp;SETUP!$C$64</f>
        <v>Residential Water Heating Detached Natural Gas to Residential Existing 00</v>
      </c>
      <c r="O42" s="294" t="str">
        <f>COMM!$E$14&amp;","&amp;COMM!$E$17</f>
        <v>RSDGAS,RSDBGS</v>
      </c>
      <c r="P42" s="294"/>
      <c r="Q42" s="294" t="str">
        <f>COMM!$O$32</f>
        <v>RSDWH_Det</v>
      </c>
      <c r="R42" s="389">
        <f>E39/SUM($E$31:$E$49)-($R$51/7)</f>
        <v>0.15662937807963778</v>
      </c>
      <c r="S42" s="390">
        <f>R42*DwellingStocks!$K$28/1000</f>
        <v>115.18629859885071</v>
      </c>
      <c r="T42" s="444">
        <f>IFERROR((S42*1000)/E39,0)-0.66693</f>
        <v>2.1059707847580817</v>
      </c>
      <c r="U42" s="804">
        <f>U16</f>
        <v>0.82728758169934635</v>
      </c>
      <c r="V42" s="804">
        <f t="shared" si="6"/>
        <v>4.2554933846820381E-2</v>
      </c>
      <c r="W42" s="393">
        <v>20</v>
      </c>
      <c r="X42" s="391">
        <f t="shared" ref="X42" si="7">31.536*(AD42/1000)</f>
        <v>0.25228800000000001</v>
      </c>
      <c r="Y42" s="393"/>
      <c r="Z42" s="393"/>
      <c r="AA42" s="393"/>
      <c r="AB42" s="394">
        <f>AC42*U42</f>
        <v>1.2366515225186934</v>
      </c>
      <c r="AC42" s="394">
        <f>IF(((D39+I39)*$B$2)&lt;=0,0,((D39+I39)*T42*$B$2))</f>
        <v>1.4948266478005934</v>
      </c>
      <c r="AD42" s="393">
        <v>8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808"/>
      <c r="V43" s="808"/>
      <c r="W43" s="402"/>
      <c r="X43" s="799"/>
      <c r="Y43" s="402"/>
      <c r="Z43" s="402"/>
      <c r="AA43" s="402"/>
      <c r="AB43" s="402"/>
      <c r="AC43" s="402"/>
      <c r="AD43" s="800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R-WH_Det_PEA_X0</v>
      </c>
      <c r="AI43" s="294" t="str">
        <f>N44</f>
        <v>Residential Water Heating Detached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LEFT(SETUP!B3,1)&amp;"-"&amp;RIGHT(COMM!$O$32,6)&amp;"_"&amp;RIGHT(O44,LEN(O44)-3)&amp;"_"&amp;SETUP!$B$64</f>
        <v>R-WH_Det_PEA_X0</v>
      </c>
      <c r="N44" s="294" t="str">
        <f>COMM!$P$32&amp;" "&amp;COMM!F7&amp;" "&amp;SETUP!$C$64</f>
        <v>Residential Water Heating Detached Peat to Residential Existing 00</v>
      </c>
      <c r="O44" s="294" t="str">
        <f>COMM!$E$7</f>
        <v>RSDPEA</v>
      </c>
      <c r="P44" s="294"/>
      <c r="Q44" s="294" t="str">
        <f>COMM!$O$32</f>
        <v>RSDWH_Det</v>
      </c>
      <c r="R44" s="389">
        <f>(E41+E42)/SUM($E$31:$E$49)</f>
        <v>3.0135266251926258E-3</v>
      </c>
      <c r="S44" s="390">
        <f>R44*DwellingStocks!$K$28/1000</f>
        <v>2.2161677581873178</v>
      </c>
      <c r="T44" s="391">
        <f>IFERROR((S38*1000)/E36,0)+0.16</f>
        <v>1.3671070851429477</v>
      </c>
      <c r="U44" s="804">
        <f>U18</f>
        <v>0.5457894736842106</v>
      </c>
      <c r="V44" s="804">
        <f t="shared" si="6"/>
        <v>2.3589745043839934E-2</v>
      </c>
      <c r="W44" s="393">
        <v>20</v>
      </c>
      <c r="X44" s="391">
        <f t="shared" ref="X44" si="8">31.536*(AD44/1000)</f>
        <v>0.25228800000000001</v>
      </c>
      <c r="Y44" s="393"/>
      <c r="Z44" s="393"/>
      <c r="AA44" s="393"/>
      <c r="AB44" s="394">
        <f>AC44*U44</f>
        <v>1.3189322066012645E-2</v>
      </c>
      <c r="AC44" s="394">
        <f>IF(((D41+I41+D42+I42)*$B$2)&lt;=0,0,((D41+I41+D42+I42)*T44*$B$2))</f>
        <v>2.4165585270418535E-2</v>
      </c>
      <c r="AD44" s="393">
        <v>8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808"/>
      <c r="V45" s="808"/>
      <c r="W45" s="402"/>
      <c r="X45" s="799"/>
      <c r="Y45" s="402"/>
      <c r="Z45" s="402"/>
      <c r="AA45" s="402"/>
      <c r="AB45" s="402"/>
      <c r="AC45" s="402"/>
      <c r="AD45" s="800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R-WH_Det_SMF_X0</v>
      </c>
      <c r="AI45" s="294" t="str">
        <f>N46</f>
        <v>Residential Water Heating Detached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LEFT(SETUP!B3,1)&amp;"-"&amp;RIGHT(COMM!$O$32,6)&amp;"_"&amp;RIGHT(COMM!E23,LEN(COMM!E23)-3)&amp;"_"&amp;SETUP!B64</f>
        <v>R-WH_Det_SMF_X0</v>
      </c>
      <c r="N46" s="26" t="str">
        <f>COMM!$P$32&amp;" "&amp;COMM!F23&amp;" "&amp;SETUP!C64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6">
        <f>E43/SUM($E$31:$E$49)-($R$51/7)</f>
        <v>3.9265452885109291E-2</v>
      </c>
      <c r="S46" s="397">
        <f>R46*DwellingStocks!$K$28/1000</f>
        <v>28.876078268941832</v>
      </c>
      <c r="T46" s="398">
        <f>(S46*1000)/E43-0.19617</f>
        <v>2.5037905674559919</v>
      </c>
      <c r="U46" s="805">
        <f>U20</f>
        <v>0.61474226804123711</v>
      </c>
      <c r="V46" s="806">
        <f>SUM(AB46:AB48)/S46/X46</f>
        <v>4.3752307505030223E-2</v>
      </c>
      <c r="W46" s="399">
        <v>20</v>
      </c>
      <c r="X46" s="802">
        <f t="shared" ref="X46" si="9">31.536*(AD46/1000)</f>
        <v>0.25228800000000001</v>
      </c>
      <c r="Y46" s="515">
        <f>RSD_Balance!$H$2</f>
        <v>0.19400000000000001</v>
      </c>
      <c r="Z46" s="399">
        <v>5</v>
      </c>
      <c r="AA46" s="399"/>
      <c r="AB46" s="400">
        <f>AC46*$U$46</f>
        <v>6.1835445904440102E-2</v>
      </c>
      <c r="AC46" s="401">
        <f>IF(((D43+I43)*$B$2)&lt;=0,0,((D43+I43)*T46*$B$2))*Y46</f>
        <v>0.10058759437750613</v>
      </c>
      <c r="AD46" s="798">
        <v>8</v>
      </c>
      <c r="AE46" s="517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R-WH_Det_WOO_X0</v>
      </c>
      <c r="AI46" s="26" t="str">
        <f>N49</f>
        <v>Residential Water Heating Detached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807"/>
      <c r="V47" s="804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 t="shared" ref="AB47:AB48" si="10">AC47*$U$46</f>
        <v>0.23714212243764654</v>
      </c>
      <c r="AC47" s="394">
        <f>IF(((D43+I43)*$B$2)&lt;=0,0,((D43+I43)*T46*$B$2))*Y47</f>
        <v>0.38575860936528117</v>
      </c>
      <c r="AD47" s="393">
        <v>8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R-WH_Det_HET_X0</v>
      </c>
      <c r="AI47" s="294" t="str">
        <f>N50</f>
        <v>Residential Water Heating Detached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805"/>
      <c r="V48" s="806"/>
      <c r="W48" s="399"/>
      <c r="X48" s="802"/>
      <c r="Y48" s="515">
        <f>RSD_Balance!$H$4</f>
        <v>6.2E-2</v>
      </c>
      <c r="Z48" s="399">
        <v>5</v>
      </c>
      <c r="AA48" s="399"/>
      <c r="AB48" s="400">
        <f t="shared" si="10"/>
        <v>1.9761843536470546E-2</v>
      </c>
      <c r="AC48" s="401">
        <f>IF(((D43+I43)*$B$2)&lt;=0,0,((D43+I43)*T46*$B$2))*Y48</f>
        <v>3.2146550780440097E-2</v>
      </c>
      <c r="AD48" s="798">
        <v>8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R-WH_Det_SOL_X0</v>
      </c>
      <c r="AI48" s="26" t="str">
        <f t="shared" ref="AI48" si="12">N51</f>
        <v>Residential Water Heating Detached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LEFT(SETUP!B3,1)&amp;"-"&amp;RIGHT(COMM!$O$32,6)&amp;"_"&amp;RIGHT(O49,LEN(O49)-3)&amp;"_"&amp;SETUP!B64</f>
        <v>R-WH_Det_WOO_X0</v>
      </c>
      <c r="N49" s="294" t="str">
        <f>COMM!$P$32&amp;" "&amp;COMM!F16&amp;" "&amp;SETUP!C64</f>
        <v>Residential Water Heating Detached Biomass to Residential Existing 00</v>
      </c>
      <c r="O49" s="294" t="str">
        <f>COMM!E16</f>
        <v>RSDWOO</v>
      </c>
      <c r="P49" s="294"/>
      <c r="Q49" s="294" t="str">
        <f>COMM!$O$32</f>
        <v>RSDWH_Det</v>
      </c>
      <c r="R49" s="389">
        <f>(E47+E44+E45+E46)/SUM($E$31:$E$49)</f>
        <v>4.8513212716169169E-3</v>
      </c>
      <c r="S49" s="390">
        <f>R49*DwellingStocks!$K$28/1000</f>
        <v>3.5676943076879168</v>
      </c>
      <c r="T49" s="391">
        <f>(S49*1000)/(E47+E44+E45+E46)+0.1866</f>
        <v>2.9847916138728761</v>
      </c>
      <c r="U49" s="804">
        <f>U23</f>
        <v>0.72928609692169366</v>
      </c>
      <c r="V49" s="804">
        <f t="shared" ref="V49:V50" si="13">AB49/S49/X49</f>
        <v>5.6573502855343558E-2</v>
      </c>
      <c r="W49" s="393">
        <v>20</v>
      </c>
      <c r="X49" s="391">
        <f t="shared" ref="X49:X51" si="14">31.536*(AD49/1000)</f>
        <v>0.25228800000000001</v>
      </c>
      <c r="Y49" s="393"/>
      <c r="Z49" s="393"/>
      <c r="AA49" s="393"/>
      <c r="AB49" s="394">
        <f>AC49*U49</f>
        <v>5.0921043999611441E-2</v>
      </c>
      <c r="AC49" s="394">
        <f>IF(((D44+I44+D45+I45+D46+I46+D47+I47)*$B$2)&lt;=0,0,((D44+I44+D45+I45+D46+I46+D47+I47)*T49*$B$2))</f>
        <v>6.9823138291746481E-2</v>
      </c>
      <c r="AD49" s="393">
        <v>8</v>
      </c>
      <c r="AE49" s="261"/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LEFT(SETUP!B3,1)&amp;"-"&amp;RIGHT(COMM!$O$32,6)&amp;"_"&amp;RIGHT(O50,LEN(O50)-3)&amp;"_"&amp;SETUP!B64</f>
        <v>R-WH_Det_HET_X0</v>
      </c>
      <c r="N50" s="395" t="str">
        <f>COMM!$P$32&amp;" "&amp;COMM!F25&amp;" "&amp;SETUP!C64</f>
        <v>Residential Water Heating Detached Heat to Residential Existing 00</v>
      </c>
      <c r="O50" s="26" t="str">
        <f>COMM!E25</f>
        <v>RSDHET</v>
      </c>
      <c r="P50" s="26"/>
      <c r="Q50" s="26" t="str">
        <f>COMM!$O$32</f>
        <v>RSDWH_Det</v>
      </c>
      <c r="R50" s="396">
        <f>E48/SUM($E$31:$E$49)</f>
        <v>7.2294199341742292E-4</v>
      </c>
      <c r="S50" s="397">
        <f>R50*DwellingStocks!$K$28/1000</f>
        <v>0.53165640663584646</v>
      </c>
      <c r="T50" s="398">
        <f>(S50*1000)/E48</f>
        <v>2.7981916138728762</v>
      </c>
      <c r="U50" s="806">
        <f>U24</f>
        <v>0.65865731206453049</v>
      </c>
      <c r="V50" s="806">
        <f t="shared" si="13"/>
        <v>5.1032329364559198E-3</v>
      </c>
      <c r="W50" s="399">
        <v>20</v>
      </c>
      <c r="X50" s="802">
        <f t="shared" si="14"/>
        <v>0.25228800000000001</v>
      </c>
      <c r="Y50" s="399"/>
      <c r="Z50" s="399"/>
      <c r="AA50" s="399"/>
      <c r="AB50" s="400">
        <f>AC50*U50</f>
        <v>6.8449934622365097E-4</v>
      </c>
      <c r="AC50" s="401">
        <f>IF(((D48+I48)*$B$2)&lt;=0,0,((D48+I48)*T50*$B$2))</f>
        <v>1.039234414749181E-3</v>
      </c>
      <c r="AD50" s="798">
        <v>8</v>
      </c>
      <c r="AE50" s="261"/>
      <c r="AF50" s="261"/>
      <c r="AG50" s="261"/>
      <c r="AH50" s="261"/>
      <c r="AI50" s="261"/>
      <c r="AJ50" s="261"/>
      <c r="AK50" s="261"/>
      <c r="AL50" s="261"/>
      <c r="AM50" s="261"/>
      <c r="AN50" s="261"/>
      <c r="AO50" s="260"/>
    </row>
    <row r="51" spans="1:43" ht="21.75" thickBot="1">
      <c r="B51" s="50" t="s">
        <v>658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LEFT(SETUP!B3,1)&amp;"-"&amp;RIGHT(COMM!$O$32,6)&amp;"_"&amp;RIGHT(O51,LEN(O51)-3)&amp;"_"&amp;SETUP!B64</f>
        <v>R-WH_Det_SOL_X0</v>
      </c>
      <c r="N51" s="294" t="str">
        <f>COMM!$P$32&amp;" "&amp;COMM!F15&amp;" "&amp;SETUP!C64</f>
        <v>Residential Water Heating Detached Solar Thermal to Residential Existing 00</v>
      </c>
      <c r="O51" s="294" t="str">
        <f>COMM!E15</f>
        <v>RSDSOL</v>
      </c>
      <c r="P51" s="294"/>
      <c r="Q51" s="294" t="str">
        <f>COMM!$O$32</f>
        <v>RSDWH_Det</v>
      </c>
      <c r="R51" s="389">
        <v>0.01</v>
      </c>
      <c r="S51" s="390">
        <f>R51*DwellingStocks!$K$28/1000</f>
        <v>7.3540672899999988</v>
      </c>
      <c r="T51" s="391">
        <f>MAX(T33:T50)</f>
        <v>4.6995674355517583</v>
      </c>
      <c r="U51" s="804">
        <v>1</v>
      </c>
      <c r="V51" s="804">
        <f>AB51/S51/X51</f>
        <v>0.1434149638104541</v>
      </c>
      <c r="W51" s="393">
        <v>20</v>
      </c>
      <c r="X51" s="391">
        <f t="shared" si="14"/>
        <v>0.25228800000000001</v>
      </c>
      <c r="Y51" s="393"/>
      <c r="Z51" s="393"/>
      <c r="AA51" s="393"/>
      <c r="AB51" s="394">
        <f>AC51*U51</f>
        <v>0.26608393894100396</v>
      </c>
      <c r="AC51" s="394">
        <f>RSD_Balance!K18</f>
        <v>0.26608393894100396</v>
      </c>
      <c r="AD51" s="393">
        <v>8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39.75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735.40672899999993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9.9171743594052604</v>
      </c>
      <c r="AC54" s="382">
        <f>SUM(AC31:AC52)</f>
        <v>11.79977843230704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658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830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832</v>
      </c>
      <c r="AB57" s="27" t="s">
        <v>637</v>
      </c>
      <c r="AC57" s="31" t="s">
        <v>636</v>
      </c>
      <c r="AD57" s="31" t="s">
        <v>833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831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837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R-LT_Det_X0</v>
      </c>
      <c r="AI58" s="294" t="str">
        <f>N59</f>
        <v>Residential Lighting Detached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LEFT(SETUP!B3,1)&amp;"-"&amp;RIGHT(COMM!$O$35,6)&amp;"_"&amp;SETUP!B64</f>
        <v>R-LT_Det_X0</v>
      </c>
      <c r="N59" s="294" t="str">
        <f>COMM!$P$35&amp;" "&amp;SETUP!$C$64</f>
        <v>Residential Lighting Detached Existing 00</v>
      </c>
      <c r="O59" s="294" t="str">
        <f>COMM!E24</f>
        <v>RSDELC</v>
      </c>
      <c r="P59" s="294"/>
      <c r="Q59" s="294" t="str">
        <f>COMM!$O$35</f>
        <v>RSDLT_Det</v>
      </c>
      <c r="R59" s="294">
        <v>1</v>
      </c>
      <c r="S59" s="391">
        <f>DwellingStocks!K28/1000</f>
        <v>735.40672899999993</v>
      </c>
      <c r="T59" s="294">
        <f>(S59*1000)/SUM(G54:G62)-0.188</f>
        <v>2.5819874157692722</v>
      </c>
      <c r="U59" s="804">
        <v>0.4</v>
      </c>
      <c r="V59" s="804">
        <f>AB59/S59/X59</f>
        <v>0.49065561985781003</v>
      </c>
      <c r="W59" s="393">
        <v>10</v>
      </c>
      <c r="X59" s="390">
        <f t="shared" ref="X59:X60" si="15">31.536*(AD59/1000)</f>
        <v>3.0747599999999997E-3</v>
      </c>
      <c r="Y59" s="393"/>
      <c r="Z59" s="393"/>
      <c r="AA59" s="393"/>
      <c r="AB59" s="394">
        <f>AC59*U59</f>
        <v>1.1094700921835092</v>
      </c>
      <c r="AC59" s="394">
        <f>IF(((D54+D55+D56+D57+D58+D59+D60+D61+D62)*$B$2)&lt;=0,0,((D54+D55+D56+D57+D58+D59+D60+D61+D62)*T59*$B$2))</f>
        <v>2.7736752304587728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R-PF_Det_X0</v>
      </c>
      <c r="AI59" s="395" t="str">
        <f>N60</f>
        <v>Residential Pumps &amp; Fans Detached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LEFT(SETUP!B3,1)&amp;"-"&amp;RIGHT(COMM!$O$38,6)&amp;"_"&amp;SETUP!$B$64</f>
        <v>R-PF_Det_X0</v>
      </c>
      <c r="N60" s="395" t="str">
        <f>COMM!$P$38&amp;" "&amp;SETUP!$C$64</f>
        <v>Residential Pumps &amp; Fans Detached Existing 00</v>
      </c>
      <c r="O60" s="395" t="str">
        <f>COMM!E24</f>
        <v>RSDELC</v>
      </c>
      <c r="P60" s="395"/>
      <c r="Q60" s="395" t="str">
        <f>COMM!$O$38</f>
        <v>RSDPF_Det</v>
      </c>
      <c r="R60" s="395">
        <v>1</v>
      </c>
      <c r="S60" s="810">
        <f>DwellingStocks!K28/1000</f>
        <v>735.40672899999993</v>
      </c>
      <c r="T60" s="395">
        <f>(S60*1000)/SUM(G54:G62)-0.188</f>
        <v>2.5819874157692722</v>
      </c>
      <c r="U60" s="811">
        <v>0.6</v>
      </c>
      <c r="V60" s="811">
        <f t="shared" ref="V60" si="16">AB60/S60/X60</f>
        <v>0.29872122806778129</v>
      </c>
      <c r="W60" s="812">
        <v>15</v>
      </c>
      <c r="X60" s="813">
        <f t="shared" si="15"/>
        <v>1.5768000000000002E-3</v>
      </c>
      <c r="Y60" s="812"/>
      <c r="Z60" s="812"/>
      <c r="AA60" s="812"/>
      <c r="AB60" s="814">
        <f>AC60*U60</f>
        <v>0.34639394879768842</v>
      </c>
      <c r="AC60" s="401">
        <f>IF(((F54+F55+F56+F57+F58+F59+F60+F61+F62)*$B$2)&lt;=0,0,((F54+F55+F56+F57+F58+F59+F60+F61+F62)*T60*$B$2))</f>
        <v>0.57732324799614743</v>
      </c>
      <c r="AD60" s="797">
        <v>0.05</v>
      </c>
      <c r="AE60" s="261"/>
    </row>
    <row r="61" spans="1:43">
      <c r="B61" s="299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30">
      <c r="AC70"/>
      <c r="AD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47" t="s">
        <v>413</v>
      </c>
      <c r="B1" s="1147"/>
      <c r="C1" s="1147"/>
      <c r="D1" s="1147"/>
      <c r="E1" s="1147"/>
      <c r="F1" s="1147"/>
      <c r="G1" s="1147"/>
      <c r="H1" s="1147"/>
      <c r="I1" s="114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414</v>
      </c>
      <c r="X4" s="58" t="s">
        <v>414</v>
      </c>
      <c r="Y4" s="58"/>
    </row>
    <row r="6" spans="1:48">
      <c r="B6" t="s">
        <v>360</v>
      </c>
      <c r="C6" t="s">
        <v>288</v>
      </c>
      <c r="D6" t="s">
        <v>393</v>
      </c>
      <c r="E6" s="58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58" t="s">
        <v>396</v>
      </c>
      <c r="M6" s="58" t="s">
        <v>397</v>
      </c>
      <c r="N6" t="s">
        <v>416</v>
      </c>
      <c r="O6" t="s">
        <v>417</v>
      </c>
      <c r="P6" t="s">
        <v>418</v>
      </c>
      <c r="Q6" t="s">
        <v>419</v>
      </c>
      <c r="R6" s="58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58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58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58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566</v>
      </c>
      <c r="AE7" t="s">
        <v>566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362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362</v>
      </c>
      <c r="C27" t="s">
        <v>52</v>
      </c>
      <c r="D27" s="122" t="s">
        <v>406</v>
      </c>
      <c r="E27" s="122" t="s">
        <v>406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362</v>
      </c>
      <c r="C28" t="s">
        <v>52</v>
      </c>
      <c r="D28" t="s">
        <v>407</v>
      </c>
      <c r="E28" s="122" t="s">
        <v>407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362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362</v>
      </c>
      <c r="C31" t="s">
        <v>54</v>
      </c>
      <c r="D31" t="s">
        <v>137</v>
      </c>
      <c r="E31" s="122" t="s">
        <v>137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362</v>
      </c>
      <c r="C32" t="s">
        <v>54</v>
      </c>
      <c r="D32" t="s">
        <v>406</v>
      </c>
      <c r="E32" s="122" t="s">
        <v>406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362</v>
      </c>
      <c r="C33" t="s">
        <v>54</v>
      </c>
      <c r="D33" t="s">
        <v>407</v>
      </c>
      <c r="E33" s="122" t="s">
        <v>407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362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407</v>
      </c>
      <c r="AC34" s="58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362</v>
      </c>
      <c r="C35" t="s">
        <v>56</v>
      </c>
      <c r="D35" s="122" t="s">
        <v>425</v>
      </c>
      <c r="E35" s="122" t="s">
        <v>425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566</v>
      </c>
      <c r="AE36" t="s">
        <v>566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362</v>
      </c>
      <c r="C37" t="s">
        <v>56</v>
      </c>
      <c r="D37" s="122" t="s">
        <v>406</v>
      </c>
      <c r="E37" s="122" t="s">
        <v>406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362</v>
      </c>
      <c r="C38" t="s">
        <v>56</v>
      </c>
      <c r="D38" t="s">
        <v>407</v>
      </c>
      <c r="E38" s="122" t="s">
        <v>407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362</v>
      </c>
      <c r="C39" t="s">
        <v>56</v>
      </c>
      <c r="D39" t="s">
        <v>426</v>
      </c>
      <c r="E39" s="122" t="s">
        <v>137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362</v>
      </c>
      <c r="C40" t="s">
        <v>56</v>
      </c>
      <c r="D40" t="s">
        <v>426</v>
      </c>
      <c r="E40" s="122" t="s">
        <v>426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362</v>
      </c>
      <c r="C41" t="s">
        <v>58</v>
      </c>
      <c r="D41" t="s">
        <v>425</v>
      </c>
      <c r="E41" s="122" t="s">
        <v>425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362</v>
      </c>
      <c r="C42" t="s">
        <v>58</v>
      </c>
      <c r="D42" s="122" t="s">
        <v>405</v>
      </c>
      <c r="E42" s="122" t="s">
        <v>405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362</v>
      </c>
      <c r="C43" t="s">
        <v>58</v>
      </c>
      <c r="D43" t="s">
        <v>137</v>
      </c>
      <c r="E43" s="122" t="s">
        <v>137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362</v>
      </c>
      <c r="C44" t="s">
        <v>58</v>
      </c>
      <c r="D44" t="s">
        <v>406</v>
      </c>
      <c r="E44" s="122" t="s">
        <v>406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362</v>
      </c>
      <c r="C46" t="s">
        <v>58</v>
      </c>
      <c r="D46" t="s">
        <v>407</v>
      </c>
      <c r="E46" s="122" t="s">
        <v>407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362</v>
      </c>
      <c r="C47" t="s">
        <v>58</v>
      </c>
      <c r="D47" s="122" t="s">
        <v>428</v>
      </c>
      <c r="E47" s="122" t="s">
        <v>137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362</v>
      </c>
      <c r="C48" t="s">
        <v>58</v>
      </c>
      <c r="D48" t="s">
        <v>426</v>
      </c>
      <c r="E48" s="122" t="s">
        <v>426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362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362</v>
      </c>
      <c r="C51" t="s">
        <v>60</v>
      </c>
      <c r="D51" t="s">
        <v>406</v>
      </c>
      <c r="E51" s="122" t="s">
        <v>406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362</v>
      </c>
      <c r="C52" t="s">
        <v>60</v>
      </c>
      <c r="D52" s="122" t="s">
        <v>407</v>
      </c>
      <c r="E52" s="122" t="s">
        <v>407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362</v>
      </c>
      <c r="C54" t="s">
        <v>62</v>
      </c>
      <c r="D54" t="s">
        <v>406</v>
      </c>
      <c r="E54" s="122" t="s">
        <v>406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362</v>
      </c>
      <c r="C55" t="s">
        <v>62</v>
      </c>
      <c r="D55" s="122" t="s">
        <v>407</v>
      </c>
      <c r="E55" s="122" t="s">
        <v>407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362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362</v>
      </c>
      <c r="C58" t="s">
        <v>64</v>
      </c>
      <c r="D58" s="122" t="s">
        <v>406</v>
      </c>
      <c r="E58" s="122" t="s">
        <v>406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362</v>
      </c>
      <c r="C59" t="s">
        <v>64</v>
      </c>
      <c r="D59" s="122" t="s">
        <v>407</v>
      </c>
      <c r="E59" s="122" t="s">
        <v>137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362</v>
      </c>
      <c r="C62" t="s">
        <v>64</v>
      </c>
      <c r="D62" t="s">
        <v>426</v>
      </c>
      <c r="E62" s="122" t="s">
        <v>137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363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363</v>
      </c>
      <c r="C64" t="s">
        <v>48</v>
      </c>
      <c r="D64" t="s">
        <v>137</v>
      </c>
      <c r="E64" s="122" t="s">
        <v>137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363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363</v>
      </c>
      <c r="C66" t="s">
        <v>50</v>
      </c>
      <c r="D66" t="s">
        <v>406</v>
      </c>
      <c r="E66" s="122" t="s">
        <v>406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363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363</v>
      </c>
      <c r="C68" t="s">
        <v>52</v>
      </c>
      <c r="D68" s="122" t="s">
        <v>425</v>
      </c>
      <c r="E68" s="122" t="s">
        <v>425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566</v>
      </c>
      <c r="AE68" t="s">
        <v>566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363</v>
      </c>
      <c r="C69" t="s">
        <v>52</v>
      </c>
      <c r="D69" s="122" t="s">
        <v>406</v>
      </c>
      <c r="E69" s="122" t="s">
        <v>406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363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363</v>
      </c>
      <c r="C72" t="s">
        <v>54</v>
      </c>
      <c r="D72" t="s">
        <v>425</v>
      </c>
      <c r="E72" s="122" t="s">
        <v>425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363</v>
      </c>
      <c r="C74" t="s">
        <v>54</v>
      </c>
      <c r="D74" t="s">
        <v>137</v>
      </c>
      <c r="E74" s="122" t="s">
        <v>137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363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363</v>
      </c>
      <c r="C80" t="s">
        <v>56</v>
      </c>
      <c r="D80" t="s">
        <v>137</v>
      </c>
      <c r="E80" s="122" t="s">
        <v>137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363</v>
      </c>
      <c r="C81" t="s">
        <v>56</v>
      </c>
      <c r="D81" s="122" t="s">
        <v>406</v>
      </c>
      <c r="E81" s="122" t="s">
        <v>406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363</v>
      </c>
      <c r="C82" t="s">
        <v>56</v>
      </c>
      <c r="D82" t="s">
        <v>407</v>
      </c>
      <c r="E82" s="122" t="s">
        <v>407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363</v>
      </c>
      <c r="C84" t="s">
        <v>58</v>
      </c>
      <c r="D84" s="122" t="s">
        <v>425</v>
      </c>
      <c r="E84" s="122" t="s">
        <v>425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363</v>
      </c>
      <c r="C85" t="s">
        <v>58</v>
      </c>
      <c r="D85" t="s">
        <v>405</v>
      </c>
      <c r="E85" s="122" t="s">
        <v>405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363</v>
      </c>
      <c r="C88" t="s">
        <v>58</v>
      </c>
      <c r="D88" t="s">
        <v>407</v>
      </c>
      <c r="E88" s="122" t="s">
        <v>407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363</v>
      </c>
      <c r="C90" t="s">
        <v>60</v>
      </c>
      <c r="D90" t="s">
        <v>137</v>
      </c>
      <c r="E90" s="122" t="s">
        <v>137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363</v>
      </c>
      <c r="C93" t="s">
        <v>60</v>
      </c>
      <c r="D93" s="122" t="s">
        <v>556</v>
      </c>
      <c r="E93" s="122" t="s">
        <v>556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363</v>
      </c>
      <c r="C94" t="s">
        <v>60</v>
      </c>
      <c r="D94" t="s">
        <v>426</v>
      </c>
      <c r="E94" s="122" t="s">
        <v>426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363</v>
      </c>
      <c r="C95" t="s">
        <v>62</v>
      </c>
      <c r="D95" t="s">
        <v>137</v>
      </c>
      <c r="E95" s="122" t="s">
        <v>137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363</v>
      </c>
      <c r="C96" t="s">
        <v>62</v>
      </c>
      <c r="D96" t="s">
        <v>406</v>
      </c>
      <c r="E96" s="122" t="s">
        <v>406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363</v>
      </c>
      <c r="C97" t="s">
        <v>62</v>
      </c>
      <c r="D97" t="s">
        <v>407</v>
      </c>
      <c r="E97" s="122" t="s">
        <v>407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363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363</v>
      </c>
      <c r="C101" t="s">
        <v>64</v>
      </c>
      <c r="D101" t="s">
        <v>406</v>
      </c>
      <c r="E101" s="122" t="s">
        <v>137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363</v>
      </c>
      <c r="C103" t="s">
        <v>64</v>
      </c>
      <c r="D103" t="s">
        <v>427</v>
      </c>
      <c r="E103" s="122" t="s">
        <v>427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363</v>
      </c>
      <c r="C104" t="s">
        <v>64</v>
      </c>
      <c r="D104" s="122" t="s">
        <v>407</v>
      </c>
      <c r="E104" s="122" t="s">
        <v>407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363</v>
      </c>
      <c r="C105" t="s">
        <v>64</v>
      </c>
      <c r="D105" t="s">
        <v>426</v>
      </c>
      <c r="E105" s="122" t="s">
        <v>137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363</v>
      </c>
      <c r="C106" t="s">
        <v>64</v>
      </c>
      <c r="D106" t="s">
        <v>426</v>
      </c>
      <c r="E106" s="122" t="s">
        <v>426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432</v>
      </c>
      <c r="C107" t="s">
        <v>48</v>
      </c>
      <c r="D107" t="s">
        <v>137</v>
      </c>
      <c r="E107" s="122" t="s">
        <v>137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432</v>
      </c>
      <c r="C108" t="s">
        <v>50</v>
      </c>
      <c r="D108" t="s">
        <v>407</v>
      </c>
      <c r="E108" s="122" t="s">
        <v>407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432</v>
      </c>
      <c r="C111" t="s">
        <v>52</v>
      </c>
      <c r="D111" t="s">
        <v>407</v>
      </c>
      <c r="E111" s="122" t="s">
        <v>407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432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432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566</v>
      </c>
      <c r="AE121" t="s">
        <v>566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432</v>
      </c>
      <c r="C130" t="s">
        <v>58</v>
      </c>
      <c r="D130" t="s">
        <v>406</v>
      </c>
      <c r="E130" s="122" t="s">
        <v>406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432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432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432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434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434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434</v>
      </c>
      <c r="C167" t="s">
        <v>50</v>
      </c>
      <c r="D167" t="s">
        <v>137</v>
      </c>
      <c r="E167" s="122" t="s">
        <v>137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434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434</v>
      </c>
      <c r="C172" t="s">
        <v>52</v>
      </c>
      <c r="D172" t="s">
        <v>405</v>
      </c>
      <c r="E172" s="122" t="s">
        <v>405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434</v>
      </c>
      <c r="C174" t="s">
        <v>52</v>
      </c>
      <c r="D174" t="s">
        <v>407</v>
      </c>
      <c r="E174" s="122" t="s">
        <v>407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434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434</v>
      </c>
      <c r="C179" t="s">
        <v>54</v>
      </c>
      <c r="D179" t="s">
        <v>407</v>
      </c>
      <c r="E179" s="122" t="s">
        <v>407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434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434</v>
      </c>
      <c r="C182" t="s">
        <v>56</v>
      </c>
      <c r="D182" t="s">
        <v>137</v>
      </c>
      <c r="E182" s="122" t="s">
        <v>137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434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434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566</v>
      </c>
      <c r="AE198" t="s">
        <v>566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434</v>
      </c>
      <c r="C199" t="s">
        <v>60</v>
      </c>
      <c r="D199" t="s">
        <v>406</v>
      </c>
      <c r="E199" s="122" t="s">
        <v>406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434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434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435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435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435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435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435</v>
      </c>
      <c r="C241" t="s">
        <v>56</v>
      </c>
      <c r="D241" t="s">
        <v>425</v>
      </c>
      <c r="E241" s="122" t="s">
        <v>425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435</v>
      </c>
      <c r="C250" t="s">
        <v>56</v>
      </c>
      <c r="D250" t="s">
        <v>408</v>
      </c>
      <c r="E250" s="122" t="s">
        <v>408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435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435</v>
      </c>
      <c r="C259" t="s">
        <v>58</v>
      </c>
      <c r="D259" t="s">
        <v>407</v>
      </c>
      <c r="E259" s="122" t="s">
        <v>407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435</v>
      </c>
      <c r="C262" t="s">
        <v>58</v>
      </c>
      <c r="D262" t="s">
        <v>433</v>
      </c>
      <c r="E262" s="122" t="s">
        <v>433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435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435</v>
      </c>
      <c r="C266" t="s">
        <v>60</v>
      </c>
      <c r="D266" t="s">
        <v>137</v>
      </c>
      <c r="E266" s="122" t="s">
        <v>427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435</v>
      </c>
      <c r="C268" t="s">
        <v>60</v>
      </c>
      <c r="D268" t="s">
        <v>406</v>
      </c>
      <c r="E268" s="122" t="s">
        <v>137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406</v>
      </c>
      <c r="AC272" s="58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435</v>
      </c>
      <c r="C273" t="s">
        <v>60</v>
      </c>
      <c r="D273" t="s">
        <v>426</v>
      </c>
      <c r="E273" s="122" t="s">
        <v>137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435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435</v>
      </c>
      <c r="C280" t="s">
        <v>62</v>
      </c>
      <c r="D280" t="s">
        <v>426</v>
      </c>
      <c r="E280" s="122" t="s">
        <v>137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435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435</v>
      </c>
      <c r="C286" t="s">
        <v>64</v>
      </c>
      <c r="D286" t="s">
        <v>406</v>
      </c>
      <c r="E286" s="122" t="s">
        <v>137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435</v>
      </c>
      <c r="C288" t="s">
        <v>64</v>
      </c>
      <c r="D288" t="s">
        <v>406</v>
      </c>
      <c r="E288" s="122" t="s">
        <v>426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435</v>
      </c>
      <c r="C294" t="s">
        <v>64</v>
      </c>
      <c r="D294" t="s">
        <v>426</v>
      </c>
      <c r="E294" s="122" t="s">
        <v>426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436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436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436</v>
      </c>
      <c r="C301" t="s">
        <v>50</v>
      </c>
      <c r="D301" t="s">
        <v>406</v>
      </c>
      <c r="E301" s="122" t="s">
        <v>406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436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436</v>
      </c>
      <c r="C304" t="s">
        <v>52</v>
      </c>
      <c r="D304" t="s">
        <v>137</v>
      </c>
      <c r="E304" s="122" t="s">
        <v>137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436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436</v>
      </c>
      <c r="C309" t="s">
        <v>54</v>
      </c>
      <c r="D309" t="s">
        <v>405</v>
      </c>
      <c r="E309" s="122" t="s">
        <v>405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436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436</v>
      </c>
      <c r="C316" t="s">
        <v>56</v>
      </c>
      <c r="D316" t="s">
        <v>405</v>
      </c>
      <c r="E316" s="122" t="s">
        <v>137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436</v>
      </c>
      <c r="C319" t="s">
        <v>56</v>
      </c>
      <c r="D319" t="s">
        <v>406</v>
      </c>
      <c r="E319" s="122" t="s">
        <v>406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436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436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436</v>
      </c>
      <c r="C335" t="s">
        <v>60</v>
      </c>
      <c r="D335" t="s">
        <v>406</v>
      </c>
      <c r="E335" s="122" t="s">
        <v>137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436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436</v>
      </c>
      <c r="C344" t="s">
        <v>62</v>
      </c>
      <c r="D344" t="s">
        <v>426</v>
      </c>
      <c r="E344" s="122" t="s">
        <v>426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436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566</v>
      </c>
      <c r="AE347" t="s">
        <v>566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436</v>
      </c>
      <c r="C348" t="s">
        <v>64</v>
      </c>
      <c r="D348" t="s">
        <v>137</v>
      </c>
      <c r="E348" s="122" t="s">
        <v>426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436</v>
      </c>
      <c r="C350" t="s">
        <v>64</v>
      </c>
      <c r="D350" t="s">
        <v>406</v>
      </c>
      <c r="E350" s="122" t="s">
        <v>406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437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437</v>
      </c>
      <c r="C359" t="s">
        <v>50</v>
      </c>
      <c r="D359" t="s">
        <v>407</v>
      </c>
      <c r="E359" s="122" t="s">
        <v>407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437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437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437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437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437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437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437</v>
      </c>
      <c r="C386" t="s">
        <v>62</v>
      </c>
      <c r="D386" t="s">
        <v>407</v>
      </c>
      <c r="E386" s="122" t="s">
        <v>407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437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438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438</v>
      </c>
      <c r="C396" t="s">
        <v>48</v>
      </c>
      <c r="D396" t="s">
        <v>404</v>
      </c>
      <c r="E396" s="122" t="s">
        <v>137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438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438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438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438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438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438</v>
      </c>
      <c r="C419" t="s">
        <v>58</v>
      </c>
      <c r="D419" t="s">
        <v>407</v>
      </c>
      <c r="E419" s="122" t="s">
        <v>407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438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438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438</v>
      </c>
      <c r="C433" t="s">
        <v>64</v>
      </c>
      <c r="D433" t="s">
        <v>407</v>
      </c>
      <c r="E433" s="122" t="s">
        <v>137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439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439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439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439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439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439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439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439</v>
      </c>
      <c r="C465" t="s">
        <v>60</v>
      </c>
      <c r="D465" t="s">
        <v>407</v>
      </c>
      <c r="E465" s="122" t="s">
        <v>407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439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439</v>
      </c>
      <c r="C468" t="s">
        <v>62</v>
      </c>
      <c r="D468" t="s">
        <v>406</v>
      </c>
      <c r="E468" s="122" t="s">
        <v>406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439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440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440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440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440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566</v>
      </c>
      <c r="AE499" t="s">
        <v>566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440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440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440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441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441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441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441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441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441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441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441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442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442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442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442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442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442</v>
      </c>
      <c r="C582" t="s">
        <v>56</v>
      </c>
      <c r="D582" t="s">
        <v>406</v>
      </c>
      <c r="E582" s="122" t="s">
        <v>406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442</v>
      </c>
      <c r="C584" t="s">
        <v>56</v>
      </c>
      <c r="D584" t="s">
        <v>407</v>
      </c>
      <c r="E584" s="122" t="s">
        <v>407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442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442</v>
      </c>
      <c r="C587" t="s">
        <v>58</v>
      </c>
      <c r="D587" t="s">
        <v>406</v>
      </c>
      <c r="E587" s="122" t="s">
        <v>406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442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442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442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443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566</v>
      </c>
      <c r="AE629" t="s">
        <v>566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443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444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444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444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444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444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444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444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445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445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445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445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445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445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566</v>
      </c>
      <c r="AE731" t="s">
        <v>566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446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446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446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446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446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447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447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448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448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448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448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448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448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448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448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449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449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449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449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449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449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450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450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450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450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450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451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451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451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451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452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452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452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452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453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453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453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453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454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455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455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455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459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459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460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461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461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461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461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461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7" t="s">
        <v>480</v>
      </c>
      <c r="B1" s="1147"/>
      <c r="C1" s="1147"/>
      <c r="D1" s="1147"/>
      <c r="E1" s="1147"/>
      <c r="F1" s="1147"/>
      <c r="G1" s="1147"/>
      <c r="H1" s="1147"/>
      <c r="I1" s="114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566</v>
      </c>
      <c r="AE7" t="s">
        <v>566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122" t="s">
        <v>137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122" t="s">
        <v>406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122" t="s">
        <v>137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122" t="s">
        <v>406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122" t="s">
        <v>428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122" t="s">
        <v>407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566</v>
      </c>
      <c r="AE79" t="s">
        <v>566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122" t="s">
        <v>137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122" t="s">
        <v>407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122" t="s">
        <v>481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122" t="s">
        <v>137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122" t="s">
        <v>137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566</v>
      </c>
      <c r="AE154" t="s">
        <v>566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122" t="s">
        <v>406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122" t="s">
        <v>425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hidden="1" customHeight="1">
      <c r="B187" t="s">
        <v>364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122" t="s">
        <v>555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122" t="s">
        <v>426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122" t="s">
        <v>406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122" t="s">
        <v>408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122" t="s">
        <v>427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566</v>
      </c>
      <c r="AE262" t="s">
        <v>566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122" t="s">
        <v>426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122" t="s">
        <v>406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122" t="s">
        <v>427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122" t="s">
        <v>407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hidden="1" customHeight="1">
      <c r="B308" t="s">
        <v>365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122" t="s">
        <v>429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122" t="s">
        <v>405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 hidden="1">
      <c r="B339" t="s">
        <v>365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 hidden="1">
      <c r="B354" t="s">
        <v>365</v>
      </c>
      <c r="C354" t="s">
        <v>56</v>
      </c>
      <c r="D354" t="s">
        <v>427</v>
      </c>
      <c r="E354" s="122" t="s">
        <v>406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 hidden="1">
      <c r="B366" t="s">
        <v>365</v>
      </c>
      <c r="C366" t="s">
        <v>56</v>
      </c>
      <c r="D366" t="s">
        <v>429</v>
      </c>
      <c r="E366" s="122" t="s">
        <v>429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 hidden="1">
      <c r="B367" t="s">
        <v>365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 hidden="1">
      <c r="B382" t="s">
        <v>365</v>
      </c>
      <c r="C382" t="s">
        <v>58</v>
      </c>
      <c r="D382" t="s">
        <v>406</v>
      </c>
      <c r="E382" s="122" t="s">
        <v>406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 hidden="1">
      <c r="B405" t="s">
        <v>365</v>
      </c>
      <c r="C405" t="s">
        <v>60</v>
      </c>
      <c r="D405" t="s">
        <v>425</v>
      </c>
      <c r="E405" s="122" t="s">
        <v>406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566</v>
      </c>
      <c r="AE423" t="s">
        <v>566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 hidden="1">
      <c r="B507" t="s">
        <v>366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 hidden="1">
      <c r="B581" t="s">
        <v>367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 hidden="1">
      <c r="B606" t="s">
        <v>367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 hidden="1">
      <c r="B620" t="s">
        <v>367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367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 hidden="1">
      <c r="B682" t="s">
        <v>367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 hidden="1">
      <c r="B718" t="s">
        <v>367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566</v>
      </c>
      <c r="AE802" t="s">
        <v>566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 hidden="1">
      <c r="B809" t="s">
        <v>368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 hidden="1">
      <c r="B839" t="s">
        <v>368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 hidden="1">
      <c r="B919" t="s">
        <v>368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 hidden="1">
      <c r="B943" t="s">
        <v>369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 hidden="1">
      <c r="B948" t="s">
        <v>369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 hidden="1">
      <c r="B953" t="s">
        <v>369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 hidden="1">
      <c r="B959" t="s">
        <v>369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 hidden="1">
      <c r="B966" t="s">
        <v>369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 hidden="1">
      <c r="B988" t="s">
        <v>369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 hidden="1">
      <c r="B1012" t="s">
        <v>369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 hidden="1">
      <c r="B1036" t="s">
        <v>369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 hidden="1">
      <c r="B1057" t="s">
        <v>369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 hidden="1">
      <c r="B1095" t="s">
        <v>370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 hidden="1">
      <c r="B1120" t="s">
        <v>370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 hidden="1">
      <c r="B1140" t="s">
        <v>370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 hidden="1">
      <c r="B1176" t="s">
        <v>370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 hidden="1">
      <c r="B1216" t="s">
        <v>371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 hidden="1">
      <c r="B1233" t="s">
        <v>371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 hidden="1">
      <c r="B1253" t="s">
        <v>371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371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 hidden="1">
      <c r="B1282" t="s">
        <v>371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 hidden="1">
      <c r="B1306" t="s">
        <v>372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 hidden="1">
      <c r="B1311" t="s">
        <v>372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 hidden="1">
      <c r="B1376" t="s">
        <v>372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 hidden="1">
      <c r="B1418" t="s">
        <v>373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 hidden="1">
      <c r="B1438" t="s">
        <v>373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 hidden="1">
      <c r="B1458" t="s">
        <v>374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 hidden="1">
      <c r="B1479" t="s">
        <v>374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 hidden="1">
      <c r="B1527" t="s">
        <v>374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 hidden="1">
      <c r="B1554" t="s">
        <v>374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 hidden="1">
      <c r="B1575" t="s">
        <v>374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 hidden="1">
      <c r="B1606" t="s">
        <v>375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 hidden="1">
      <c r="B1613" t="s">
        <v>375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 hidden="1">
      <c r="B1655" t="s">
        <v>375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 hidden="1">
      <c r="B1670" t="s">
        <v>376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 hidden="1">
      <c r="B1680" t="s">
        <v>376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 hidden="1">
      <c r="B1685" t="s">
        <v>376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 hidden="1">
      <c r="B1692" t="s">
        <v>376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 hidden="1">
      <c r="B1707" t="s">
        <v>376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 hidden="1">
      <c r="B1774" t="s">
        <v>377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 hidden="1">
      <c r="B1788" t="s">
        <v>377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 hidden="1">
      <c r="B1806" t="s">
        <v>377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 hidden="1">
      <c r="B1827" t="s">
        <v>377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 hidden="1">
      <c r="B1844" t="s">
        <v>377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 hidden="1">
      <c r="B1863" t="s">
        <v>377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 hidden="1">
      <c r="B1893" t="s">
        <v>378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 hidden="1">
      <c r="B1903" t="s">
        <v>378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 hidden="1">
      <c r="B1920" t="s">
        <v>378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 hidden="1">
      <c r="B1989" t="s">
        <v>379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 hidden="1">
      <c r="B2021" t="s">
        <v>379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 hidden="1">
      <c r="B2055" t="s">
        <v>380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 hidden="1">
      <c r="B2059" t="s">
        <v>380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 hidden="1">
      <c r="B2063" t="s">
        <v>380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 hidden="1">
      <c r="B2068" t="s">
        <v>380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 hidden="1">
      <c r="B2086" t="s">
        <v>380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382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383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383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383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383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383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383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384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384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384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385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385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385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386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386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386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386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386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386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387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387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387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387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7" t="s">
        <v>482</v>
      </c>
      <c r="B1" s="1147"/>
      <c r="C1" s="1147"/>
      <c r="D1" s="1147"/>
      <c r="E1" s="1147"/>
      <c r="F1" s="1147"/>
      <c r="G1" s="1147"/>
      <c r="H1" s="1147"/>
      <c r="I1" s="114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58" t="s">
        <v>414</v>
      </c>
      <c r="AV4" s="58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122" t="s">
        <v>399</v>
      </c>
      <c r="AH6" s="122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122" t="s">
        <v>416</v>
      </c>
      <c r="AO6" s="122" t="s">
        <v>417</v>
      </c>
      <c r="AP6" s="122" t="s">
        <v>418</v>
      </c>
      <c r="AQ6" s="122" t="s">
        <v>419</v>
      </c>
      <c r="AR6" t="s">
        <v>420</v>
      </c>
      <c r="AS6" t="s">
        <v>421</v>
      </c>
      <c r="AT6" t="s">
        <v>422</v>
      </c>
      <c r="AU6" t="s">
        <v>423</v>
      </c>
      <c r="AV6" s="122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566</v>
      </c>
      <c r="AE7" t="s">
        <v>566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566</v>
      </c>
      <c r="AE135" t="s">
        <v>566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365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566</v>
      </c>
      <c r="AE453" t="s">
        <v>566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365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365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366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366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366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366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566</v>
      </c>
      <c r="AE704" t="s">
        <v>566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367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367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367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367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367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368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368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368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368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368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368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369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369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370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370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370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370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370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371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371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371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371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371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373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374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374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374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374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374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375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375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376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376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376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376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377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377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377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377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377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378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378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378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379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379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380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381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382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382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383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383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383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383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383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384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385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385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386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386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386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387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387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387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387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2022-09-13T01:51:37Z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629227697849273</vt:r8>
  </property>
</Properties>
</file>