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9476A67-B42A-457D-B174-AC733CDA41AD}" xr6:coauthVersionLast="45" xr6:coauthVersionMax="47" xr10:uidLastSave="{00000000-0000-0000-0000-000000000000}"/>
  <bookViews>
    <workbookView xWindow="-120" yWindow="-163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9" i="55" l="1"/>
  <c r="AM29" i="55"/>
  <c r="AG31" i="55"/>
  <c r="W31" i="55"/>
  <c r="X31" i="55"/>
  <c r="Y31" i="55"/>
  <c r="V31" i="55"/>
  <c r="P31" i="55"/>
  <c r="Q31" i="55"/>
  <c r="R31" i="55"/>
  <c r="S31" i="55"/>
  <c r="H31" i="55"/>
  <c r="I31" i="55"/>
  <c r="J31" i="55"/>
  <c r="K31" i="55"/>
  <c r="C31" i="55"/>
  <c r="C30" i="55"/>
  <c r="AN23" i="55"/>
  <c r="AG25" i="55"/>
  <c r="V25" i="55"/>
  <c r="H25" i="55"/>
  <c r="I25" i="55"/>
  <c r="J25" i="55"/>
  <c r="K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I22" i="56" l="1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33" i="55" l="1"/>
  <c r="AE85" i="55"/>
  <c r="AE38" i="55"/>
  <c r="I19" i="56" l="1"/>
  <c r="L19" i="56" s="1"/>
  <c r="I13" i="56"/>
  <c r="L13" i="56" s="1"/>
  <c r="I7" i="56"/>
  <c r="L7" i="56" s="1"/>
  <c r="Z52" i="61" l="1"/>
  <c r="AL5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93" i="55" l="1"/>
  <c r="C91" i="55"/>
  <c r="C90" i="55"/>
  <c r="C88" i="55"/>
  <c r="C87" i="55"/>
  <c r="C85" i="55"/>
  <c r="C83" i="55"/>
  <c r="C82" i="55"/>
  <c r="C80" i="55"/>
  <c r="C79" i="55"/>
  <c r="C78" i="55"/>
  <c r="C77" i="55"/>
  <c r="C76" i="55"/>
  <c r="C75" i="55"/>
  <c r="C74" i="55"/>
  <c r="C72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116" i="55"/>
  <c r="C115" i="55"/>
  <c r="Z118" i="55"/>
  <c r="S118" i="55"/>
  <c r="R118" i="55"/>
  <c r="Q118" i="55"/>
  <c r="P118" i="55"/>
  <c r="Z117" i="55"/>
  <c r="S116" i="55"/>
  <c r="R116" i="55"/>
  <c r="Q116" i="55"/>
  <c r="P116" i="55"/>
  <c r="AG69" i="55" l="1"/>
  <c r="S68" i="55"/>
  <c r="R68" i="55"/>
  <c r="Q68" i="55"/>
  <c r="P68" i="55"/>
  <c r="Z70" i="55"/>
  <c r="Z69" i="55"/>
  <c r="Z112" i="55" l="1"/>
  <c r="Z111" i="55"/>
  <c r="Z64" i="55"/>
  <c r="Z63" i="55"/>
  <c r="Z12" i="55"/>
  <c r="Z11" i="55"/>
  <c r="AJ133" i="55" l="1"/>
  <c r="AG116" i="55"/>
  <c r="AG115" i="55"/>
  <c r="AG58" i="55"/>
  <c r="AJ85" i="55"/>
  <c r="AJ38" i="55"/>
  <c r="AG83" i="55"/>
  <c r="AG68" i="55"/>
  <c r="AG67" i="55"/>
  <c r="AN116" i="55"/>
  <c r="AN115" i="55"/>
  <c r="AN67" i="55"/>
  <c r="AN68" i="55"/>
  <c r="I133" i="55"/>
  <c r="J133" i="55"/>
  <c r="K133" i="55"/>
  <c r="H133" i="55"/>
  <c r="I85" i="55"/>
  <c r="J85" i="55"/>
  <c r="K85" i="55"/>
  <c r="H85" i="55"/>
  <c r="H38" i="55"/>
  <c r="I38" i="55"/>
  <c r="J38" i="55"/>
  <c r="K38" i="55"/>
  <c r="I131" i="55" l="1"/>
  <c r="J131" i="55"/>
  <c r="K131" i="55"/>
  <c r="H131" i="55"/>
  <c r="H83" i="55"/>
  <c r="I130" i="55"/>
  <c r="J130" i="55"/>
  <c r="K130" i="55"/>
  <c r="H130" i="55"/>
  <c r="H82" i="55"/>
  <c r="P38" i="55"/>
  <c r="I83" i="55"/>
  <c r="J83" i="55"/>
  <c r="K83" i="55"/>
  <c r="H36" i="55"/>
  <c r="I36" i="55"/>
  <c r="J36" i="55"/>
  <c r="K36" i="55"/>
  <c r="I82" i="55"/>
  <c r="J82" i="55"/>
  <c r="K82" i="55"/>
  <c r="H35" i="55"/>
  <c r="I35" i="55"/>
  <c r="J35" i="55"/>
  <c r="K35" i="55"/>
  <c r="Q3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41" i="55"/>
  <c r="AG139" i="55"/>
  <c r="AG138" i="55"/>
  <c r="AG136" i="55"/>
  <c r="AG135" i="55"/>
  <c r="AG133" i="55"/>
  <c r="AG131" i="55"/>
  <c r="AG130" i="55"/>
  <c r="AG128" i="55"/>
  <c r="AG127" i="55"/>
  <c r="AG126" i="55"/>
  <c r="AG125" i="55"/>
  <c r="AG124" i="55"/>
  <c r="AG123" i="55"/>
  <c r="AG122" i="55"/>
  <c r="AG120" i="55"/>
  <c r="AG118" i="55"/>
  <c r="AG117" i="55"/>
  <c r="AG114" i="55"/>
  <c r="AG113" i="55"/>
  <c r="AG112" i="55"/>
  <c r="AG111" i="55"/>
  <c r="AG110" i="55"/>
  <c r="AG109" i="55"/>
  <c r="AG108" i="55"/>
  <c r="AG107" i="55"/>
  <c r="AG106" i="55"/>
  <c r="AG105" i="55"/>
  <c r="AG104" i="55"/>
  <c r="AG103" i="55"/>
  <c r="AG93" i="55"/>
  <c r="AG91" i="55"/>
  <c r="AG90" i="55"/>
  <c r="AG88" i="55"/>
  <c r="AG87" i="55"/>
  <c r="AG85" i="55"/>
  <c r="AG82" i="55"/>
  <c r="AG80" i="55"/>
  <c r="AG79" i="55"/>
  <c r="AG78" i="55"/>
  <c r="AG77" i="55"/>
  <c r="AG76" i="55"/>
  <c r="AG75" i="55"/>
  <c r="AG74" i="55"/>
  <c r="AG72" i="55"/>
  <c r="AG70" i="55"/>
  <c r="AG66" i="55"/>
  <c r="AG65" i="55"/>
  <c r="AG64" i="55"/>
  <c r="AG63" i="55"/>
  <c r="AG62" i="55"/>
  <c r="AG61" i="55"/>
  <c r="AG60" i="55"/>
  <c r="AG59" i="55"/>
  <c r="AG57" i="55"/>
  <c r="AG56" i="55"/>
  <c r="AG55" i="55"/>
  <c r="AG47" i="55"/>
  <c r="AG46" i="55"/>
  <c r="AG44" i="55"/>
  <c r="AG43" i="55"/>
  <c r="AG41" i="55"/>
  <c r="AG40" i="55"/>
  <c r="AG38" i="55"/>
  <c r="AG36" i="55"/>
  <c r="AG35" i="55"/>
  <c r="AG33" i="55"/>
  <c r="AG32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13" i="55" l="1"/>
  <c r="X113" i="55"/>
  <c r="W113" i="55"/>
  <c r="Y65" i="55"/>
  <c r="X65" i="55"/>
  <c r="W65" i="55"/>
  <c r="Y109" i="55"/>
  <c r="X109" i="55"/>
  <c r="W109" i="55"/>
  <c r="W107" i="55"/>
  <c r="W111" i="55" s="1"/>
  <c r="X107" i="55"/>
  <c r="X111" i="55" s="1"/>
  <c r="Y107" i="55"/>
  <c r="Y111" i="55" s="1"/>
  <c r="V107" i="55"/>
  <c r="V111" i="55" s="1"/>
  <c r="Y124" i="55"/>
  <c r="W124" i="55"/>
  <c r="X124" i="55" s="1"/>
  <c r="Y76" i="55"/>
  <c r="W76" i="55"/>
  <c r="Y61" i="55"/>
  <c r="X61" i="55"/>
  <c r="W61" i="55"/>
  <c r="W59" i="55"/>
  <c r="X59" i="55"/>
  <c r="Y59" i="55"/>
  <c r="V59" i="55"/>
  <c r="Z57" i="55"/>
  <c r="Z58" i="55"/>
  <c r="Y20" i="55"/>
  <c r="Y25" i="55" s="1"/>
  <c r="W20" i="55"/>
  <c r="W25" i="55" s="1"/>
  <c r="X20" i="55" l="1"/>
  <c r="X25" i="55" s="1"/>
  <c r="W22" i="55"/>
  <c r="W21" i="55"/>
  <c r="W23" i="55"/>
  <c r="W24" i="55"/>
  <c r="Y24" i="55"/>
  <c r="Y21" i="55"/>
  <c r="Y22" i="55"/>
  <c r="Y23" i="55"/>
  <c r="Y63" i="55"/>
  <c r="W63" i="55"/>
  <c r="V63" i="55"/>
  <c r="X63" i="55"/>
  <c r="W55" i="55"/>
  <c r="W69" i="55" s="1"/>
  <c r="W103" i="55"/>
  <c r="W117" i="55" s="1"/>
  <c r="V103" i="55"/>
  <c r="V117" i="55" s="1"/>
  <c r="X103" i="55"/>
  <c r="X117" i="55" s="1"/>
  <c r="Y103" i="55"/>
  <c r="Y117" i="55" s="1"/>
  <c r="V55" i="55"/>
  <c r="V69" i="55" s="1"/>
  <c r="Y55" i="55"/>
  <c r="Y69" i="55" s="1"/>
  <c r="X55" i="55"/>
  <c r="X69" i="55" s="1"/>
  <c r="X76" i="55"/>
  <c r="Y13" i="55"/>
  <c r="X13" i="55"/>
  <c r="X22" i="55" l="1"/>
  <c r="X21" i="55"/>
  <c r="X23" i="55"/>
  <c r="X24" i="55"/>
  <c r="W9" i="55"/>
  <c r="W7" i="55" s="1"/>
  <c r="X9" i="55"/>
  <c r="X7" i="55" s="1"/>
  <c r="Y9" i="55"/>
  <c r="Y7" i="55" s="1"/>
  <c r="Z141" i="55" l="1"/>
  <c r="Z93" i="55"/>
  <c r="Z139" i="55"/>
  <c r="Z138" i="55"/>
  <c r="Z90" i="55"/>
  <c r="Z136" i="55"/>
  <c r="Z135" i="55"/>
  <c r="Z87" i="55"/>
  <c r="Z133" i="55"/>
  <c r="Z85" i="55"/>
  <c r="Z131" i="55"/>
  <c r="Z130" i="55"/>
  <c r="Z82" i="55"/>
  <c r="Z128" i="55"/>
  <c r="Z127" i="55"/>
  <c r="Z79" i="55"/>
  <c r="Z126" i="55"/>
  <c r="Z78" i="55"/>
  <c r="Z123" i="55"/>
  <c r="Z122" i="55"/>
  <c r="Z74" i="55"/>
  <c r="Z120" i="55"/>
  <c r="Z72" i="55"/>
  <c r="Z110" i="55"/>
  <c r="Z106" i="55"/>
  <c r="Z105" i="55"/>
  <c r="S131" i="55"/>
  <c r="R130" i="55"/>
  <c r="R125" i="55"/>
  <c r="AN103" i="55"/>
  <c r="P104" i="55"/>
  <c r="Q104" i="55"/>
  <c r="R104" i="55"/>
  <c r="S104" i="55"/>
  <c r="AN104" i="55"/>
  <c r="P105" i="55"/>
  <c r="Q105" i="55"/>
  <c r="R105" i="55"/>
  <c r="S105" i="55"/>
  <c r="AN105" i="55"/>
  <c r="P106" i="55"/>
  <c r="Q106" i="55"/>
  <c r="R106" i="55"/>
  <c r="S106" i="55"/>
  <c r="AN106" i="55"/>
  <c r="Q130" i="55"/>
  <c r="S125" i="55"/>
  <c r="S130" i="55"/>
  <c r="P131" i="55"/>
  <c r="C141" i="55"/>
  <c r="AM134" i="55" s="1"/>
  <c r="C139" i="55"/>
  <c r="AM133" i="55" s="1"/>
  <c r="C138" i="55"/>
  <c r="AM132" i="55" s="1"/>
  <c r="C136" i="55"/>
  <c r="AM131" i="55" s="1"/>
  <c r="C135" i="55"/>
  <c r="AM130" i="55" s="1"/>
  <c r="C133" i="55"/>
  <c r="AM129" i="55" s="1"/>
  <c r="C131" i="55"/>
  <c r="AM128" i="55" s="1"/>
  <c r="C130" i="55"/>
  <c r="AM127" i="55" s="1"/>
  <c r="C128" i="55"/>
  <c r="AM126" i="55" s="1"/>
  <c r="C127" i="55"/>
  <c r="C126" i="55"/>
  <c r="AM124" i="55" s="1"/>
  <c r="C125" i="55"/>
  <c r="AM123" i="55" s="1"/>
  <c r="C124" i="55"/>
  <c r="AM122" i="55" s="1"/>
  <c r="C123" i="55"/>
  <c r="AM121" i="55" s="1"/>
  <c r="C122" i="55"/>
  <c r="AM120" i="55" s="1"/>
  <c r="C120" i="55"/>
  <c r="AM119" i="55" s="1"/>
  <c r="C114" i="55"/>
  <c r="AM114" i="55" s="1"/>
  <c r="C113" i="55"/>
  <c r="C112" i="55"/>
  <c r="AM112" i="55" s="1"/>
  <c r="C111" i="55"/>
  <c r="AM111" i="55" s="1"/>
  <c r="C110" i="55"/>
  <c r="AM110" i="55" s="1"/>
  <c r="C109" i="55"/>
  <c r="AM109" i="55" s="1"/>
  <c r="C108" i="55"/>
  <c r="AM108" i="55" s="1"/>
  <c r="C107" i="55"/>
  <c r="AM107" i="55" s="1"/>
  <c r="C106" i="55"/>
  <c r="AM106" i="55" s="1"/>
  <c r="C105" i="55"/>
  <c r="AM105" i="55" s="1"/>
  <c r="C104" i="55"/>
  <c r="AM104" i="55" s="1"/>
  <c r="C103" i="55"/>
  <c r="AM103" i="55" s="1"/>
  <c r="AN134" i="55"/>
  <c r="AN133" i="55"/>
  <c r="S133" i="55"/>
  <c r="R133" i="55"/>
  <c r="Q133" i="55"/>
  <c r="P133" i="55"/>
  <c r="AN132" i="55"/>
  <c r="AN131" i="55"/>
  <c r="R131" i="55"/>
  <c r="Q131" i="55"/>
  <c r="AN130" i="55"/>
  <c r="P130" i="55"/>
  <c r="AN129" i="55"/>
  <c r="AN128" i="55"/>
  <c r="AN127" i="55"/>
  <c r="AN126" i="55"/>
  <c r="S126" i="55"/>
  <c r="R126" i="55"/>
  <c r="Q126" i="55"/>
  <c r="P126" i="55"/>
  <c r="AN125" i="55"/>
  <c r="AM125" i="55"/>
  <c r="P125" i="55"/>
  <c r="Q125" i="55"/>
  <c r="AN124" i="55"/>
  <c r="AN123" i="55"/>
  <c r="AN122" i="55"/>
  <c r="AN121" i="55"/>
  <c r="AN120" i="55"/>
  <c r="AN119" i="55"/>
  <c r="AN118" i="55"/>
  <c r="AM118" i="55"/>
  <c r="AN117" i="55"/>
  <c r="AM117" i="55"/>
  <c r="AN114" i="55"/>
  <c r="S114" i="55"/>
  <c r="R114" i="55"/>
  <c r="Q114" i="55"/>
  <c r="P114" i="55"/>
  <c r="AN113" i="55"/>
  <c r="AM113" i="55"/>
  <c r="AN112" i="55"/>
  <c r="S112" i="55"/>
  <c r="R112" i="55"/>
  <c r="Q112" i="55"/>
  <c r="P112" i="55"/>
  <c r="AN111" i="55"/>
  <c r="AN110" i="55"/>
  <c r="S110" i="55"/>
  <c r="R110" i="55"/>
  <c r="Q110" i="55"/>
  <c r="P110" i="55"/>
  <c r="AN109" i="55"/>
  <c r="S109" i="55"/>
  <c r="R109" i="55"/>
  <c r="Q109" i="55"/>
  <c r="P109" i="55"/>
  <c r="AN108" i="55"/>
  <c r="S108" i="55"/>
  <c r="R108" i="55"/>
  <c r="Q108" i="55"/>
  <c r="P108" i="55"/>
  <c r="AN107" i="55"/>
  <c r="Z46" i="55"/>
  <c r="N93" i="55"/>
  <c r="O93" i="55"/>
  <c r="M93" i="55"/>
  <c r="M46" i="55"/>
  <c r="Z43" i="55"/>
  <c r="Z91" i="55"/>
  <c r="Z44" i="55"/>
  <c r="Z88" i="55"/>
  <c r="Z40" i="55"/>
  <c r="Z38" i="55"/>
  <c r="Z83" i="55"/>
  <c r="Z35" i="55"/>
  <c r="Z80" i="55"/>
  <c r="M80" i="55"/>
  <c r="N80" i="55"/>
  <c r="O80" i="55"/>
  <c r="L80" i="55"/>
  <c r="I80" i="55"/>
  <c r="J80" i="55"/>
  <c r="K80" i="55"/>
  <c r="H80" i="55"/>
  <c r="I79" i="55"/>
  <c r="J79" i="55"/>
  <c r="K79" i="55"/>
  <c r="H79" i="55"/>
  <c r="H33" i="55"/>
  <c r="J77" i="55"/>
  <c r="K77" i="55"/>
  <c r="I77" i="55"/>
  <c r="J76" i="55"/>
  <c r="K76" i="55"/>
  <c r="I76" i="55"/>
  <c r="N75" i="55"/>
  <c r="O75" i="55"/>
  <c r="M75" i="55"/>
  <c r="J75" i="55"/>
  <c r="K75" i="55"/>
  <c r="I75" i="55"/>
  <c r="J74" i="55"/>
  <c r="K74" i="55"/>
  <c r="I74" i="55"/>
  <c r="Z75" i="55"/>
  <c r="Z18" i="55"/>
  <c r="Z16" i="55"/>
  <c r="Z62" i="55" l="1"/>
  <c r="AM69" i="55"/>
  <c r="AN69" i="55"/>
  <c r="AM70" i="55"/>
  <c r="AN70" i="55"/>
  <c r="P70" i="55"/>
  <c r="Q70" i="55"/>
  <c r="R70" i="55"/>
  <c r="S70" i="55"/>
  <c r="AN40" i="55"/>
  <c r="C47" i="55"/>
  <c r="AM40" i="55" s="1"/>
  <c r="Z47" i="55"/>
  <c r="W47" i="55"/>
  <c r="X47" i="55"/>
  <c r="Y47" i="55"/>
  <c r="V47" i="55"/>
  <c r="N47" i="55"/>
  <c r="O47" i="55"/>
  <c r="M47" i="55"/>
  <c r="N46" i="55"/>
  <c r="O46" i="55"/>
  <c r="Z41" i="55"/>
  <c r="C41" i="55"/>
  <c r="Z36" i="55"/>
  <c r="Z33" i="55"/>
  <c r="Z32" i="55"/>
  <c r="Z19" i="55"/>
  <c r="N33" i="55"/>
  <c r="O33" i="55"/>
  <c r="M33" i="55"/>
  <c r="I33" i="55"/>
  <c r="N19" i="55"/>
  <c r="O19" i="55"/>
  <c r="M19" i="55"/>
  <c r="I19" i="55"/>
  <c r="J33" i="55"/>
  <c r="K33" i="55"/>
  <c r="I32" i="55"/>
  <c r="J32" i="55"/>
  <c r="K32" i="55"/>
  <c r="H32" i="55"/>
  <c r="J19" i="55"/>
  <c r="K19" i="55"/>
  <c r="K18" i="55"/>
  <c r="J18" i="55"/>
  <c r="J17" i="55" s="1"/>
  <c r="V161" i="55"/>
  <c r="U161" i="55" s="1"/>
  <c r="U160" i="55"/>
  <c r="U162" i="55"/>
  <c r="U163" i="55"/>
  <c r="U164" i="55"/>
  <c r="U159" i="55"/>
  <c r="Y64" i="55" l="1"/>
  <c r="V64" i="55"/>
  <c r="W64" i="55"/>
  <c r="X64" i="55"/>
  <c r="V35" i="55"/>
  <c r="V67" i="55"/>
  <c r="W67" i="55"/>
  <c r="X67" i="55"/>
  <c r="Y67" i="55"/>
  <c r="X68" i="55"/>
  <c r="Y68" i="55"/>
  <c r="V68" i="55"/>
  <c r="V57" i="55"/>
  <c r="W68" i="55"/>
  <c r="V60" i="55"/>
  <c r="W116" i="55"/>
  <c r="X116" i="55"/>
  <c r="Y116" i="55"/>
  <c r="V116" i="55"/>
  <c r="V115" i="55"/>
  <c r="W115" i="55"/>
  <c r="X115" i="55"/>
  <c r="Y115" i="55"/>
  <c r="V120" i="55"/>
  <c r="K17" i="55"/>
  <c r="V114" i="55"/>
  <c r="X57" i="55"/>
  <c r="Y57" i="55"/>
  <c r="X58" i="55"/>
  <c r="X60" i="55"/>
  <c r="V58" i="55"/>
  <c r="W58" i="55"/>
  <c r="X66" i="55"/>
  <c r="Y66" i="55"/>
  <c r="V62" i="55"/>
  <c r="Y58" i="55"/>
  <c r="V66" i="55"/>
  <c r="W57" i="55"/>
  <c r="W60" i="55"/>
  <c r="Y60" i="55"/>
  <c r="X114" i="55"/>
  <c r="W66" i="55"/>
  <c r="W114" i="55"/>
  <c r="Y114" i="55"/>
  <c r="V125" i="55"/>
  <c r="V77" i="55"/>
  <c r="V26" i="55"/>
  <c r="V10" i="55"/>
  <c r="X125" i="55"/>
  <c r="W26" i="55"/>
  <c r="X26" i="55"/>
  <c r="Y77" i="55"/>
  <c r="W77" i="55"/>
  <c r="W125" i="55"/>
  <c r="Y26" i="55"/>
  <c r="Y125" i="55"/>
  <c r="Y133" i="55" s="1"/>
  <c r="X77" i="55"/>
  <c r="Y10" i="55"/>
  <c r="X10" i="55"/>
  <c r="W10" i="55"/>
  <c r="W108" i="55"/>
  <c r="W112" i="55" s="1"/>
  <c r="X108" i="55"/>
  <c r="X112" i="55" s="1"/>
  <c r="Y108" i="55"/>
  <c r="Y112" i="55" s="1"/>
  <c r="V108" i="55"/>
  <c r="V112" i="55" s="1"/>
  <c r="W127" i="55"/>
  <c r="X127" i="55"/>
  <c r="V122" i="55"/>
  <c r="Y127" i="55"/>
  <c r="W122" i="55"/>
  <c r="X122" i="55"/>
  <c r="Y122" i="55"/>
  <c r="W120" i="55"/>
  <c r="X120" i="55"/>
  <c r="V127" i="55"/>
  <c r="Y120" i="55"/>
  <c r="Y130" i="55"/>
  <c r="V123" i="55"/>
  <c r="X106" i="55"/>
  <c r="W105" i="55"/>
  <c r="W131" i="55"/>
  <c r="Y106" i="55"/>
  <c r="X105" i="55"/>
  <c r="X131" i="55"/>
  <c r="V106" i="55"/>
  <c r="Y105" i="55"/>
  <c r="Y110" i="55"/>
  <c r="Y131" i="55"/>
  <c r="W128" i="55"/>
  <c r="V105" i="55"/>
  <c r="V131" i="55"/>
  <c r="X128" i="55"/>
  <c r="W126" i="55"/>
  <c r="V110" i="55"/>
  <c r="W110" i="55"/>
  <c r="Y128" i="55"/>
  <c r="X126" i="55"/>
  <c r="W123" i="55"/>
  <c r="X110" i="55"/>
  <c r="W130" i="55"/>
  <c r="V130" i="55"/>
  <c r="V128" i="55"/>
  <c r="Y126" i="55"/>
  <c r="X123" i="55"/>
  <c r="X130" i="55"/>
  <c r="V126" i="55"/>
  <c r="Y123" i="55"/>
  <c r="W106" i="55"/>
  <c r="V78" i="55"/>
  <c r="V72" i="55"/>
  <c r="V83" i="55"/>
  <c r="V82" i="55"/>
  <c r="V74" i="55"/>
  <c r="V79" i="55"/>
  <c r="W62" i="55"/>
  <c r="X62" i="55"/>
  <c r="V36" i="55"/>
  <c r="V19" i="55"/>
  <c r="V32" i="55"/>
  <c r="V16" i="55"/>
  <c r="V18" i="55"/>
  <c r="X80" i="55"/>
  <c r="X78" i="55"/>
  <c r="V75" i="55"/>
  <c r="W82" i="55"/>
  <c r="X82" i="55"/>
  <c r="W80" i="55"/>
  <c r="W78" i="55"/>
  <c r="Y82" i="55"/>
  <c r="W83" i="55"/>
  <c r="Y80" i="55"/>
  <c r="Y78" i="55"/>
  <c r="Y72" i="55"/>
  <c r="X83" i="55"/>
  <c r="V80" i="55"/>
  <c r="W75" i="55"/>
  <c r="Y83" i="55"/>
  <c r="X75" i="55"/>
  <c r="Y75" i="55"/>
  <c r="W72" i="55"/>
  <c r="X72" i="55"/>
  <c r="X79" i="55"/>
  <c r="W74" i="55"/>
  <c r="X74" i="55"/>
  <c r="Y79" i="55"/>
  <c r="Y74" i="55"/>
  <c r="W79" i="55"/>
  <c r="Y62" i="55"/>
  <c r="V158" i="55"/>
  <c r="W35" i="55"/>
  <c r="X19" i="55"/>
  <c r="V33" i="55"/>
  <c r="W19" i="55"/>
  <c r="Y33" i="55"/>
  <c r="X33" i="55"/>
  <c r="Y36" i="55"/>
  <c r="Y19" i="55"/>
  <c r="Y18" i="55"/>
  <c r="W33" i="55"/>
  <c r="X36" i="55"/>
  <c r="X18" i="55"/>
  <c r="Y32" i="55"/>
  <c r="Y35" i="55"/>
  <c r="W36" i="55"/>
  <c r="W18" i="55"/>
  <c r="X32" i="55"/>
  <c r="X35" i="55"/>
  <c r="W32" i="55"/>
  <c r="V14" i="55"/>
  <c r="Y16" i="55"/>
  <c r="X16" i="55"/>
  <c r="W16" i="55"/>
  <c r="W14" i="55"/>
  <c r="Y14" i="55"/>
  <c r="X14" i="55"/>
  <c r="Y38" i="55" l="1"/>
  <c r="V27" i="55"/>
  <c r="V28" i="55"/>
  <c r="V30" i="55"/>
  <c r="V29" i="55"/>
  <c r="Y30" i="55"/>
  <c r="Y29" i="55"/>
  <c r="W30" i="55"/>
  <c r="W28" i="55"/>
  <c r="W29" i="55"/>
  <c r="W27" i="55"/>
  <c r="Y27" i="55"/>
  <c r="Y28" i="55"/>
  <c r="X30" i="55"/>
  <c r="X27" i="55"/>
  <c r="X29" i="55"/>
  <c r="X28" i="55"/>
  <c r="V8" i="55"/>
  <c r="V12" i="55"/>
  <c r="W8" i="55"/>
  <c r="W12" i="55"/>
  <c r="Y85" i="55"/>
  <c r="X8" i="55"/>
  <c r="X12" i="55"/>
  <c r="Y8" i="55"/>
  <c r="Y12" i="55"/>
  <c r="V38" i="55"/>
  <c r="W133" i="55"/>
  <c r="V85" i="55"/>
  <c r="W85" i="55"/>
  <c r="V133" i="55"/>
  <c r="X38" i="55"/>
  <c r="W38" i="55"/>
  <c r="X85" i="55"/>
  <c r="X133" i="55"/>
  <c r="X56" i="55"/>
  <c r="X70" i="55" s="1"/>
  <c r="V104" i="55"/>
  <c r="V118" i="55" s="1"/>
  <c r="Y104" i="55"/>
  <c r="Y118" i="55" s="1"/>
  <c r="X104" i="55"/>
  <c r="X118" i="55" s="1"/>
  <c r="Y56" i="55"/>
  <c r="Y70" i="55" s="1"/>
  <c r="W56" i="55"/>
  <c r="W70" i="55" s="1"/>
  <c r="W104" i="55"/>
  <c r="W118" i="55" s="1"/>
  <c r="V56" i="55"/>
  <c r="V70" i="55" s="1"/>
  <c r="V157" i="55"/>
  <c r="U158" i="55"/>
  <c r="V135" i="55" l="1"/>
  <c r="Y135" i="55"/>
  <c r="V136" i="55"/>
  <c r="X135" i="55"/>
  <c r="W135" i="55"/>
  <c r="W136" i="55"/>
  <c r="X136" i="55"/>
  <c r="Y136" i="55"/>
  <c r="W141" i="55"/>
  <c r="X141" i="55"/>
  <c r="Y141" i="55"/>
  <c r="V141" i="55"/>
  <c r="V87" i="55"/>
  <c r="W87" i="55"/>
  <c r="X88" i="55"/>
  <c r="V88" i="55"/>
  <c r="V40" i="55"/>
  <c r="X87" i="55"/>
  <c r="W88" i="55"/>
  <c r="Y87" i="55"/>
  <c r="Y88" i="55"/>
  <c r="Y40" i="55"/>
  <c r="W41" i="55"/>
  <c r="W40" i="55"/>
  <c r="V41" i="55"/>
  <c r="X40" i="55"/>
  <c r="Y41" i="55"/>
  <c r="X41" i="55"/>
  <c r="U157" i="55"/>
  <c r="V156" i="55"/>
  <c r="V93" i="55" l="1"/>
  <c r="W93" i="55"/>
  <c r="Y93" i="55"/>
  <c r="X93" i="55"/>
  <c r="V155" i="55"/>
  <c r="U155" i="55" s="1"/>
  <c r="U156" i="55"/>
  <c r="X139" i="55" s="1"/>
  <c r="V91" i="55" l="1"/>
  <c r="V90" i="55"/>
  <c r="W139" i="55"/>
  <c r="Y138" i="55"/>
  <c r="X138" i="55"/>
  <c r="V138" i="55"/>
  <c r="W138" i="55"/>
  <c r="Y139" i="55"/>
  <c r="V139" i="55"/>
  <c r="Y91" i="55"/>
  <c r="X91" i="55"/>
  <c r="W90" i="55"/>
  <c r="X90" i="55"/>
  <c r="W91" i="55"/>
  <c r="V46" i="55"/>
  <c r="Y90" i="55"/>
  <c r="V44" i="55"/>
  <c r="V43" i="55"/>
  <c r="X46" i="55"/>
  <c r="Y46" i="55"/>
  <c r="W46" i="55"/>
  <c r="W43" i="55"/>
  <c r="X43" i="55"/>
  <c r="Y43" i="55"/>
  <c r="W44" i="55"/>
  <c r="X44" i="55"/>
  <c r="Y44" i="55"/>
  <c r="Q161" i="55" l="1"/>
  <c r="P161" i="55"/>
  <c r="P162" i="55"/>
  <c r="Q162" i="55"/>
  <c r="P163" i="55"/>
  <c r="Q163" i="55"/>
  <c r="P164" i="55"/>
  <c r="Q16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0" i="55"/>
  <c r="C38" i="55"/>
  <c r="C36" i="55"/>
  <c r="C35" i="55"/>
  <c r="C14" i="55"/>
  <c r="C12" i="55"/>
  <c r="C10" i="55"/>
  <c r="C8" i="55"/>
  <c r="W3" i="60" l="1"/>
  <c r="AB3" i="60" s="1"/>
  <c r="AD3" i="60"/>
  <c r="S3" i="60"/>
  <c r="X3" i="60" s="1"/>
  <c r="AT3" i="60"/>
  <c r="AF3" i="60"/>
  <c r="C46" i="55"/>
  <c r="C44" i="55"/>
  <c r="C43" i="55"/>
  <c r="C33" i="55"/>
  <c r="C3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85" i="55"/>
  <c r="R85" i="55"/>
  <c r="Q85" i="55"/>
  <c r="P85" i="55"/>
  <c r="S83" i="55"/>
  <c r="R83" i="55"/>
  <c r="Q83" i="55"/>
  <c r="P83" i="55"/>
  <c r="S82" i="55"/>
  <c r="R82" i="55"/>
  <c r="Q82" i="55"/>
  <c r="P82" i="55"/>
  <c r="S78" i="55"/>
  <c r="R78" i="55"/>
  <c r="Q78" i="55"/>
  <c r="P78" i="55"/>
  <c r="S77" i="55"/>
  <c r="R77" i="55"/>
  <c r="Q77" i="55"/>
  <c r="P77" i="55"/>
  <c r="S66" i="55"/>
  <c r="R66" i="55"/>
  <c r="Q66" i="55"/>
  <c r="P66" i="55"/>
  <c r="S64" i="55"/>
  <c r="R64" i="55"/>
  <c r="Q64" i="55"/>
  <c r="P64" i="55"/>
  <c r="S62" i="55"/>
  <c r="R62" i="55"/>
  <c r="Q62" i="55"/>
  <c r="P62" i="55"/>
  <c r="S61" i="55"/>
  <c r="R61" i="55"/>
  <c r="Q61" i="55"/>
  <c r="P61" i="55"/>
  <c r="S60" i="55"/>
  <c r="R60" i="55"/>
  <c r="Q60" i="55"/>
  <c r="P60" i="55"/>
  <c r="S58" i="55"/>
  <c r="R58" i="55"/>
  <c r="Q58" i="55"/>
  <c r="P58" i="55"/>
  <c r="S57" i="55"/>
  <c r="R57" i="55"/>
  <c r="Q57" i="55"/>
  <c r="P57" i="55"/>
  <c r="S56" i="55"/>
  <c r="R56" i="55"/>
  <c r="Q56" i="55"/>
  <c r="P5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6" i="55"/>
  <c r="AN85" i="55"/>
  <c r="AN84" i="55"/>
  <c r="AN83" i="55"/>
  <c r="AN82" i="55"/>
  <c r="AN81" i="55"/>
  <c r="AN80" i="55"/>
  <c r="AN79" i="55"/>
  <c r="AN78" i="55"/>
  <c r="AN77" i="55"/>
  <c r="AN76" i="55"/>
  <c r="AN75" i="55"/>
  <c r="AN74" i="55"/>
  <c r="AN73" i="55"/>
  <c r="AN72" i="55"/>
  <c r="AN71" i="55"/>
  <c r="AN66" i="55"/>
  <c r="AN65" i="55"/>
  <c r="AN64" i="55"/>
  <c r="AN63" i="55"/>
  <c r="AN62" i="55"/>
  <c r="AN61" i="55"/>
  <c r="AN60" i="55"/>
  <c r="AN59" i="55"/>
  <c r="AN58" i="55"/>
  <c r="AN57" i="55"/>
  <c r="AN56" i="55"/>
  <c r="AN55" i="55"/>
  <c r="AN8" i="55"/>
  <c r="AN9" i="55"/>
  <c r="AN10" i="55"/>
  <c r="AN11" i="55"/>
  <c r="AN12" i="55"/>
  <c r="AN13" i="55"/>
  <c r="AN14" i="55"/>
  <c r="AN15" i="55"/>
  <c r="AN16" i="55"/>
  <c r="AN17" i="55"/>
  <c r="AN30" i="55"/>
  <c r="AN31" i="55"/>
  <c r="AN32" i="55"/>
  <c r="AN33" i="55"/>
  <c r="AN34" i="55"/>
  <c r="AN35" i="55"/>
  <c r="AN36" i="55"/>
  <c r="AN37" i="55"/>
  <c r="AN38" i="55"/>
  <c r="AN39" i="55"/>
  <c r="AN7" i="55"/>
  <c r="AM86" i="55"/>
  <c r="AM85" i="55"/>
  <c r="AM84" i="55"/>
  <c r="AM83" i="55"/>
  <c r="AM82" i="55"/>
  <c r="AM81" i="55"/>
  <c r="AM80" i="55"/>
  <c r="AM79" i="55"/>
  <c r="AM78" i="55"/>
  <c r="AM77" i="55"/>
  <c r="AM76" i="55"/>
  <c r="AM75" i="55"/>
  <c r="AM74" i="55"/>
  <c r="AM73" i="55"/>
  <c r="AM72" i="55"/>
  <c r="AM71" i="55"/>
  <c r="AM66" i="55"/>
  <c r="AM65" i="55"/>
  <c r="AM64" i="55"/>
  <c r="AM63" i="55"/>
  <c r="AM62" i="55"/>
  <c r="AM61" i="55"/>
  <c r="AM60" i="55"/>
  <c r="AM59" i="55"/>
  <c r="AM58" i="55"/>
  <c r="AM57" i="55"/>
  <c r="AM56" i="55"/>
  <c r="AM5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38" i="55"/>
  <c r="S38" i="55"/>
  <c r="AM34" i="55" l="1"/>
  <c r="AM39" i="55"/>
  <c r="AM38" i="55"/>
  <c r="AM37" i="55"/>
  <c r="AM36" i="55" l="1"/>
  <c r="AM35" i="55"/>
  <c r="AM33" i="55"/>
  <c r="S36" i="55"/>
  <c r="R36" i="55"/>
  <c r="Q36" i="55"/>
  <c r="P36" i="55"/>
  <c r="AM32" i="55"/>
  <c r="S35" i="55"/>
  <c r="R35" i="55"/>
  <c r="Q35" i="55"/>
  <c r="P35" i="55"/>
  <c r="AM31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3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3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3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4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4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5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5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6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6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7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8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8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8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9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0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0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0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0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2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3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3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3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3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<sst xmlns="http://schemas.openxmlformats.org/spreadsheetml/2006/main" count="2167" uniqueCount="743">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</sst>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theme="6" tint="0.79998168889431442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2" fontId="15" fillId="36" borderId="10" xfId="0" applyNumberFormat="1" applyFont="1" applyFill="1" applyBorder="1"/>
    <xf numFmtId="2" fontId="15" fillId="36" borderId="25" xfId="0" applyNumberFormat="1" applyFont="1" applyFill="1" applyBorder="1"/>
    <xf numFmtId="0" fontId="10" fillId="0" borderId="0" xfId="0" applyFont="1"/>
    <xf numFmtId="0" fontId="10" fillId="37" borderId="0" xfId="0" applyFont="1" applyFill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142</xdr:row>
      <xdr:rowOff>87313</xdr:rowOff>
    </xdr:from>
    <xdr:to>
      <xdr:col>36</xdr:col>
      <xdr:colOff>462225</xdr:colOff>
      <xdr:row>152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20" t="s">
        <v>682</v>
      </c>
      <c r="B16" s="520"/>
      <c r="C16" s="520"/>
      <c r="D16" s="520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9" t="s">
        <v>698</v>
      </c>
      <c r="C19" s="519"/>
      <c r="D19" s="519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683</v>
      </c>
      <c r="B20" s="519" t="s">
        <v>693</v>
      </c>
      <c r="C20" s="519"/>
      <c r="D20" s="519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684</v>
      </c>
      <c r="B21" s="510" t="s">
        <v>694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685</v>
      </c>
      <c r="B23" s="519" t="s">
        <v>695</v>
      </c>
      <c r="C23" s="519"/>
      <c r="D23" s="519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9" t="s">
        <v>696</v>
      </c>
      <c r="C24" s="519"/>
      <c r="D24" s="519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9" t="s">
        <v>697</v>
      </c>
      <c r="C25" s="519"/>
      <c r="D25" s="519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686</v>
      </c>
      <c r="B26" s="519" t="s">
        <v>695</v>
      </c>
      <c r="C26" s="519"/>
      <c r="D26" s="519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9" t="s">
        <v>697</v>
      </c>
      <c r="C27" s="519"/>
      <c r="D27" s="519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687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688</v>
      </c>
      <c r="B30" s="521" t="s">
        <v>689</v>
      </c>
      <c r="C30" s="519"/>
      <c r="D30" s="519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690</v>
      </c>
      <c r="B31" s="519" t="s">
        <v>691</v>
      </c>
      <c r="C31" s="519"/>
      <c r="D31" s="519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692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181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182</v>
      </c>
      <c r="C4" s="161" t="s">
        <v>183</v>
      </c>
      <c r="D4" s="162">
        <v>44136</v>
      </c>
      <c r="E4" s="163" t="s">
        <v>184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185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186</v>
      </c>
      <c r="C6" s="167" t="s">
        <v>187</v>
      </c>
      <c r="D6" s="168">
        <v>44166</v>
      </c>
      <c r="E6" s="169" t="s">
        <v>185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188</v>
      </c>
      <c r="C7" s="167" t="s">
        <v>189</v>
      </c>
      <c r="D7" s="172">
        <v>43862</v>
      </c>
      <c r="E7" s="169" t="s">
        <v>185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190</v>
      </c>
      <c r="D8" s="172">
        <v>44166</v>
      </c>
      <c r="E8" s="169" t="s">
        <v>185</v>
      </c>
      <c r="G8" s="174"/>
      <c r="H8" s="165" t="s">
        <v>191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192</v>
      </c>
      <c r="C9" s="167" t="s">
        <v>193</v>
      </c>
      <c r="D9" s="172">
        <v>44044</v>
      </c>
      <c r="E9" s="169" t="s">
        <v>185</v>
      </c>
      <c r="G9" s="175"/>
      <c r="H9" s="176" t="s">
        <v>7</v>
      </c>
    </row>
    <row r="10" spans="2:20" x14ac:dyDescent="0.2">
      <c r="B10" s="166" t="s">
        <v>194</v>
      </c>
      <c r="C10" s="167" t="s">
        <v>42</v>
      </c>
      <c r="D10" s="172">
        <v>44136</v>
      </c>
      <c r="E10" s="169" t="s">
        <v>185</v>
      </c>
    </row>
    <row r="11" spans="2:20" x14ac:dyDescent="0.2">
      <c r="B11" s="166" t="s">
        <v>195</v>
      </c>
      <c r="C11" s="167" t="s">
        <v>44</v>
      </c>
      <c r="D11" s="172">
        <v>44013</v>
      </c>
      <c r="E11" s="169" t="s">
        <v>185</v>
      </c>
    </row>
    <row r="12" spans="2:20" x14ac:dyDescent="0.2">
      <c r="B12" s="166" t="s">
        <v>196</v>
      </c>
      <c r="C12" s="167" t="s">
        <v>45</v>
      </c>
      <c r="D12" s="172">
        <v>44136</v>
      </c>
      <c r="E12" s="169" t="s">
        <v>184</v>
      </c>
    </row>
    <row r="13" spans="2:20" ht="15" thickBot="1" x14ac:dyDescent="0.25">
      <c r="B13" s="166" t="s">
        <v>197</v>
      </c>
      <c r="C13" s="167" t="s">
        <v>198</v>
      </c>
      <c r="D13" s="172">
        <v>44136</v>
      </c>
      <c r="E13" s="169" t="s">
        <v>185</v>
      </c>
    </row>
    <row r="14" spans="2:20" ht="19.5" thickBot="1" x14ac:dyDescent="0.25">
      <c r="B14" s="166" t="s">
        <v>199</v>
      </c>
      <c r="C14" s="167" t="s">
        <v>200</v>
      </c>
      <c r="D14" s="172">
        <v>44105</v>
      </c>
      <c r="E14" s="169" t="s">
        <v>185</v>
      </c>
      <c r="G14" s="522" t="s">
        <v>11</v>
      </c>
      <c r="H14" s="524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185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185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185</v>
      </c>
      <c r="G17" s="189" t="s">
        <v>14</v>
      </c>
      <c r="H17" s="190" t="s">
        <v>201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185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181</v>
      </c>
      <c r="F21" s="184" t="s">
        <v>667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185</v>
      </c>
      <c r="F22" s="491" t="s">
        <v>668</v>
      </c>
    </row>
    <row r="23" spans="2:8" ht="15" customHeight="1" x14ac:dyDescent="0.25">
      <c r="B23" s="492" t="s">
        <v>669</v>
      </c>
      <c r="C23" s="495" t="s">
        <v>670</v>
      </c>
      <c r="D23" s="493">
        <v>43952</v>
      </c>
      <c r="E23" s="494" t="s">
        <v>185</v>
      </c>
      <c r="F23" s="498" t="s">
        <v>671</v>
      </c>
      <c r="G23" s="152" t="s">
        <v>681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185</v>
      </c>
      <c r="F24" s="496" t="s">
        <v>668</v>
      </c>
    </row>
    <row r="25" spans="2:8" ht="15" customHeight="1" x14ac:dyDescent="0.25">
      <c r="B25" s="187" t="s">
        <v>202</v>
      </c>
      <c r="C25" s="196" t="s">
        <v>58</v>
      </c>
      <c r="D25" s="195">
        <v>43952</v>
      </c>
      <c r="E25" s="169" t="s">
        <v>185</v>
      </c>
      <c r="F25" s="496" t="s">
        <v>668</v>
      </c>
    </row>
    <row r="26" spans="2:8" ht="15" customHeight="1" x14ac:dyDescent="0.25">
      <c r="B26" s="187" t="s">
        <v>203</v>
      </c>
      <c r="C26" s="196" t="s">
        <v>204</v>
      </c>
      <c r="D26" s="195">
        <v>43983</v>
      </c>
      <c r="E26" s="169" t="s">
        <v>185</v>
      </c>
      <c r="F26" s="491" t="s">
        <v>668</v>
      </c>
    </row>
    <row r="27" spans="2:8" ht="15" customHeight="1" x14ac:dyDescent="0.25">
      <c r="B27" s="187" t="s">
        <v>205</v>
      </c>
      <c r="C27" s="196" t="s">
        <v>672</v>
      </c>
      <c r="D27" s="195">
        <v>43983</v>
      </c>
      <c r="E27" s="169" t="s">
        <v>185</v>
      </c>
      <c r="F27" s="496" t="s">
        <v>668</v>
      </c>
    </row>
    <row r="28" spans="2:8" ht="15" x14ac:dyDescent="0.25">
      <c r="B28" s="187" t="s">
        <v>674</v>
      </c>
      <c r="C28" s="207" t="s">
        <v>673</v>
      </c>
      <c r="D28" s="195">
        <v>43983</v>
      </c>
      <c r="E28" s="169" t="s">
        <v>185</v>
      </c>
      <c r="F28" s="491" t="s">
        <v>668</v>
      </c>
    </row>
    <row r="29" spans="2:8" x14ac:dyDescent="0.2">
      <c r="B29" s="152" t="s">
        <v>676</v>
      </c>
      <c r="C29" s="207" t="s">
        <v>675</v>
      </c>
      <c r="D29" s="195">
        <v>44013</v>
      </c>
      <c r="E29" s="169" t="s">
        <v>185</v>
      </c>
      <c r="F29" s="498" t="s">
        <v>671</v>
      </c>
      <c r="G29" s="152" t="s">
        <v>677</v>
      </c>
    </row>
    <row r="30" spans="2:8" x14ac:dyDescent="0.2">
      <c r="B30" s="152" t="s">
        <v>678</v>
      </c>
      <c r="C30" s="152" t="s">
        <v>679</v>
      </c>
      <c r="D30" s="497">
        <v>44287</v>
      </c>
      <c r="E30" s="169" t="s">
        <v>185</v>
      </c>
      <c r="F30" s="491" t="s">
        <v>668</v>
      </c>
      <c r="G30" s="152" t="s">
        <v>680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181</v>
      </c>
      <c r="G37" s="200" t="s">
        <v>15</v>
      </c>
      <c r="H37" s="200" t="s">
        <v>206</v>
      </c>
    </row>
    <row r="38" spans="2:8" ht="15" x14ac:dyDescent="0.25">
      <c r="B38" s="200">
        <v>1</v>
      </c>
      <c r="C38" s="188" t="s">
        <v>207</v>
      </c>
      <c r="D38" s="201">
        <v>44166</v>
      </c>
      <c r="E38" s="202" t="s">
        <v>185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147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543</v>
      </c>
      <c r="H3" s="18" t="s">
        <v>26</v>
      </c>
      <c r="I3" s="17" t="s">
        <v>240</v>
      </c>
      <c r="J3" s="17" t="s">
        <v>78</v>
      </c>
      <c r="S3" s="530" t="s">
        <v>253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254</v>
      </c>
      <c r="T4" s="218" t="s">
        <v>255</v>
      </c>
      <c r="U4" s="218" t="s">
        <v>256</v>
      </c>
      <c r="V4" s="218" t="s">
        <v>257</v>
      </c>
      <c r="W4" s="219" t="s">
        <v>258</v>
      </c>
    </row>
    <row r="5" spans="3:23" ht="25.5" x14ac:dyDescent="0.2">
      <c r="C5" s="37" t="s">
        <v>138</v>
      </c>
      <c r="D5" s="38"/>
      <c r="E5" s="38"/>
      <c r="F5" s="39"/>
      <c r="G5" s="38"/>
      <c r="H5" s="37" t="s">
        <v>68</v>
      </c>
      <c r="I5" s="61" t="s">
        <v>239</v>
      </c>
      <c r="J5" s="61" t="s">
        <v>94</v>
      </c>
      <c r="S5" s="220" t="s">
        <v>244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704</v>
      </c>
      <c r="F6" s="21" t="s">
        <v>137</v>
      </c>
      <c r="G6" s="21">
        <v>1</v>
      </c>
      <c r="H6" s="131">
        <v>100</v>
      </c>
      <c r="I6" s="236">
        <f>[1]ArchetypeDemand!$L$51</f>
        <v>1.3249013578385519E-4</v>
      </c>
      <c r="J6" s="129">
        <v>2019</v>
      </c>
      <c r="L6" s="3">
        <f>I6/0.0000036</f>
        <v>36.802815495515333</v>
      </c>
      <c r="S6" s="223" t="s">
        <v>245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133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246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134</v>
      </c>
      <c r="F8" s="41"/>
      <c r="G8" s="41"/>
      <c r="H8" s="62"/>
      <c r="I8" s="238">
        <f>[1]ArchetypeDemand!$L$53</f>
        <v>2.6993348022525303E-3</v>
      </c>
      <c r="J8" s="58"/>
      <c r="L8" s="4">
        <f t="shared" si="0"/>
        <v>749.81522284792516</v>
      </c>
      <c r="S8" s="223" t="s">
        <v>247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135</v>
      </c>
      <c r="F9" s="25"/>
      <c r="G9" s="25"/>
      <c r="H9" s="63"/>
      <c r="I9" s="237">
        <f>[1]ArchetypeDemand!$L$54</f>
        <v>3.2505870170077217E-4</v>
      </c>
      <c r="J9" s="57"/>
      <c r="L9" s="4">
        <f t="shared" si="0"/>
        <v>90.294083805770057</v>
      </c>
      <c r="S9" s="226" t="s">
        <v>248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136</v>
      </c>
      <c r="F10" s="120"/>
      <c r="G10" s="120"/>
      <c r="H10" s="86"/>
      <c r="I10" s="239">
        <f>[1]ArchetypeDemand!$L$55</f>
        <v>2.4641622412260611E-4</v>
      </c>
      <c r="J10" s="95"/>
      <c r="L10" s="4">
        <f t="shared" si="0"/>
        <v>68.448951145168365</v>
      </c>
      <c r="S10" s="223" t="s">
        <v>249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140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250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733</v>
      </c>
      <c r="F12" s="21" t="s">
        <v>141</v>
      </c>
      <c r="G12" s="21">
        <v>1</v>
      </c>
      <c r="H12" s="131">
        <v>100</v>
      </c>
      <c r="I12" s="236">
        <f>[1]ArchetypeDemand!$L$6</f>
        <v>3.1499640433377643E-4</v>
      </c>
      <c r="J12" s="129">
        <v>2019</v>
      </c>
      <c r="L12" s="4">
        <f>I12/0.0000036</f>
        <v>87.499001203826793</v>
      </c>
      <c r="S12" s="223" t="s">
        <v>251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142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252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143</v>
      </c>
      <c r="F14" s="41"/>
      <c r="G14" s="41"/>
      <c r="H14" s="62"/>
      <c r="I14" s="238">
        <f>[1]ArchetypeDemand!$L$8</f>
        <v>2.5141244794864483E-3</v>
      </c>
      <c r="J14" s="58"/>
      <c r="L14" s="4">
        <f t="shared" si="1"/>
        <v>698.36791096845786</v>
      </c>
      <c r="S14" s="231" t="s">
        <v>259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144</v>
      </c>
      <c r="F15" s="25"/>
      <c r="G15" s="25"/>
      <c r="H15" s="63"/>
      <c r="I15" s="237">
        <f>[1]ArchetypeDemand!$L$9</f>
        <v>3.0596592500527567E-4</v>
      </c>
      <c r="J15" s="57"/>
      <c r="L15" s="4">
        <f t="shared" si="1"/>
        <v>84.990534723687688</v>
      </c>
      <c r="S15" s="235" t="s">
        <v>260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145</v>
      </c>
      <c r="F16" s="120"/>
      <c r="G16" s="120"/>
      <c r="H16" s="86"/>
      <c r="I16" s="239">
        <f>[1]ArchetypeDemand!$L$10</f>
        <v>2.1782809199424584E-4</v>
      </c>
      <c r="J16" s="95"/>
      <c r="L16" s="4">
        <f t="shared" si="1"/>
        <v>60.507803331734962</v>
      </c>
    </row>
    <row r="17" spans="2:39" x14ac:dyDescent="0.2">
      <c r="C17" s="37" t="s">
        <v>146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734</v>
      </c>
      <c r="F18" s="21" t="s">
        <v>148</v>
      </c>
      <c r="G18" s="21">
        <v>1</v>
      </c>
      <c r="H18" s="131">
        <v>100</v>
      </c>
      <c r="I18" s="236">
        <f>[1]ArchetypeDemand!$L$96</f>
        <v>2.4058665241777602E-3</v>
      </c>
      <c r="J18" s="129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149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150</v>
      </c>
      <c r="F20" s="41"/>
      <c r="G20" s="41"/>
      <c r="H20" s="62"/>
      <c r="I20" s="238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151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152</v>
      </c>
      <c r="F22" s="120"/>
      <c r="G22" s="120"/>
      <c r="H22" s="86"/>
      <c r="I22" s="239">
        <f>[1]ArchetypeDemand!$L$100</f>
        <v>6.686799636959782E-4</v>
      </c>
      <c r="J22" s="95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208</v>
      </c>
      <c r="C27" s="13" t="s">
        <v>209</v>
      </c>
      <c r="D27" s="13" t="s">
        <v>33</v>
      </c>
      <c r="E27" s="13" t="s">
        <v>71</v>
      </c>
      <c r="F27" s="13" t="s">
        <v>72</v>
      </c>
      <c r="G27" s="13" t="s">
        <v>210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273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273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273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9"/>
  <sheetViews>
    <sheetView tabSelected="1" zoomScale="60" zoomScaleNormal="60" workbookViewId="0">
      <selection activeCell="AT30" sqref="AT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561</v>
      </c>
      <c r="G3" s="14" t="s">
        <v>24</v>
      </c>
      <c r="H3" s="17" t="s">
        <v>735</v>
      </c>
      <c r="I3" s="17" t="s">
        <v>736</v>
      </c>
      <c r="J3" s="17" t="s">
        <v>737</v>
      </c>
      <c r="K3" s="17" t="s">
        <v>738</v>
      </c>
      <c r="L3" s="17" t="s">
        <v>223</v>
      </c>
      <c r="M3" s="17" t="s">
        <v>224</v>
      </c>
      <c r="N3" s="17" t="s">
        <v>225</v>
      </c>
      <c r="O3" s="17" t="s">
        <v>226</v>
      </c>
      <c r="P3" s="17" t="s">
        <v>227</v>
      </c>
      <c r="Q3" s="17" t="s">
        <v>228</v>
      </c>
      <c r="R3" s="17" t="s">
        <v>229</v>
      </c>
      <c r="S3" s="17" t="s">
        <v>230</v>
      </c>
      <c r="T3" s="18" t="s">
        <v>26</v>
      </c>
      <c r="U3" s="18" t="s">
        <v>76</v>
      </c>
      <c r="V3" s="17" t="s">
        <v>241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285</v>
      </c>
      <c r="AC3" s="17" t="s">
        <v>286</v>
      </c>
      <c r="AD3" s="17" t="s">
        <v>287</v>
      </c>
      <c r="AE3" s="17" t="s">
        <v>699</v>
      </c>
      <c r="AF3" s="17" t="s">
        <v>243</v>
      </c>
      <c r="AG3" s="17" t="s">
        <v>77</v>
      </c>
      <c r="AH3" s="17" t="s">
        <v>272</v>
      </c>
      <c r="AI3" s="17" t="s">
        <v>78</v>
      </c>
      <c r="AJ3" s="17" t="s">
        <v>559</v>
      </c>
    </row>
    <row r="4" spans="3:44" ht="38.25" x14ac:dyDescent="0.2">
      <c r="C4" s="16" t="s">
        <v>283</v>
      </c>
      <c r="D4" s="16" t="s">
        <v>33</v>
      </c>
      <c r="E4" s="16" t="s">
        <v>80</v>
      </c>
      <c r="F4" s="16" t="s">
        <v>562</v>
      </c>
      <c r="G4" s="16" t="s">
        <v>81</v>
      </c>
      <c r="H4" s="537" t="s">
        <v>263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31" t="s">
        <v>86</v>
      </c>
      <c r="W4" s="532"/>
      <c r="X4" s="532"/>
      <c r="Y4" s="533"/>
      <c r="Z4" s="60"/>
      <c r="AA4" s="60"/>
      <c r="AB4" s="68" t="s">
        <v>212</v>
      </c>
      <c r="AC4" s="71" t="s">
        <v>212</v>
      </c>
      <c r="AD4" s="71" t="s">
        <v>212</v>
      </c>
      <c r="AE4" s="71" t="s">
        <v>212</v>
      </c>
      <c r="AF4" s="71" t="s">
        <v>242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282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274</v>
      </c>
      <c r="D6" s="38"/>
      <c r="E6" s="38"/>
      <c r="F6" s="38"/>
      <c r="G6" s="39"/>
      <c r="H6" s="534" t="s">
        <v>34</v>
      </c>
      <c r="I6" s="535"/>
      <c r="J6" s="535"/>
      <c r="K6" s="536"/>
      <c r="L6" s="535" t="s">
        <v>34</v>
      </c>
      <c r="M6" s="535"/>
      <c r="N6" s="535"/>
      <c r="O6" s="536"/>
      <c r="P6" s="534" t="s">
        <v>34</v>
      </c>
      <c r="Q6" s="535"/>
      <c r="R6" s="535"/>
      <c r="S6" s="536"/>
      <c r="T6" s="534" t="s">
        <v>68</v>
      </c>
      <c r="U6" s="536"/>
      <c r="V6" s="534" t="s">
        <v>508</v>
      </c>
      <c r="W6" s="535"/>
      <c r="X6" s="535"/>
      <c r="Y6" s="536"/>
      <c r="Z6" s="61" t="s">
        <v>520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288</v>
      </c>
      <c r="AH6" s="61" t="s">
        <v>34</v>
      </c>
      <c r="AI6" s="61" t="s">
        <v>94</v>
      </c>
      <c r="AJ6" s="61" t="s">
        <v>560</v>
      </c>
      <c r="AL6" s="211" t="s">
        <v>69</v>
      </c>
      <c r="AM6" s="211" t="s">
        <v>70</v>
      </c>
      <c r="AN6" s="211" t="s">
        <v>33</v>
      </c>
      <c r="AO6" s="211" t="s">
        <v>71</v>
      </c>
      <c r="AP6" s="211" t="s">
        <v>72</v>
      </c>
      <c r="AQ6" s="211" t="s">
        <v>73</v>
      </c>
      <c r="AR6" s="211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264</v>
      </c>
      <c r="F7" s="89"/>
      <c r="G7" s="517" t="s">
        <v>714</v>
      </c>
      <c r="H7" s="246">
        <v>1</v>
      </c>
      <c r="I7" s="247">
        <v>1</v>
      </c>
      <c r="J7" s="247">
        <v>1</v>
      </c>
      <c r="K7" s="248">
        <v>1</v>
      </c>
      <c r="L7" s="46"/>
      <c r="M7" s="47"/>
      <c r="N7" s="47"/>
      <c r="O7" s="48"/>
      <c r="P7" s="246"/>
      <c r="Q7" s="247"/>
      <c r="R7" s="247"/>
      <c r="S7" s="248"/>
      <c r="T7" s="52">
        <v>20</v>
      </c>
      <c r="U7" s="89"/>
      <c r="V7" s="379">
        <f>V9*1.3</f>
        <v>3.6270000000000002</v>
      </c>
      <c r="W7" s="379">
        <f t="shared" ref="W7:Y7" si="0">W9*1.3</f>
        <v>3.6270000000000002</v>
      </c>
      <c r="X7" s="379">
        <f t="shared" si="0"/>
        <v>3.6270000000000002</v>
      </c>
      <c r="Y7" s="379">
        <f t="shared" si="0"/>
        <v>3.6270000000000002</v>
      </c>
      <c r="Z7" s="379">
        <v>0.12</v>
      </c>
      <c r="AA7" s="88"/>
      <c r="AB7" s="260"/>
      <c r="AC7" s="260"/>
      <c r="AD7" s="260"/>
      <c r="AE7" s="260"/>
      <c r="AF7" s="260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180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264</v>
      </c>
      <c r="F8" s="24"/>
      <c r="G8" s="57" t="s">
        <v>715</v>
      </c>
      <c r="H8" s="243">
        <v>1</v>
      </c>
      <c r="I8" s="244">
        <v>1</v>
      </c>
      <c r="J8" s="244">
        <v>1</v>
      </c>
      <c r="K8" s="245">
        <v>1</v>
      </c>
      <c r="L8" s="44"/>
      <c r="M8" s="32"/>
      <c r="N8" s="32"/>
      <c r="O8" s="45"/>
      <c r="P8" s="243">
        <f>H8*0.7</f>
        <v>0.7</v>
      </c>
      <c r="Q8" s="244">
        <f t="shared" ref="Q8" si="2">I8*0.7</f>
        <v>0.7</v>
      </c>
      <c r="R8" s="244">
        <f t="shared" ref="R8" si="3">J8*0.7</f>
        <v>0.7</v>
      </c>
      <c r="S8" s="245">
        <f t="shared" ref="S8" si="4">K8*0.7</f>
        <v>0.7</v>
      </c>
      <c r="T8" s="53">
        <v>20</v>
      </c>
      <c r="U8" s="24"/>
      <c r="V8" s="380">
        <f>V10*1.3</f>
        <v>3.6576075949367097</v>
      </c>
      <c r="W8" s="380">
        <f t="shared" ref="W8:Y8" si="5">W10*1.3</f>
        <v>3.6576075949367097</v>
      </c>
      <c r="X8" s="380">
        <f t="shared" si="5"/>
        <v>3.6576075949367097</v>
      </c>
      <c r="Y8" s="380">
        <f t="shared" si="5"/>
        <v>3.6576075949367097</v>
      </c>
      <c r="Z8" s="380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180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700</v>
      </c>
      <c r="F9" s="30"/>
      <c r="G9" s="517" t="s">
        <v>714</v>
      </c>
      <c r="H9" s="240">
        <v>1</v>
      </c>
      <c r="I9" s="241">
        <v>1</v>
      </c>
      <c r="J9" s="241">
        <v>1</v>
      </c>
      <c r="K9" s="242">
        <v>1</v>
      </c>
      <c r="L9" s="42"/>
      <c r="M9" s="31"/>
      <c r="N9" s="31"/>
      <c r="O9" s="43"/>
      <c r="P9" s="240"/>
      <c r="Q9" s="241"/>
      <c r="R9" s="241"/>
      <c r="S9" s="242"/>
      <c r="T9" s="54">
        <v>22</v>
      </c>
      <c r="U9" s="30"/>
      <c r="V9" s="379">
        <f>2.79</f>
        <v>2.79</v>
      </c>
      <c r="W9" s="379">
        <f t="shared" ref="W9:Y9" si="7">2.79</f>
        <v>2.79</v>
      </c>
      <c r="X9" s="379">
        <f t="shared" si="7"/>
        <v>2.79</v>
      </c>
      <c r="Y9" s="379">
        <f t="shared" si="7"/>
        <v>2.79</v>
      </c>
      <c r="Z9" s="379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180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700</v>
      </c>
      <c r="F10" s="24"/>
      <c r="G10" s="57" t="s">
        <v>715</v>
      </c>
      <c r="H10" s="243">
        <v>1</v>
      </c>
      <c r="I10" s="244">
        <v>1</v>
      </c>
      <c r="J10" s="244">
        <v>1</v>
      </c>
      <c r="K10" s="245">
        <v>1</v>
      </c>
      <c r="L10" s="44"/>
      <c r="M10" s="32"/>
      <c r="N10" s="32"/>
      <c r="O10" s="45"/>
      <c r="P10" s="243">
        <f>H10*0.7</f>
        <v>0.7</v>
      </c>
      <c r="Q10" s="244">
        <f t="shared" ref="Q10" si="8">I10*0.7</f>
        <v>0.7</v>
      </c>
      <c r="R10" s="244">
        <f t="shared" ref="R10" si="9">J10*0.7</f>
        <v>0.7</v>
      </c>
      <c r="S10" s="245">
        <f t="shared" ref="S10" si="10">K10*0.7</f>
        <v>0.7</v>
      </c>
      <c r="T10" s="53">
        <v>22</v>
      </c>
      <c r="U10" s="24"/>
      <c r="V10" s="380">
        <f>V9*($U$160/$U$159)</f>
        <v>2.8135443037974688</v>
      </c>
      <c r="W10" s="380">
        <f>W9*($U$160/$U$159)</f>
        <v>2.8135443037974688</v>
      </c>
      <c r="X10" s="380">
        <f>X9*($U$160/$U$159)</f>
        <v>2.8135443037974688</v>
      </c>
      <c r="Y10" s="380">
        <f>Y9*($U$160/$U$159)</f>
        <v>2.8135443037974688</v>
      </c>
      <c r="Z10" s="380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180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265</v>
      </c>
      <c r="F11" s="30"/>
      <c r="G11" s="517" t="s">
        <v>714</v>
      </c>
      <c r="H11" s="240">
        <v>1</v>
      </c>
      <c r="I11" s="241">
        <v>1</v>
      </c>
      <c r="J11" s="241">
        <v>1</v>
      </c>
      <c r="K11" s="242">
        <v>1</v>
      </c>
      <c r="L11" s="42"/>
      <c r="M11" s="31"/>
      <c r="N11" s="31"/>
      <c r="O11" s="43"/>
      <c r="P11" s="240"/>
      <c r="Q11" s="241"/>
      <c r="R11" s="241"/>
      <c r="S11" s="242"/>
      <c r="T11" s="54">
        <v>22</v>
      </c>
      <c r="U11" s="30"/>
      <c r="V11" s="379">
        <f>2.79+0.35</f>
        <v>3.14</v>
      </c>
      <c r="W11" s="379">
        <f t="shared" ref="W11:Y11" si="11">2.79+0.35</f>
        <v>3.14</v>
      </c>
      <c r="X11" s="379">
        <f t="shared" si="11"/>
        <v>3.14</v>
      </c>
      <c r="Y11" s="379">
        <f t="shared" si="11"/>
        <v>3.14</v>
      </c>
      <c r="Z11" s="379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180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265</v>
      </c>
      <c r="F12" s="24"/>
      <c r="G12" s="57" t="s">
        <v>715</v>
      </c>
      <c r="H12" s="243">
        <v>1</v>
      </c>
      <c r="I12" s="244">
        <v>1</v>
      </c>
      <c r="J12" s="244">
        <v>1</v>
      </c>
      <c r="K12" s="245">
        <v>1</v>
      </c>
      <c r="L12" s="44"/>
      <c r="M12" s="32"/>
      <c r="N12" s="32"/>
      <c r="O12" s="45"/>
      <c r="P12" s="243">
        <f>H12*0.7</f>
        <v>0.7</v>
      </c>
      <c r="Q12" s="244">
        <f t="shared" ref="Q12:S12" si="12">I12*0.7</f>
        <v>0.7</v>
      </c>
      <c r="R12" s="244">
        <f t="shared" si="12"/>
        <v>0.7</v>
      </c>
      <c r="S12" s="245">
        <f t="shared" si="12"/>
        <v>0.7</v>
      </c>
      <c r="T12" s="53">
        <v>22</v>
      </c>
      <c r="U12" s="24"/>
      <c r="V12" s="380">
        <f>V10+0.35</f>
        <v>3.1635443037974689</v>
      </c>
      <c r="W12" s="380">
        <f t="shared" ref="W12:Y12" si="13">W10+0.35</f>
        <v>3.1635443037974689</v>
      </c>
      <c r="X12" s="380">
        <f t="shared" si="13"/>
        <v>3.1635443037974689</v>
      </c>
      <c r="Y12" s="380">
        <f t="shared" si="13"/>
        <v>3.1635443037974689</v>
      </c>
      <c r="Z12" s="380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180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268</v>
      </c>
      <c r="F13" s="30"/>
      <c r="G13" s="517" t="s">
        <v>714</v>
      </c>
      <c r="H13" s="240">
        <v>1</v>
      </c>
      <c r="I13" s="241">
        <v>1</v>
      </c>
      <c r="J13" s="241">
        <v>1</v>
      </c>
      <c r="K13" s="242">
        <v>1</v>
      </c>
      <c r="L13" s="42"/>
      <c r="M13" s="31"/>
      <c r="N13" s="31"/>
      <c r="O13" s="43"/>
      <c r="P13" s="240"/>
      <c r="Q13" s="241"/>
      <c r="R13" s="241"/>
      <c r="S13" s="242"/>
      <c r="T13" s="54">
        <v>20</v>
      </c>
      <c r="U13" s="30"/>
      <c r="V13" s="379">
        <v>6.25</v>
      </c>
      <c r="W13" s="379">
        <v>6.25</v>
      </c>
      <c r="X13" s="379">
        <f>W13*1.1</f>
        <v>6.8750000000000009</v>
      </c>
      <c r="Y13" s="379">
        <f>W13*1.1</f>
        <v>6.8750000000000009</v>
      </c>
      <c r="Z13" s="379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180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268</v>
      </c>
      <c r="F14" s="24"/>
      <c r="G14" s="57" t="s">
        <v>715</v>
      </c>
      <c r="H14" s="243">
        <v>1</v>
      </c>
      <c r="I14" s="244">
        <v>1</v>
      </c>
      <c r="J14" s="244">
        <v>1</v>
      </c>
      <c r="K14" s="245">
        <v>1</v>
      </c>
      <c r="L14" s="44"/>
      <c r="M14" s="32"/>
      <c r="N14" s="32"/>
      <c r="O14" s="45"/>
      <c r="P14" s="243">
        <f t="shared" ref="P14:S14" si="14">H14*0.7</f>
        <v>0.7</v>
      </c>
      <c r="Q14" s="244">
        <f t="shared" si="14"/>
        <v>0.7</v>
      </c>
      <c r="R14" s="244">
        <f t="shared" si="14"/>
        <v>0.7</v>
      </c>
      <c r="S14" s="245">
        <f t="shared" si="14"/>
        <v>0.7</v>
      </c>
      <c r="T14" s="53">
        <v>20</v>
      </c>
      <c r="U14" s="24"/>
      <c r="V14" s="380">
        <f>(JRC_Data!BB11/1000)*($U$160/$U$161)</f>
        <v>6.6663223140495873</v>
      </c>
      <c r="W14" s="380">
        <f>(JRC_Data!BC11/1000)*($U$160/$U$161)</f>
        <v>6.6663223140495873</v>
      </c>
      <c r="X14" s="380">
        <f>(JRC_Data!BD11/1000)*($U$160/$U$161)</f>
        <v>7.4070247933884303</v>
      </c>
      <c r="Y14" s="380">
        <f>(JRC_Data!BE11/1000)*($U$160/$U$161)</f>
        <v>7.4070247933884303</v>
      </c>
      <c r="Z14" s="380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180</v>
      </c>
      <c r="AQ14" s="109"/>
      <c r="AR14" s="109" t="s">
        <v>75</v>
      </c>
    </row>
    <row r="15" spans="3:44" ht="15.75" thickBot="1" x14ac:dyDescent="0.3">
      <c r="C15" s="33" t="s">
        <v>275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180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153</v>
      </c>
      <c r="F16" s="121"/>
      <c r="G16" s="81" t="s">
        <v>714</v>
      </c>
      <c r="H16" s="249">
        <v>1</v>
      </c>
      <c r="I16" s="250">
        <v>1</v>
      </c>
      <c r="J16" s="250">
        <v>1</v>
      </c>
      <c r="K16" s="251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(JRC_Data!BB48/1000)*($U$159/$U$161)</f>
        <v>3.9173553719008263</v>
      </c>
      <c r="W16" s="79">
        <f>(JRC_Data!BC48/1000)*($U$159/$U$161)</f>
        <v>3.9173553719008263</v>
      </c>
      <c r="X16" s="79">
        <f>(JRC_Data!BD48/1000)*($U$159/$U$161)</f>
        <v>3.9173553719008263</v>
      </c>
      <c r="Y16" s="79">
        <f>(JRC_Data!BE48/1000)*($U$159/$U$161)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18" si="15">C18</f>
        <v>R-SH_Apt_ELC_HPN1</v>
      </c>
      <c r="AN16" s="103" t="str">
        <f t="shared" si="15"/>
        <v>Residential Electric Heat Pump - Air to Air - SH</v>
      </c>
      <c r="AO16" s="104" t="s">
        <v>13</v>
      </c>
      <c r="AP16" s="104" t="s">
        <v>180</v>
      </c>
      <c r="AQ16" s="104"/>
      <c r="AR16" s="104" t="s">
        <v>75</v>
      </c>
    </row>
    <row r="17" spans="3:45" ht="15" x14ac:dyDescent="0.25">
      <c r="C17" s="33" t="s">
        <v>276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5"/>
        <v>R-HC_Apt_ELC_HPN1</v>
      </c>
      <c r="AN17" s="105" t="str">
        <f t="shared" si="15"/>
        <v>Residential Electric Heat Pump - Air to Air - SH + SC</v>
      </c>
      <c r="AO17" s="106" t="s">
        <v>13</v>
      </c>
      <c r="AP17" s="106" t="s">
        <v>180</v>
      </c>
      <c r="AQ17" s="106"/>
      <c r="AR17" s="106" t="s">
        <v>75</v>
      </c>
    </row>
    <row r="18" spans="3:45" ht="15" x14ac:dyDescent="0.25">
      <c r="C18" s="19" t="str">
        <f>"R-SH_Apt"&amp;"_"&amp;RIGHT(E18,3)&amp;"_HPN1"</f>
        <v>R-SH_Apt_ELC_HPN1</v>
      </c>
      <c r="D18" s="20" t="s">
        <v>109</v>
      </c>
      <c r="E18" s="89" t="s">
        <v>153</v>
      </c>
      <c r="F18" s="89" t="s">
        <v>563</v>
      </c>
      <c r="G18" s="517" t="s">
        <v>714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(JRC_Data!BB16/1000)*($U$159/$U$162)</f>
        <v>2.1281632653061227</v>
      </c>
      <c r="W18" s="40">
        <f>(JRC_Data!BC16/1000)*($U$159/$U$162)</f>
        <v>2.0314285714285716</v>
      </c>
      <c r="X18" s="40">
        <f>(JRC_Data!BD16/1000)*($U$159/$U$162)</f>
        <v>1.8379591836734692</v>
      </c>
      <c r="Y18" s="40">
        <f>(JRC_Data!BE16/1000)*($U$159/$U$162)</f>
        <v>1.7412244897959184</v>
      </c>
      <c r="Z18" s="40">
        <f>JRC_Data!BL16/1000</f>
        <v>3.4000000000000002E-2</v>
      </c>
      <c r="AA18" s="88"/>
      <c r="AB18" s="260"/>
      <c r="AC18" s="260"/>
      <c r="AD18" s="260"/>
      <c r="AE18" s="260"/>
      <c r="AF18" s="260"/>
      <c r="AG18" s="85">
        <f t="shared" ref="AG18:AG33" si="16">31.536*(AJ18/1000)</f>
        <v>0.15768000000000001</v>
      </c>
      <c r="AH18" s="88"/>
      <c r="AI18" s="88">
        <v>2100</v>
      </c>
      <c r="AJ18" s="88">
        <v>5</v>
      </c>
      <c r="AL18" s="106"/>
      <c r="AM18" s="212" t="str">
        <f t="shared" si="15"/>
        <v>R-SH_Apt_ELC_HPN2-AB</v>
      </c>
      <c r="AN18" s="212" t="str">
        <f t="shared" si="15"/>
        <v>Residential Electric Heat Pump - Air to Water - SH - AB rated dwelling</v>
      </c>
      <c r="AO18" s="106" t="s">
        <v>13</v>
      </c>
      <c r="AP18" s="106" t="s">
        <v>180</v>
      </c>
      <c r="AQ18" s="106"/>
      <c r="AR18" s="106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153</v>
      </c>
      <c r="F19" s="24" t="s">
        <v>563</v>
      </c>
      <c r="G19" s="57" t="s">
        <v>716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(JRC_Data!BB16/1000)*($U$160/$U$162)</f>
        <v>2.1461224489795923</v>
      </c>
      <c r="W19" s="22">
        <f>(JRC_Data!BC16/1000)*($U$160/$U$162)</f>
        <v>2.0485714285714289</v>
      </c>
      <c r="X19" s="22">
        <f>(JRC_Data!BD16/1000)*($U$160/$U$162)</f>
        <v>1.8534693877551021</v>
      </c>
      <c r="Y19" s="22">
        <f>(JRC_Data!BE16/1000)*($U$160/$U$162)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6"/>
        <v>0.15768000000000001</v>
      </c>
      <c r="AH19" s="66"/>
      <c r="AI19" s="66">
        <v>2100</v>
      </c>
      <c r="AJ19" s="66">
        <v>5</v>
      </c>
      <c r="AL19" s="106"/>
      <c r="AM19" s="212" t="str">
        <f t="shared" ref="AM19:AN19" si="17">C21</f>
        <v>R-SH_Apt_ELC_HPN2-C</v>
      </c>
      <c r="AN19" s="212" t="str">
        <f t="shared" si="17"/>
        <v>Residential Electric Heat Pump - Air to Water - SH - C rated dwelling</v>
      </c>
      <c r="AO19" s="106" t="s">
        <v>13</v>
      </c>
      <c r="AP19" s="106" t="s">
        <v>180</v>
      </c>
      <c r="AQ19" s="106"/>
      <c r="AR19" s="106" t="s">
        <v>75</v>
      </c>
      <c r="AS19" s="4"/>
    </row>
    <row r="20" spans="3:45" ht="15" x14ac:dyDescent="0.25">
      <c r="C20" s="516" t="str">
        <f>"R-SH_Apt"&amp;"_"&amp;RIGHT(E20,3)&amp;"_HPN2-AB"</f>
        <v>R-SH_Apt_ELC_HPN2-AB</v>
      </c>
      <c r="D20" s="29" t="s">
        <v>709</v>
      </c>
      <c r="E20" s="30" t="s">
        <v>153</v>
      </c>
      <c r="F20" s="30" t="s">
        <v>563</v>
      </c>
      <c r="G20" s="515" t="s">
        <v>704</v>
      </c>
      <c r="H20" s="40">
        <f>JRC_Data!$AC$18/JRC_Data!$AC$16</f>
        <v>1</v>
      </c>
      <c r="I20" s="29">
        <f>JRC_Data!$AD$18/JRC_Data!$AC$16</f>
        <v>1.0999999999999999</v>
      </c>
      <c r="J20" s="29">
        <f>JRC_Data!$AE$18/JRC_Data!$AC$16</f>
        <v>1.2333333333333334</v>
      </c>
      <c r="K20" s="58">
        <f>JRC_Data!$AF$18/JRC_Data!$AC$16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79">
        <v>7.5039999999999996</v>
      </c>
      <c r="W20" s="379">
        <f>V20*0.91</f>
        <v>6.82864</v>
      </c>
      <c r="X20" s="379">
        <f>W20*0.91</f>
        <v>6.2140624000000004</v>
      </c>
      <c r="Y20" s="379">
        <f>V20*0.82</f>
        <v>6.1532799999999996</v>
      </c>
      <c r="Z20" s="379">
        <v>0.1</v>
      </c>
      <c r="AA20" s="65"/>
      <c r="AB20" s="73"/>
      <c r="AC20" s="73"/>
      <c r="AD20" s="72"/>
      <c r="AE20" s="72"/>
      <c r="AF20" s="72"/>
      <c r="AG20" s="62">
        <f t="shared" si="16"/>
        <v>0.15768000000000001</v>
      </c>
      <c r="AH20" s="65"/>
      <c r="AI20" s="65">
        <v>2019</v>
      </c>
      <c r="AJ20" s="65">
        <v>5</v>
      </c>
      <c r="AL20" s="106"/>
      <c r="AM20" s="212" t="str">
        <f t="shared" ref="AM20:AN20" si="18">C22</f>
        <v>R-SH_Apt_ELC_HPN2-D</v>
      </c>
      <c r="AN20" s="212" t="str">
        <f t="shared" si="18"/>
        <v>Residential Electric Heat Pump - Air to Water - SH - D rated dwelling</v>
      </c>
      <c r="AO20" s="106" t="s">
        <v>13</v>
      </c>
      <c r="AP20" s="106" t="s">
        <v>180</v>
      </c>
      <c r="AQ20" s="106"/>
      <c r="AR20" s="106" t="s">
        <v>75</v>
      </c>
      <c r="AS20" s="4"/>
    </row>
    <row r="21" spans="3:45" ht="15" x14ac:dyDescent="0.25">
      <c r="C21" s="516" t="str">
        <f>"R-SH_Apt"&amp;"_"&amp;RIGHT(E21,3)&amp;"_HPN2-C"</f>
        <v>R-SH_Apt_ELC_HPN2-C</v>
      </c>
      <c r="D21" s="29" t="s">
        <v>710</v>
      </c>
      <c r="E21" s="30" t="s">
        <v>153</v>
      </c>
      <c r="F21" s="30" t="s">
        <v>563</v>
      </c>
      <c r="G21" s="515" t="s">
        <v>705</v>
      </c>
      <c r="H21" s="40">
        <f>JRC_Data!$AC$18/JRC_Data!$AC$16</f>
        <v>1</v>
      </c>
      <c r="I21" s="29">
        <f>JRC_Data!$AD$18/JRC_Data!$AC$16</f>
        <v>1.0999999999999999</v>
      </c>
      <c r="J21" s="29">
        <f>JRC_Data!$AE$18/JRC_Data!$AC$16</f>
        <v>1.2333333333333334</v>
      </c>
      <c r="K21" s="58">
        <f>JRC_Data!$AF$18/JRC_Data!$AC$16</f>
        <v>1.3333333333333333</v>
      </c>
      <c r="L21" s="40"/>
      <c r="M21" s="29"/>
      <c r="N21" s="29"/>
      <c r="O21" s="58"/>
      <c r="P21" s="40"/>
      <c r="Q21" s="29"/>
      <c r="R21" s="29"/>
      <c r="S21" s="58"/>
      <c r="T21" s="54">
        <v>20</v>
      </c>
      <c r="U21" s="30"/>
      <c r="V21" s="379">
        <f>V20+0.6+(0.28*5)</f>
        <v>9.5039999999999996</v>
      </c>
      <c r="W21" s="379">
        <f t="shared" ref="W21:Y21" si="19">W20+0.6+(0.28*5)</f>
        <v>8.82864</v>
      </c>
      <c r="X21" s="379">
        <f t="shared" si="19"/>
        <v>8.2140623999999995</v>
      </c>
      <c r="Y21" s="379">
        <f t="shared" si="19"/>
        <v>8.1532799999999988</v>
      </c>
      <c r="Z21" s="379">
        <v>0.1</v>
      </c>
      <c r="AA21" s="65"/>
      <c r="AB21" s="73"/>
      <c r="AC21" s="73"/>
      <c r="AD21" s="72"/>
      <c r="AE21" s="72"/>
      <c r="AF21" s="72"/>
      <c r="AG21" s="62">
        <f t="shared" ref="AG21:AG25" si="20">31.536*(AJ21/1000)</f>
        <v>0.15768000000000001</v>
      </c>
      <c r="AH21" s="65"/>
      <c r="AI21" s="65">
        <v>2019</v>
      </c>
      <c r="AJ21" s="65">
        <v>5</v>
      </c>
      <c r="AL21" s="106"/>
      <c r="AM21" s="212" t="str">
        <f t="shared" ref="AM21:AN21" si="21">C23</f>
        <v>R-SH_Apt_ELC_HPN2-E</v>
      </c>
      <c r="AN21" s="212" t="str">
        <f t="shared" si="21"/>
        <v>Residential Electric Heat Pump - Air to Water - SH - E rated dwelling</v>
      </c>
      <c r="AO21" s="106" t="s">
        <v>13</v>
      </c>
      <c r="AP21" s="106" t="s">
        <v>180</v>
      </c>
      <c r="AQ21" s="106"/>
      <c r="AR21" s="106" t="s">
        <v>75</v>
      </c>
      <c r="AS21" s="4"/>
    </row>
    <row r="22" spans="3:45" ht="15" x14ac:dyDescent="0.25">
      <c r="C22" s="516" t="str">
        <f>"R-SH_Apt"&amp;"_"&amp;RIGHT(E22,3)&amp;"_HPN2-D"</f>
        <v>R-SH_Apt_ELC_HPN2-D</v>
      </c>
      <c r="D22" s="29" t="s">
        <v>711</v>
      </c>
      <c r="E22" s="30" t="s">
        <v>153</v>
      </c>
      <c r="F22" s="30" t="s">
        <v>563</v>
      </c>
      <c r="G22" s="515" t="s">
        <v>706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379">
        <f>V20+0.6+(0.3*5)</f>
        <v>9.6039999999999992</v>
      </c>
      <c r="W22" s="379">
        <f t="shared" ref="W22:Y22" si="22">W20+0.6+(0.3*5)</f>
        <v>8.9286399999999997</v>
      </c>
      <c r="X22" s="379">
        <f t="shared" si="22"/>
        <v>8.314062400000001</v>
      </c>
      <c r="Y22" s="379">
        <f t="shared" si="22"/>
        <v>8.2532800000000002</v>
      </c>
      <c r="Z22" s="379">
        <v>0.1</v>
      </c>
      <c r="AA22" s="65"/>
      <c r="AB22" s="73"/>
      <c r="AC22" s="73"/>
      <c r="AD22" s="72"/>
      <c r="AE22" s="72"/>
      <c r="AF22" s="72"/>
      <c r="AG22" s="62">
        <f t="shared" si="20"/>
        <v>0.15768000000000001</v>
      </c>
      <c r="AH22" s="65"/>
      <c r="AI22" s="65">
        <v>2019</v>
      </c>
      <c r="AJ22" s="65">
        <v>5</v>
      </c>
      <c r="AL22" s="106"/>
      <c r="AM22" s="212" t="str">
        <f t="shared" ref="AM22:AN22" si="23">C24</f>
        <v>R-SH_Apt_ELC_HPN2-F</v>
      </c>
      <c r="AN22" s="212" t="str">
        <f t="shared" si="23"/>
        <v>Residential Electric Heat Pump - Air to Water - SH - F rated dwelling</v>
      </c>
      <c r="AO22" s="106" t="s">
        <v>13</v>
      </c>
      <c r="AP22" s="106" t="s">
        <v>180</v>
      </c>
      <c r="AQ22" s="106"/>
      <c r="AR22" s="106" t="s">
        <v>75</v>
      </c>
      <c r="AS22" s="4"/>
    </row>
    <row r="23" spans="3:45" ht="15" x14ac:dyDescent="0.25">
      <c r="C23" s="516" t="str">
        <f>"R-SH_Apt"&amp;"_"&amp;RIGHT(E23,3)&amp;"_HPN2-E"</f>
        <v>R-SH_Apt_ELC_HPN2-E</v>
      </c>
      <c r="D23" s="29" t="s">
        <v>712</v>
      </c>
      <c r="E23" s="30" t="s">
        <v>153</v>
      </c>
      <c r="F23" s="30" t="s">
        <v>563</v>
      </c>
      <c r="G23" s="58" t="s">
        <v>707</v>
      </c>
      <c r="H23" s="40">
        <f>JRC_Data!$AC$18/JRC_Data!$AC$16</f>
        <v>1</v>
      </c>
      <c r="I23" s="29">
        <f>JRC_Data!$AD$18/JRC_Data!$AC$16</f>
        <v>1.0999999999999999</v>
      </c>
      <c r="J23" s="29">
        <f>JRC_Data!$AE$18/JRC_Data!$AC$16</f>
        <v>1.2333333333333334</v>
      </c>
      <c r="K23" s="58">
        <f>JRC_Data!$AF$18/JRC_Data!$AC$16</f>
        <v>1.3333333333333333</v>
      </c>
      <c r="L23" s="40"/>
      <c r="M23" s="29"/>
      <c r="N23" s="29"/>
      <c r="O23" s="58"/>
      <c r="P23" s="40"/>
      <c r="Q23" s="29"/>
      <c r="R23" s="29"/>
      <c r="S23" s="58"/>
      <c r="T23" s="54">
        <v>20</v>
      </c>
      <c r="U23" s="30"/>
      <c r="V23" s="379">
        <f>V20+0.6+(0.4*5)</f>
        <v>10.103999999999999</v>
      </c>
      <c r="W23" s="379">
        <f t="shared" ref="W23:Y23" si="24">W20+0.6+(0.4*5)</f>
        <v>9.4286399999999997</v>
      </c>
      <c r="X23" s="379">
        <f t="shared" si="24"/>
        <v>8.814062400000001</v>
      </c>
      <c r="Y23" s="379">
        <f t="shared" si="24"/>
        <v>8.7532800000000002</v>
      </c>
      <c r="Z23" s="379">
        <v>0.1</v>
      </c>
      <c r="AA23" s="65"/>
      <c r="AB23" s="73"/>
      <c r="AC23" s="73"/>
      <c r="AD23" s="72"/>
      <c r="AE23" s="72"/>
      <c r="AF23" s="72"/>
      <c r="AG23" s="62">
        <f t="shared" si="20"/>
        <v>0.15768000000000001</v>
      </c>
      <c r="AH23" s="65"/>
      <c r="AI23" s="65">
        <v>2019</v>
      </c>
      <c r="AJ23" s="65">
        <v>5</v>
      </c>
      <c r="AL23" s="106"/>
      <c r="AM23" s="212" t="str">
        <f t="shared" ref="AM23" si="25">C25</f>
        <v>R-SH_Apt_ELC_HPN2-G</v>
      </c>
      <c r="AN23" s="212" t="str">
        <f t="shared" ref="AN23" si="26">D25</f>
        <v>Residential Electric Heat Pump - Air to Water - SH - G rated dwelling</v>
      </c>
      <c r="AO23" s="106" t="s">
        <v>13</v>
      </c>
      <c r="AP23" s="106" t="s">
        <v>180</v>
      </c>
      <c r="AQ23" s="106"/>
      <c r="AR23" s="106" t="s">
        <v>75</v>
      </c>
      <c r="AS23" s="4"/>
    </row>
    <row r="24" spans="3:45" ht="15" x14ac:dyDescent="0.25">
      <c r="C24" s="516" t="str">
        <f>"R-SH_Apt"&amp;"_"&amp;RIGHT(E24,3)&amp;"_HPN2-F"</f>
        <v>R-SH_Apt_ELC_HPN2-F</v>
      </c>
      <c r="D24" s="29" t="s">
        <v>713</v>
      </c>
      <c r="E24" s="30" t="s">
        <v>153</v>
      </c>
      <c r="F24" s="30" t="s">
        <v>563</v>
      </c>
      <c r="G24" s="58" t="s">
        <v>708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4">
        <v>20</v>
      </c>
      <c r="U24" s="30"/>
      <c r="V24" s="379">
        <f>V20+0.6+(0.5*5)</f>
        <v>10.603999999999999</v>
      </c>
      <c r="W24" s="379">
        <f t="shared" ref="W24:Y24" si="27">W20+0.6+(0.5*5)</f>
        <v>9.9286399999999997</v>
      </c>
      <c r="X24" s="379">
        <f t="shared" si="27"/>
        <v>9.314062400000001</v>
      </c>
      <c r="Y24" s="379">
        <f t="shared" si="27"/>
        <v>9.2532800000000002</v>
      </c>
      <c r="Z24" s="379">
        <v>0.1</v>
      </c>
      <c r="AA24" s="65"/>
      <c r="AB24" s="73"/>
      <c r="AC24" s="73"/>
      <c r="AD24" s="72"/>
      <c r="AE24" s="72"/>
      <c r="AF24" s="72"/>
      <c r="AG24" s="62">
        <f t="shared" si="20"/>
        <v>0.15768000000000001</v>
      </c>
      <c r="AH24" s="65"/>
      <c r="AI24" s="65">
        <v>2019</v>
      </c>
      <c r="AJ24" s="65">
        <v>5</v>
      </c>
      <c r="AL24" s="106"/>
      <c r="AM24" s="212" t="str">
        <f t="shared" ref="AM24:AN24" si="28">C26</f>
        <v>R-SW_Apt_ELC_HPN1-AB</v>
      </c>
      <c r="AN24" s="212" t="str">
        <f t="shared" si="28"/>
        <v>Residential Electric Heat Pump - Air to Water - SH + WH - AB rated dwelling</v>
      </c>
      <c r="AO24" s="106" t="s">
        <v>13</v>
      </c>
      <c r="AP24" s="106" t="s">
        <v>180</v>
      </c>
      <c r="AQ24" s="106"/>
      <c r="AR24" s="106" t="s">
        <v>75</v>
      </c>
      <c r="AS24" s="4"/>
    </row>
    <row r="25" spans="3:45" ht="15" x14ac:dyDescent="0.25">
      <c r="C25" s="516" t="str">
        <f>"R-SH_Apt"&amp;"_"&amp;RIGHT(E24,3)&amp;"_HPN2-G"</f>
        <v>R-SH_Apt_ELC_HPN2-G</v>
      </c>
      <c r="D25" s="29" t="s">
        <v>739</v>
      </c>
      <c r="E25" s="30" t="s">
        <v>153</v>
      </c>
      <c r="F25" s="30" t="s">
        <v>563</v>
      </c>
      <c r="G25" s="58" t="s">
        <v>740</v>
      </c>
      <c r="H25" s="40">
        <f>JRC_Data!$AC$18/JRC_Data!$AC$16</f>
        <v>1</v>
      </c>
      <c r="I25" s="29">
        <f>JRC_Data!$AD$18/JRC_Data!$AC$16</f>
        <v>1.0999999999999999</v>
      </c>
      <c r="J25" s="29">
        <f>JRC_Data!$AE$18/JRC_Data!$AC$16</f>
        <v>1.2333333333333334</v>
      </c>
      <c r="K25" s="58">
        <f>JRC_Data!$AF$18/JRC_Data!$AC$16</f>
        <v>1.3333333333333333</v>
      </c>
      <c r="L25" s="40"/>
      <c r="M25" s="29"/>
      <c r="N25" s="29"/>
      <c r="O25" s="58"/>
      <c r="P25" s="40"/>
      <c r="Q25" s="29"/>
      <c r="R25" s="29"/>
      <c r="S25" s="58"/>
      <c r="T25" s="54">
        <v>20</v>
      </c>
      <c r="U25" s="30"/>
      <c r="V25" s="379">
        <f>V20+0.6+(0.6*5)</f>
        <v>11.103999999999999</v>
      </c>
      <c r="W25" s="379">
        <f>W20+0.6+(0.6*5)</f>
        <v>10.42864</v>
      </c>
      <c r="X25" s="379">
        <f>X20+0.6+(0.6*5)</f>
        <v>9.814062400000001</v>
      </c>
      <c r="Y25" s="379">
        <f>Y20+0.6+(0.6*5)</f>
        <v>9.7532800000000002</v>
      </c>
      <c r="Z25" s="379">
        <v>0.1</v>
      </c>
      <c r="AA25" s="65"/>
      <c r="AB25" s="73"/>
      <c r="AC25" s="73"/>
      <c r="AD25" s="72"/>
      <c r="AE25" s="72"/>
      <c r="AF25" s="72"/>
      <c r="AG25" s="62">
        <f t="shared" si="20"/>
        <v>0.15768000000000001</v>
      </c>
      <c r="AH25" s="65"/>
      <c r="AI25" s="65">
        <v>2019</v>
      </c>
      <c r="AJ25" s="65">
        <v>5</v>
      </c>
      <c r="AL25" s="106"/>
      <c r="AM25" s="212" t="str">
        <f>C27</f>
        <v>R-SW_Apt_ELC_HPN1-C</v>
      </c>
      <c r="AN25" s="212" t="str">
        <f>D27</f>
        <v>Residential Electric Heat Pump - Air to Water - SH + WH - C rated dwelling</v>
      </c>
      <c r="AO25" s="106" t="s">
        <v>13</v>
      </c>
      <c r="AP25" s="106" t="s">
        <v>180</v>
      </c>
      <c r="AQ25" s="106"/>
      <c r="AR25" s="106" t="s">
        <v>75</v>
      </c>
    </row>
    <row r="26" spans="3:45" ht="15" x14ac:dyDescent="0.25">
      <c r="C26" s="22" t="str">
        <f>"R-SW_Apt"&amp;"_"&amp;RIGHT(E26,3)&amp;"_HPN1-AB"</f>
        <v>R-SW_Apt_ELC_HPN1-AB</v>
      </c>
      <c r="D26" s="23" t="s">
        <v>717</v>
      </c>
      <c r="E26" s="24" t="s">
        <v>153</v>
      </c>
      <c r="F26" s="24" t="s">
        <v>666</v>
      </c>
      <c r="G26" s="57" t="s">
        <v>722</v>
      </c>
      <c r="H26" s="22">
        <f>JRC_Data!$AC$18/JRC_Data!$AC$16</f>
        <v>1</v>
      </c>
      <c r="I26" s="23">
        <f>JRC_Data!$AD$18/JRC_Data!$AC$16</f>
        <v>1.0999999999999999</v>
      </c>
      <c r="J26" s="23">
        <f>JRC_Data!$AE$18/JRC_Data!$AC$16</f>
        <v>1.2333333333333334</v>
      </c>
      <c r="K26" s="57">
        <f>JRC_Data!$AF$18/JRC_Data!$AC$16</f>
        <v>1.3333333333333333</v>
      </c>
      <c r="L26" s="22"/>
      <c r="M26" s="23"/>
      <c r="N26" s="23"/>
      <c r="O26" s="57"/>
      <c r="P26" s="22">
        <f>H26*0.7</f>
        <v>0.7</v>
      </c>
      <c r="Q26" s="23">
        <f t="shared" ref="Q26:S26" si="29">I26*0.7</f>
        <v>0.76999999999999991</v>
      </c>
      <c r="R26" s="23">
        <f t="shared" si="29"/>
        <v>0.86333333333333329</v>
      </c>
      <c r="S26" s="57">
        <f t="shared" si="29"/>
        <v>0.93333333333333324</v>
      </c>
      <c r="T26" s="53">
        <v>20</v>
      </c>
      <c r="U26" s="24"/>
      <c r="V26" s="380">
        <f>V20*($U$160/$U$159)</f>
        <v>7.5673248945147682</v>
      </c>
      <c r="W26" s="380">
        <f>W20*($U$160/$U$159)</f>
        <v>6.8862656540084393</v>
      </c>
      <c r="X26" s="380">
        <f>X20*($U$160/$U$159)</f>
        <v>6.2665017451476803</v>
      </c>
      <c r="Y26" s="380">
        <f>Y20*($U$160/$U$159)</f>
        <v>6.2052064135021103</v>
      </c>
      <c r="Z26" s="380">
        <v>0.1</v>
      </c>
      <c r="AA26" s="66"/>
      <c r="AB26" s="73"/>
      <c r="AC26" s="73"/>
      <c r="AD26" s="73"/>
      <c r="AE26" s="73"/>
      <c r="AF26" s="73"/>
      <c r="AG26" s="63">
        <f t="shared" si="16"/>
        <v>0.18921600000000002</v>
      </c>
      <c r="AH26" s="66"/>
      <c r="AI26" s="66">
        <v>2019</v>
      </c>
      <c r="AJ26" s="66">
        <v>6</v>
      </c>
      <c r="AL26" s="106"/>
      <c r="AM26" s="212" t="str">
        <f t="shared" ref="AM26" si="30">C28</f>
        <v>R-SW_Apt_ELC_HPN1-D</v>
      </c>
      <c r="AN26" s="212" t="str">
        <f t="shared" ref="AN26" si="31">D28</f>
        <v>Residential Electric Heat Pump - Air to Water - SH + WH - D rated dwelling</v>
      </c>
      <c r="AO26" s="106" t="s">
        <v>13</v>
      </c>
      <c r="AP26" s="106" t="s">
        <v>180</v>
      </c>
      <c r="AQ26" s="106"/>
      <c r="AR26" s="106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3" t="s">
        <v>718</v>
      </c>
      <c r="E27" s="24" t="s">
        <v>153</v>
      </c>
      <c r="F27" s="24" t="s">
        <v>666</v>
      </c>
      <c r="G27" s="57" t="s">
        <v>723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3">
        <v>20</v>
      </c>
      <c r="U27" s="24"/>
      <c r="V27" s="380">
        <f>V21/$V$20*$V$26</f>
        <v>9.5842025316455697</v>
      </c>
      <c r="W27" s="380">
        <f>W21/$V$20*$V$26</f>
        <v>8.9031432911392407</v>
      </c>
      <c r="X27" s="380">
        <f>X21/$V$20*$V$26</f>
        <v>8.2833793822784809</v>
      </c>
      <c r="Y27" s="380">
        <f>Y21/$V$20*$V$26</f>
        <v>8.2220840506329118</v>
      </c>
      <c r="Z27" s="380">
        <v>0.1</v>
      </c>
      <c r="AA27" s="66"/>
      <c r="AB27" s="73"/>
      <c r="AC27" s="73"/>
      <c r="AD27" s="73"/>
      <c r="AE27" s="73"/>
      <c r="AF27" s="73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6"/>
      <c r="AM27" s="212" t="str">
        <f t="shared" ref="AM27" si="37">C29</f>
        <v>R-SW_Apt_ELC_HPN1-E</v>
      </c>
      <c r="AN27" s="212" t="str">
        <f t="shared" ref="AN27" si="38">D29</f>
        <v>Residential Electric Heat Pump - Air to Water - SH + WH - E rated dwelling</v>
      </c>
      <c r="AO27" s="106" t="s">
        <v>13</v>
      </c>
      <c r="AP27" s="106" t="s">
        <v>180</v>
      </c>
      <c r="AQ27" s="106"/>
      <c r="AR27" s="106" t="s">
        <v>75</v>
      </c>
    </row>
    <row r="28" spans="3:45" ht="15" x14ac:dyDescent="0.25">
      <c r="C28" s="22" t="str">
        <f>"R-SW_Apt"&amp;"_"&amp;RIGHT(E28,3)&amp;"_HPN1-D"</f>
        <v>R-SW_Apt_ELC_HPN1-D</v>
      </c>
      <c r="D28" s="23" t="s">
        <v>719</v>
      </c>
      <c r="E28" s="24" t="s">
        <v>153</v>
      </c>
      <c r="F28" s="24" t="s">
        <v>666</v>
      </c>
      <c r="G28" s="57" t="s">
        <v>724</v>
      </c>
      <c r="H28" s="22">
        <f>JRC_Data!$AC$18/JRC_Data!$AC$16</f>
        <v>1</v>
      </c>
      <c r="I28" s="23">
        <f>JRC_Data!$AD$18/JRC_Data!$AC$16</f>
        <v>1.0999999999999999</v>
      </c>
      <c r="J28" s="23">
        <f>JRC_Data!$AE$18/JRC_Data!$AC$16</f>
        <v>1.2333333333333334</v>
      </c>
      <c r="K28" s="57">
        <f>JRC_Data!$AF$18/JRC_Data!$AC$16</f>
        <v>1.3333333333333333</v>
      </c>
      <c r="L28" s="22"/>
      <c r="M28" s="23"/>
      <c r="N28" s="23"/>
      <c r="O28" s="57"/>
      <c r="P28" s="22">
        <f t="shared" si="32"/>
        <v>0.7</v>
      </c>
      <c r="Q28" s="23">
        <f t="shared" si="33"/>
        <v>0.76999999999999991</v>
      </c>
      <c r="R28" s="23">
        <f t="shared" si="34"/>
        <v>0.86333333333333329</v>
      </c>
      <c r="S28" s="57">
        <f t="shared" si="35"/>
        <v>0.93333333333333324</v>
      </c>
      <c r="T28" s="53">
        <v>20</v>
      </c>
      <c r="U28" s="24"/>
      <c r="V28" s="380">
        <f>V22/$V$20*$V$26</f>
        <v>9.6850464135021088</v>
      </c>
      <c r="W28" s="380">
        <f>W22/$V$20*$V$26</f>
        <v>9.0039871729957817</v>
      </c>
      <c r="X28" s="380">
        <f>X22/$V$20*$V$26</f>
        <v>8.3842232641350218</v>
      </c>
      <c r="Y28" s="380">
        <f>Y22/$V$20*$V$26</f>
        <v>8.3229279324894527</v>
      </c>
      <c r="Z28" s="380">
        <v>0.1</v>
      </c>
      <c r="AA28" s="66"/>
      <c r="AB28" s="73"/>
      <c r="AC28" s="73"/>
      <c r="AD28" s="73"/>
      <c r="AE28" s="73"/>
      <c r="AF28" s="73"/>
      <c r="AG28" s="63">
        <f t="shared" si="36"/>
        <v>0.18921600000000002</v>
      </c>
      <c r="AH28" s="66"/>
      <c r="AI28" s="66">
        <v>2019</v>
      </c>
      <c r="AJ28" s="66">
        <v>6</v>
      </c>
      <c r="AM28" s="212" t="str">
        <f>C30</f>
        <v>R-SW_Apt_ELC_HPN1-F</v>
      </c>
      <c r="AN28" s="212" t="str">
        <f>D30</f>
        <v>Residential Electric Heat Pump - Air to Water - SH + WH - F rated dwelling</v>
      </c>
      <c r="AO28" s="106" t="s">
        <v>13</v>
      </c>
      <c r="AP28" s="106" t="s">
        <v>180</v>
      </c>
      <c r="AQ28" s="106"/>
      <c r="AR28" s="106" t="s">
        <v>75</v>
      </c>
      <c r="AS28" s="106"/>
    </row>
    <row r="29" spans="3:45" ht="15" x14ac:dyDescent="0.25">
      <c r="C29" s="22" t="str">
        <f>"R-SW_Apt"&amp;"_"&amp;RIGHT(E29,3)&amp;"_HPN1-E"</f>
        <v>R-SW_Apt_ELC_HPN1-E</v>
      </c>
      <c r="D29" s="23" t="s">
        <v>720</v>
      </c>
      <c r="E29" s="24" t="s">
        <v>153</v>
      </c>
      <c r="F29" s="24" t="s">
        <v>666</v>
      </c>
      <c r="G29" s="57" t="s">
        <v>725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3">
        <v>20</v>
      </c>
      <c r="U29" s="24"/>
      <c r="V29" s="380">
        <f>V23/$V$20*$V$26</f>
        <v>10.18926582278481</v>
      </c>
      <c r="W29" s="380">
        <f>W23/$V$20*$V$26</f>
        <v>9.5082065822784809</v>
      </c>
      <c r="X29" s="380">
        <f>X23/$V$20*$V$26</f>
        <v>8.8884426734177229</v>
      </c>
      <c r="Y29" s="380">
        <f>Y23/$V$20*$V$26</f>
        <v>8.8271473417721538</v>
      </c>
      <c r="Z29" s="380">
        <v>0.1</v>
      </c>
      <c r="AA29" s="66"/>
      <c r="AB29" s="73"/>
      <c r="AC29" s="73"/>
      <c r="AD29" s="73"/>
      <c r="AE29" s="73"/>
      <c r="AF29" s="73"/>
      <c r="AG29" s="63">
        <f t="shared" si="36"/>
        <v>0.18921600000000002</v>
      </c>
      <c r="AH29" s="66"/>
      <c r="AI29" s="66">
        <v>2019</v>
      </c>
      <c r="AJ29" s="66">
        <v>6</v>
      </c>
      <c r="AL29" s="106"/>
      <c r="AM29" s="212" t="str">
        <f>C31</f>
        <v>R-SW_Apt_ELC_HPN1-G</v>
      </c>
      <c r="AN29" s="212" t="str">
        <f>D31</f>
        <v>Residential Electric Heat Pump - Air to Water - SH + WH - G rated dwelling</v>
      </c>
      <c r="AO29" s="106" t="s">
        <v>13</v>
      </c>
      <c r="AP29" s="106" t="s">
        <v>180</v>
      </c>
      <c r="AQ29" s="106"/>
      <c r="AR29" s="106" t="s">
        <v>75</v>
      </c>
    </row>
    <row r="30" spans="3:45" ht="15" x14ac:dyDescent="0.25">
      <c r="C30" s="22" t="str">
        <f>"R-SW_Apt"&amp;"_"&amp;RIGHT(E30,3)&amp;"_HPN1-F"</f>
        <v>R-SW_Apt_ELC_HPN1-F</v>
      </c>
      <c r="D30" s="23" t="s">
        <v>721</v>
      </c>
      <c r="E30" s="24" t="s">
        <v>153</v>
      </c>
      <c r="F30" s="24" t="s">
        <v>666</v>
      </c>
      <c r="G30" s="57" t="s">
        <v>726</v>
      </c>
      <c r="H30" s="22">
        <f>JRC_Data!$AC$18/JRC_Data!$AC$16</f>
        <v>1</v>
      </c>
      <c r="I30" s="23">
        <f>JRC_Data!$AD$18/JRC_Data!$AC$16</f>
        <v>1.0999999999999999</v>
      </c>
      <c r="J30" s="23">
        <f>JRC_Data!$AE$18/JRC_Data!$AC$16</f>
        <v>1.2333333333333334</v>
      </c>
      <c r="K30" s="57">
        <f>JRC_Data!$AF$18/JRC_Data!$AC$16</f>
        <v>1.3333333333333333</v>
      </c>
      <c r="L30" s="22"/>
      <c r="M30" s="23"/>
      <c r="N30" s="23"/>
      <c r="O30" s="57"/>
      <c r="P30" s="22">
        <f t="shared" si="32"/>
        <v>0.7</v>
      </c>
      <c r="Q30" s="23">
        <f t="shared" si="33"/>
        <v>0.76999999999999991</v>
      </c>
      <c r="R30" s="23">
        <f t="shared" si="34"/>
        <v>0.86333333333333329</v>
      </c>
      <c r="S30" s="57">
        <f t="shared" si="35"/>
        <v>0.93333333333333324</v>
      </c>
      <c r="T30" s="53">
        <v>20</v>
      </c>
      <c r="U30" s="24"/>
      <c r="V30" s="380">
        <f>V24/$V$20*$V$26</f>
        <v>10.693485232067511</v>
      </c>
      <c r="W30" s="380">
        <f>W24/$V$20*$V$26</f>
        <v>10.012425991561182</v>
      </c>
      <c r="X30" s="380">
        <f>X24/$V$20*$V$26</f>
        <v>9.3926620827004239</v>
      </c>
      <c r="Y30" s="380">
        <f>Y24/$V$20*$V$26</f>
        <v>9.331366751054853</v>
      </c>
      <c r="Z30" s="380">
        <v>0.1</v>
      </c>
      <c r="AA30" s="66"/>
      <c r="AB30" s="73"/>
      <c r="AC30" s="73"/>
      <c r="AD30" s="73"/>
      <c r="AE30" s="73"/>
      <c r="AF30" s="73"/>
      <c r="AG30" s="63">
        <f t="shared" si="36"/>
        <v>0.18921600000000002</v>
      </c>
      <c r="AH30" s="66"/>
      <c r="AI30" s="66">
        <v>2019</v>
      </c>
      <c r="AJ30" s="66">
        <v>6</v>
      </c>
      <c r="AL30" s="212"/>
      <c r="AM30" s="105" t="str">
        <f>C32</f>
        <v>R-SH_Apt_ELC_HPN3</v>
      </c>
      <c r="AN30" s="105" t="str">
        <f>D32</f>
        <v>Residential Electric Heat Pump - Ground to Water - SH</v>
      </c>
      <c r="AO30" s="106" t="s">
        <v>13</v>
      </c>
      <c r="AP30" s="106" t="s">
        <v>180</v>
      </c>
      <c r="AQ30" s="106"/>
      <c r="AR30" s="106" t="s">
        <v>75</v>
      </c>
    </row>
    <row r="31" spans="3:45" ht="15.75" thickBot="1" x14ac:dyDescent="0.3">
      <c r="C31" s="22" t="str">
        <f>"R-SW_Apt"&amp;"_"&amp;RIGHT(E30,3)&amp;"_HPN1-G"</f>
        <v>R-SW_Apt_ELC_HPN1-G</v>
      </c>
      <c r="D31" s="23" t="s">
        <v>741</v>
      </c>
      <c r="E31" s="24" t="s">
        <v>153</v>
      </c>
      <c r="F31" s="24" t="s">
        <v>666</v>
      </c>
      <c r="G31" s="23" t="s">
        <v>742</v>
      </c>
      <c r="H31" s="22">
        <f>JRC_Data!$AC$18/JRC_Data!$AC$16</f>
        <v>1</v>
      </c>
      <c r="I31" s="23">
        <f>JRC_Data!$AD$18/JRC_Data!$AC$16</f>
        <v>1.0999999999999999</v>
      </c>
      <c r="J31" s="23">
        <f>JRC_Data!$AE$18/JRC_Data!$AC$16</f>
        <v>1.2333333333333334</v>
      </c>
      <c r="K31" s="57">
        <f>JRC_Data!$AF$18/JRC_Data!$AC$16</f>
        <v>1.3333333333333333</v>
      </c>
      <c r="L31" s="22"/>
      <c r="M31" s="23"/>
      <c r="N31" s="23"/>
      <c r="O31" s="57"/>
      <c r="P31" s="22">
        <f t="shared" ref="P31" si="39">H31*0.7</f>
        <v>0.7</v>
      </c>
      <c r="Q31" s="23">
        <f t="shared" ref="Q31" si="40">I31*0.7</f>
        <v>0.76999999999999991</v>
      </c>
      <c r="R31" s="23">
        <f t="shared" ref="R31" si="41">J31*0.7</f>
        <v>0.86333333333333329</v>
      </c>
      <c r="S31" s="57">
        <f t="shared" ref="S31" si="42">K31*0.7</f>
        <v>0.93333333333333324</v>
      </c>
      <c r="T31" s="53">
        <v>20</v>
      </c>
      <c r="U31" s="24"/>
      <c r="V31" s="380">
        <f>V25/$V$20*$V$26</f>
        <v>11.197704641350212</v>
      </c>
      <c r="W31" s="380">
        <f>W25/$V$20*$V$26</f>
        <v>10.516645400843883</v>
      </c>
      <c r="X31" s="380">
        <f>X25/$V$20*$V$26</f>
        <v>9.8968814919831249</v>
      </c>
      <c r="Y31" s="380">
        <f>Y25/$V$20*$V$26</f>
        <v>9.8355861603375541</v>
      </c>
      <c r="Z31" s="380">
        <v>0.1</v>
      </c>
      <c r="AA31" s="66"/>
      <c r="AB31" s="73"/>
      <c r="AC31" s="73"/>
      <c r="AD31" s="73"/>
      <c r="AE31" s="73"/>
      <c r="AF31" s="73"/>
      <c r="AG31" s="63">
        <f t="shared" ref="AG31" si="43">31.536*(AJ31/1000)</f>
        <v>0.18921600000000002</v>
      </c>
      <c r="AH31" s="66"/>
      <c r="AI31" s="66">
        <v>2019</v>
      </c>
      <c r="AJ31" s="66">
        <v>6</v>
      </c>
      <c r="AL31" s="112"/>
      <c r="AM31" s="108" t="str">
        <f>C33</f>
        <v>R-HC_Apt_ELC_HPN2</v>
      </c>
      <c r="AN31" s="108" t="str">
        <f>D33</f>
        <v>Residential Electric Heat Pump - Ground to Water - SH + SC</v>
      </c>
      <c r="AO31" s="109" t="s">
        <v>13</v>
      </c>
      <c r="AP31" s="109" t="s">
        <v>180</v>
      </c>
      <c r="AQ31" s="109"/>
      <c r="AR31" s="109" t="s">
        <v>75</v>
      </c>
    </row>
    <row r="32" spans="3:45" ht="15" x14ac:dyDescent="0.25">
      <c r="C32" s="22" t="str">
        <f>"R-SH_Apt"&amp;"_"&amp;RIGHT(E32,3)&amp;"_HPN3"</f>
        <v>R-SH_Apt_ELC_HPN3</v>
      </c>
      <c r="D32" s="23" t="s">
        <v>114</v>
      </c>
      <c r="E32" s="24" t="s">
        <v>153</v>
      </c>
      <c r="F32" s="24" t="s">
        <v>563</v>
      </c>
      <c r="G32" s="517" t="s">
        <v>714</v>
      </c>
      <c r="H32" s="40">
        <f>JRC_Data!AC20/JRC_Data!$AC$16</f>
        <v>1.0999999999999999</v>
      </c>
      <c r="I32" s="29">
        <f>JRC_Data!AD20/JRC_Data!$AC$16</f>
        <v>1.1666666666666667</v>
      </c>
      <c r="J32" s="29">
        <f>JRC_Data!AE20/JRC_Data!$AC$16</f>
        <v>1.3333333333333333</v>
      </c>
      <c r="K32" s="58">
        <f>JRC_Data!AF20/JRC_Data!$AC$16</f>
        <v>1.5</v>
      </c>
      <c r="L32" s="40"/>
      <c r="M32" s="29"/>
      <c r="N32" s="29"/>
      <c r="O32" s="58"/>
      <c r="P32" s="40"/>
      <c r="Q32" s="29"/>
      <c r="R32" s="29"/>
      <c r="S32" s="58"/>
      <c r="T32" s="54">
        <v>20</v>
      </c>
      <c r="U32" s="30"/>
      <c r="V32" s="40">
        <f>(JRC_Data!BB20/1000)*($U$159/$U$162)</f>
        <v>13.542857142857143</v>
      </c>
      <c r="W32" s="40">
        <f>(JRC_Data!BC20/1000)*($U$159/$U$162)</f>
        <v>12.575510204081631</v>
      </c>
      <c r="X32" s="40">
        <f>(JRC_Data!BD20/1000)*($U$159/$U$162)</f>
        <v>11.608163265306121</v>
      </c>
      <c r="Y32" s="40">
        <f>(JRC_Data!BE20/1000)*($U$159/$U$162)</f>
        <v>10.640816326530611</v>
      </c>
      <c r="Z32" s="40">
        <f>JRC_Data!BL20/1000</f>
        <v>0.2</v>
      </c>
      <c r="AA32" s="65"/>
      <c r="AB32" s="72"/>
      <c r="AC32" s="72"/>
      <c r="AD32" s="72"/>
      <c r="AE32" s="72"/>
      <c r="AF32" s="72"/>
      <c r="AG32" s="62">
        <f t="shared" si="16"/>
        <v>0.15768000000000001</v>
      </c>
      <c r="AH32" s="65"/>
      <c r="AI32" s="65">
        <v>2019</v>
      </c>
      <c r="AJ32" s="65">
        <v>5</v>
      </c>
      <c r="AL32" s="113"/>
      <c r="AM32" s="103" t="str">
        <f>C35</f>
        <v>R-SW_Apt_GAS_HPN1</v>
      </c>
      <c r="AN32" s="103" t="str">
        <f>D35</f>
        <v>Residential Gas Absorption Heat Pump - Air to Water - SH + WH</v>
      </c>
      <c r="AO32" s="104" t="s">
        <v>13</v>
      </c>
      <c r="AP32" s="104" t="s">
        <v>180</v>
      </c>
      <c r="AQ32" s="104"/>
      <c r="AR32" s="104" t="s">
        <v>75</v>
      </c>
    </row>
    <row r="33" spans="3:45" ht="15.75" thickBot="1" x14ac:dyDescent="0.3">
      <c r="C33" s="94" t="str">
        <f>"R-HC_Apt"&amp;"_"&amp;RIGHT(E33,3)&amp;"_HPN2"</f>
        <v>R-HC_Apt_ELC_HPN2</v>
      </c>
      <c r="D33" s="90" t="s">
        <v>115</v>
      </c>
      <c r="E33" s="119" t="s">
        <v>153</v>
      </c>
      <c r="F33" s="119" t="s">
        <v>563</v>
      </c>
      <c r="G33" s="95" t="s">
        <v>716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>
        <v>1</v>
      </c>
      <c r="M33" s="23">
        <f>JRC_Data!AD20/JRC_Data!$AC$16</f>
        <v>1.1666666666666667</v>
      </c>
      <c r="N33" s="23">
        <f>JRC_Data!AE20/JRC_Data!$AC$16</f>
        <v>1.3333333333333333</v>
      </c>
      <c r="O33" s="57">
        <f>JRC_Data!AF20/JRC_Data!$AC$16</f>
        <v>1.5</v>
      </c>
      <c r="P33" s="22"/>
      <c r="Q33" s="23"/>
      <c r="R33" s="23"/>
      <c r="S33" s="57"/>
      <c r="T33" s="53">
        <v>20</v>
      </c>
      <c r="U33" s="24"/>
      <c r="V33" s="22">
        <f>(JRC_Data!BB20/1000)*($U$160/$U$162)</f>
        <v>13.657142857142858</v>
      </c>
      <c r="W33" s="22">
        <f>(JRC_Data!BC20/1000)*($U$160/$U$162)</f>
        <v>12.681632653061225</v>
      </c>
      <c r="X33" s="22">
        <f>(JRC_Data!BD20/1000)*($U$160/$U$162)</f>
        <v>11.706122448979592</v>
      </c>
      <c r="Y33" s="22">
        <f>(JRC_Data!BE20/1000)*($U$160/$U$162)</f>
        <v>10.73061224489796</v>
      </c>
      <c r="Z33" s="22">
        <f>JRC_Data!BL20/1000</f>
        <v>0.2</v>
      </c>
      <c r="AA33" s="66"/>
      <c r="AB33" s="73"/>
      <c r="AC33" s="73"/>
      <c r="AD33" s="73"/>
      <c r="AE33" s="73"/>
      <c r="AF33" s="73"/>
      <c r="AG33" s="63">
        <f t="shared" si="16"/>
        <v>0.15768000000000001</v>
      </c>
      <c r="AH33" s="66"/>
      <c r="AI33" s="66">
        <v>2019</v>
      </c>
      <c r="AJ33" s="66">
        <v>5</v>
      </c>
      <c r="AL33" s="213"/>
      <c r="AM33" s="108" t="str">
        <f>C36</f>
        <v>R-SW_Apt_GAS_HPN2</v>
      </c>
      <c r="AN33" s="108" t="str">
        <f>D36</f>
        <v>Residential Gas Engine Heat Pump - Air to Water - SH + WH</v>
      </c>
      <c r="AO33" s="109" t="s">
        <v>13</v>
      </c>
      <c r="AP33" s="109" t="s">
        <v>180</v>
      </c>
      <c r="AQ33" s="109"/>
      <c r="AR33" s="109" t="s">
        <v>75</v>
      </c>
    </row>
    <row r="34" spans="3:45" ht="15.75" thickBot="1" x14ac:dyDescent="0.3">
      <c r="C34" s="33" t="s">
        <v>277</v>
      </c>
      <c r="D34" s="33"/>
      <c r="E34" s="34"/>
      <c r="F34" s="34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4"/>
      <c r="U34" s="34"/>
      <c r="V34" s="33"/>
      <c r="W34" s="33"/>
      <c r="X34" s="33"/>
      <c r="Y34" s="33"/>
      <c r="Z34" s="33"/>
      <c r="AA34" s="87"/>
      <c r="AB34" s="36"/>
      <c r="AC34" s="36"/>
      <c r="AD34" s="36"/>
      <c r="AE34" s="36"/>
      <c r="AF34" s="36"/>
      <c r="AG34" s="33"/>
      <c r="AH34" s="34"/>
      <c r="AI34" s="34"/>
      <c r="AJ34" s="34"/>
      <c r="AL34" s="214"/>
      <c r="AM34" s="111" t="str">
        <f>C38</f>
        <v>R-SW_Apt_GAS_HHPN1</v>
      </c>
      <c r="AN34" s="111" t="str">
        <f>D38</f>
        <v>Residential Gas Hybrid Heat Pump - Air to Water - SH + WH</v>
      </c>
      <c r="AO34" s="110" t="s">
        <v>13</v>
      </c>
      <c r="AP34" s="110" t="s">
        <v>180</v>
      </c>
      <c r="AQ34" s="110"/>
      <c r="AR34" s="110" t="s">
        <v>75</v>
      </c>
    </row>
    <row r="35" spans="3:45" ht="15" x14ac:dyDescent="0.25">
      <c r="C35" s="19" t="str">
        <f>"R-SW_Apt"&amp;"_"&amp;RIGHT(E35,3)&amp;"_HPN1"</f>
        <v>R-SW_Apt_GAS_HPN1</v>
      </c>
      <c r="D35" s="20" t="s">
        <v>116</v>
      </c>
      <c r="E35" s="24" t="s">
        <v>700</v>
      </c>
      <c r="F35" s="89" t="s">
        <v>666</v>
      </c>
      <c r="G35" s="89" t="s">
        <v>715</v>
      </c>
      <c r="H35" s="379">
        <f>JRC_Data!AC28/0.81</f>
        <v>1.6666666666666667</v>
      </c>
      <c r="I35" s="379">
        <f>JRC_Data!AD28/0.81</f>
        <v>1.7901234567901232</v>
      </c>
      <c r="J35" s="379">
        <f>JRC_Data!AE28/0.81</f>
        <v>2.0987654320987654</v>
      </c>
      <c r="K35" s="379">
        <f>JRC_Data!AF28/0.81</f>
        <v>2.0987654320987654</v>
      </c>
      <c r="L35" s="46"/>
      <c r="M35" s="47"/>
      <c r="N35" s="47"/>
      <c r="O35" s="48"/>
      <c r="P35" s="19">
        <f>H35*0.7</f>
        <v>1.1666666666666667</v>
      </c>
      <c r="Q35" s="20">
        <f t="shared" ref="Q35:S35" si="44">I35*0.7</f>
        <v>1.2530864197530862</v>
      </c>
      <c r="R35" s="20">
        <f t="shared" si="44"/>
        <v>1.4691358024691357</v>
      </c>
      <c r="S35" s="56">
        <f t="shared" si="44"/>
        <v>1.4691358024691357</v>
      </c>
      <c r="T35" s="89">
        <v>20</v>
      </c>
      <c r="U35" s="48"/>
      <c r="V35" s="19">
        <f>(JRC_Data!BB28/1000)*($U$160/$U$163)</f>
        <v>14.395366795366796</v>
      </c>
      <c r="W35" s="19">
        <f>(JRC_Data!BC28/1000)*($U$160/$U$163)</f>
        <v>13.472586872586874</v>
      </c>
      <c r="X35" s="19">
        <f>(JRC_Data!BD28/1000)*($U$160/$U$163)</f>
        <v>11.627027027027028</v>
      </c>
      <c r="Y35" s="19">
        <f>(JRC_Data!BE28/1000)*($U$160/$U$163)</f>
        <v>11.627027027027028</v>
      </c>
      <c r="Z35" s="85">
        <f>JRC_Data!BL28/1000</f>
        <v>0.23499999999999999</v>
      </c>
      <c r="AA35" s="85"/>
      <c r="AB35" s="56"/>
      <c r="AC35" s="85"/>
      <c r="AD35" s="85"/>
      <c r="AE35" s="85"/>
      <c r="AF35" s="85"/>
      <c r="AG35" s="85">
        <f t="shared" ref="AG35:AG36" si="45">31.536*(AJ35/1000)</f>
        <v>0.56764799999999993</v>
      </c>
      <c r="AH35" s="88"/>
      <c r="AI35" s="88">
        <v>2019</v>
      </c>
      <c r="AJ35" s="88">
        <v>18</v>
      </c>
      <c r="AL35" s="215"/>
      <c r="AM35" s="103" t="str">
        <f>C40</f>
        <v>R-SW_Apt_HET_N1</v>
      </c>
      <c r="AN35" s="103" t="str">
        <f>D40</f>
        <v>Residential District Heating Centralized - SH + WH</v>
      </c>
      <c r="AO35" s="104" t="s">
        <v>13</v>
      </c>
      <c r="AP35" s="104" t="s">
        <v>180</v>
      </c>
      <c r="AQ35" s="104"/>
      <c r="AR35" s="104" t="s">
        <v>75</v>
      </c>
    </row>
    <row r="36" spans="3:45" ht="15.75" thickBot="1" x14ac:dyDescent="0.3">
      <c r="C36" s="252" t="str">
        <f>"R-SW_Apt"&amp;"_"&amp;RIGHT(E36,3)&amp;"_HPN2"</f>
        <v>R-SW_Apt_GAS_HPN2</v>
      </c>
      <c r="D36" s="26" t="s">
        <v>117</v>
      </c>
      <c r="E36" s="24" t="s">
        <v>700</v>
      </c>
      <c r="F36" s="27" t="s">
        <v>666</v>
      </c>
      <c r="G36" s="27" t="s">
        <v>715</v>
      </c>
      <c r="H36" s="380">
        <f>JRC_Data!AC30/0.9</f>
        <v>1.6666666666666665</v>
      </c>
      <c r="I36" s="380">
        <f>JRC_Data!AD30/0.9</f>
        <v>1.7222222222222223</v>
      </c>
      <c r="J36" s="380">
        <f>JRC_Data!AE30/0.9</f>
        <v>1.7222222222222223</v>
      </c>
      <c r="K36" s="380">
        <f>JRC_Data!AF30/0.9</f>
        <v>1.7777777777777779</v>
      </c>
      <c r="L36" s="49"/>
      <c r="M36" s="50"/>
      <c r="N36" s="50"/>
      <c r="O36" s="51"/>
      <c r="P36" s="252">
        <f>H36*0.7</f>
        <v>1.1666666666666665</v>
      </c>
      <c r="Q36" s="26">
        <f t="shared" ref="Q36" si="46">I36*0.7</f>
        <v>1.2055555555555555</v>
      </c>
      <c r="R36" s="26">
        <f t="shared" ref="R36" si="47">J36*0.7</f>
        <v>1.2055555555555555</v>
      </c>
      <c r="S36" s="59">
        <f t="shared" ref="S36" si="48">K36*0.7</f>
        <v>1.2444444444444445</v>
      </c>
      <c r="T36" s="27">
        <v>15</v>
      </c>
      <c r="U36" s="51"/>
      <c r="V36" s="252">
        <f>(JRC_Data!BB30/1000)*($U$160/$U$163)</f>
        <v>43.832046332046332</v>
      </c>
      <c r="W36" s="252">
        <f>(JRC_Data!BC30/1000)*($U$160/$U$163)</f>
        <v>43.832046332046332</v>
      </c>
      <c r="X36" s="252">
        <f>(JRC_Data!BD30/1000)*($U$160/$U$163)</f>
        <v>43.832046332046332</v>
      </c>
      <c r="Y36" s="252">
        <f>(JRC_Data!BE30/1000)*($U$160/$U$163)</f>
        <v>43.832046332046332</v>
      </c>
      <c r="Z36" s="64">
        <f>JRC_Data!BL30/1000</f>
        <v>0.23499999999999999</v>
      </c>
      <c r="AA36" s="64"/>
      <c r="AB36" s="59"/>
      <c r="AC36" s="64"/>
      <c r="AD36" s="64"/>
      <c r="AE36" s="64"/>
      <c r="AF36" s="64"/>
      <c r="AG36" s="64">
        <f t="shared" si="45"/>
        <v>0.56764799999999993</v>
      </c>
      <c r="AH36" s="67"/>
      <c r="AI36" s="67">
        <v>2019</v>
      </c>
      <c r="AJ36" s="67">
        <v>18</v>
      </c>
      <c r="AL36" s="114"/>
      <c r="AM36" s="108" t="str">
        <f>C41</f>
        <v>R-SW_Apt_HET_N2</v>
      </c>
      <c r="AN36" s="108" t="str">
        <f>D41</f>
        <v>Residential District Heating Decentralized - SH + WH</v>
      </c>
      <c r="AO36" s="109" t="s">
        <v>13</v>
      </c>
      <c r="AP36" s="109" t="s">
        <v>180</v>
      </c>
      <c r="AQ36" s="109"/>
      <c r="AR36" s="109" t="s">
        <v>75</v>
      </c>
    </row>
    <row r="37" spans="3:45" ht="15" x14ac:dyDescent="0.25">
      <c r="C37" s="33" t="s">
        <v>278</v>
      </c>
      <c r="D37" s="33"/>
      <c r="E37" s="34"/>
      <c r="F37" s="34"/>
      <c r="G37" s="34"/>
      <c r="H37" s="34"/>
      <c r="I37" s="34"/>
      <c r="J37" s="34"/>
      <c r="K37" s="34"/>
      <c r="L37" s="34"/>
      <c r="M37" s="35"/>
      <c r="N37" s="35"/>
      <c r="O37" s="35"/>
      <c r="P37" s="35"/>
      <c r="Q37" s="35"/>
      <c r="R37" s="35"/>
      <c r="S37" s="35"/>
      <c r="T37" s="34"/>
      <c r="U37" s="34"/>
      <c r="V37" s="33"/>
      <c r="W37" s="33"/>
      <c r="X37" s="33"/>
      <c r="Y37" s="33"/>
      <c r="Z37" s="33"/>
      <c r="AA37" s="34"/>
      <c r="AB37" s="36"/>
      <c r="AC37" s="36"/>
      <c r="AD37" s="36"/>
      <c r="AE37" s="36"/>
      <c r="AF37" s="36"/>
      <c r="AG37" s="33"/>
      <c r="AH37" s="34"/>
      <c r="AI37" s="34"/>
      <c r="AJ37" s="34"/>
      <c r="AL37" s="215"/>
      <c r="AM37" s="103" t="str">
        <f>C43</f>
        <v>R-WH_Apt_ELC_N1</v>
      </c>
      <c r="AN37" s="103" t="str">
        <f>D43</f>
        <v xml:space="preserve">Residential Electric Water Heater </v>
      </c>
      <c r="AO37" s="104" t="s">
        <v>13</v>
      </c>
      <c r="AP37" s="104" t="s">
        <v>180</v>
      </c>
      <c r="AQ37" s="104"/>
      <c r="AR37" s="104" t="s">
        <v>75</v>
      </c>
    </row>
    <row r="38" spans="3:45" ht="15.75" thickBot="1" x14ac:dyDescent="0.3">
      <c r="C38" s="96" t="str">
        <f>"R-SW_Apt"&amp;"_"&amp;RIGHT(E38,3)&amp;"_HHPN1"</f>
        <v>R-SW_Apt_GAS_HHPN1</v>
      </c>
      <c r="D38" s="80" t="s">
        <v>125</v>
      </c>
      <c r="E38" s="121" t="s">
        <v>701</v>
      </c>
      <c r="F38" s="121" t="s">
        <v>666</v>
      </c>
      <c r="G38" s="98" t="s">
        <v>715</v>
      </c>
      <c r="H38" s="379">
        <f>1*$AD$38+JRC_Data!AD18*(1.2-$AD$38)</f>
        <v>3.1549999999999998</v>
      </c>
      <c r="I38" s="379">
        <f>1*$AD$38+JRC_Data!AE18*(1.2-$AD$38)</f>
        <v>3.4950000000000001</v>
      </c>
      <c r="J38" s="379">
        <f>1*$AD$38+JRC_Data!AF18*(1.2-$AD$38)</f>
        <v>3.75</v>
      </c>
      <c r="K38" s="379">
        <f>1*$AD$38+JRC_Data!AG18*(1.2-$AD$38)</f>
        <v>3.75</v>
      </c>
      <c r="L38" s="49"/>
      <c r="M38" s="50"/>
      <c r="N38" s="50"/>
      <c r="O38" s="51"/>
      <c r="P38" s="252">
        <f>H38*0.7</f>
        <v>2.2084999999999999</v>
      </c>
      <c r="Q38" s="26">
        <f>I38*0.7</f>
        <v>2.4464999999999999</v>
      </c>
      <c r="R38" s="26">
        <f t="shared" ref="R38:S38" si="49">J38*0.7</f>
        <v>2.625</v>
      </c>
      <c r="S38" s="59">
        <f t="shared" si="49"/>
        <v>2.625</v>
      </c>
      <c r="T38" s="256">
        <v>20</v>
      </c>
      <c r="U38" s="257"/>
      <c r="V38" s="79">
        <f>(V26+V10)*0.8</f>
        <v>8.3046953586497896</v>
      </c>
      <c r="W38" s="79">
        <f>(W26+W10)*0.8</f>
        <v>7.7598479662447266</v>
      </c>
      <c r="X38" s="79">
        <f>(X26+X10)*0.8</f>
        <v>7.2640368391561196</v>
      </c>
      <c r="Y38" s="79">
        <f>(Y26+Y10)*0.8</f>
        <v>7.2150005738396636</v>
      </c>
      <c r="Z38" s="261">
        <f>(JRC_Data!BL9+JRC_Data!BL18)*0.8/1000</f>
        <v>0.308</v>
      </c>
      <c r="AA38" s="83"/>
      <c r="AB38" s="84"/>
      <c r="AC38" s="84"/>
      <c r="AD38" s="84">
        <v>0.35</v>
      </c>
      <c r="AE38" s="73">
        <f>AD38</f>
        <v>0.35</v>
      </c>
      <c r="AF38" s="66">
        <v>5</v>
      </c>
      <c r="AG38" s="82">
        <f>31.536*(AJ38/1000)</f>
        <v>0.32166719999999999</v>
      </c>
      <c r="AH38" s="83"/>
      <c r="AI38" s="83">
        <v>2019</v>
      </c>
      <c r="AJ38" s="83">
        <f>AJ10*AD38+AJ26*(1-AD38)</f>
        <v>10.199999999999999</v>
      </c>
      <c r="AL38" s="2"/>
      <c r="AM38" s="105" t="str">
        <f>C44</f>
        <v>R-WH_Apt_SOL_N1</v>
      </c>
      <c r="AN38" s="105" t="str">
        <f>D44</f>
        <v xml:space="preserve">Residential Solar Water Heater </v>
      </c>
      <c r="AO38" s="106" t="s">
        <v>13</v>
      </c>
      <c r="AP38" s="106" t="s">
        <v>180</v>
      </c>
      <c r="AQ38" s="106"/>
      <c r="AR38" s="106" t="s">
        <v>75</v>
      </c>
    </row>
    <row r="39" spans="3:45" ht="15.75" thickBot="1" x14ac:dyDescent="0.3">
      <c r="C39" s="33" t="s">
        <v>279</v>
      </c>
      <c r="D39" s="33"/>
      <c r="E39" s="34"/>
      <c r="F39" s="34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/>
      <c r="U39" s="34"/>
      <c r="V39" s="33" t="s">
        <v>525</v>
      </c>
      <c r="W39" s="33"/>
      <c r="X39" s="33"/>
      <c r="Y39" s="33"/>
      <c r="Z39" s="33"/>
      <c r="AA39" s="34"/>
      <c r="AB39" s="36"/>
      <c r="AC39" s="36"/>
      <c r="AD39" s="36"/>
      <c r="AE39" s="36"/>
      <c r="AF39" s="36"/>
      <c r="AG39" s="33"/>
      <c r="AH39" s="34"/>
      <c r="AI39" s="34"/>
      <c r="AJ39" s="34"/>
      <c r="AL39" s="2"/>
      <c r="AM39" s="105" t="str">
        <f>C46</f>
        <v>R-SC_Apt_ELC_N1</v>
      </c>
      <c r="AN39" s="105" t="str">
        <f>D46</f>
        <v>Room Residential Electric Air Conditioning</v>
      </c>
      <c r="AO39" s="104" t="s">
        <v>13</v>
      </c>
      <c r="AP39" s="104" t="s">
        <v>180</v>
      </c>
      <c r="AQ39" s="104"/>
      <c r="AR39" s="104" t="s">
        <v>75</v>
      </c>
    </row>
    <row r="40" spans="3:45" ht="15" x14ac:dyDescent="0.25">
      <c r="C40" s="19" t="str">
        <f>"R-SW_Apt"&amp;"_"&amp;RIGHT(E40,3)&amp;"_N1"</f>
        <v>R-SW_Apt_HET_N1</v>
      </c>
      <c r="D40" s="20" t="s">
        <v>119</v>
      </c>
      <c r="E40" s="89" t="s">
        <v>262</v>
      </c>
      <c r="F40" s="89"/>
      <c r="G40" s="21" t="s">
        <v>715</v>
      </c>
      <c r="H40" s="246">
        <v>1</v>
      </c>
      <c r="I40" s="247">
        <v>1</v>
      </c>
      <c r="J40" s="247">
        <v>1</v>
      </c>
      <c r="K40" s="248">
        <v>1</v>
      </c>
      <c r="L40" s="46"/>
      <c r="M40" s="47"/>
      <c r="N40" s="47"/>
      <c r="O40" s="48"/>
      <c r="P40" s="246">
        <v>1</v>
      </c>
      <c r="Q40" s="247">
        <v>1</v>
      </c>
      <c r="R40" s="247">
        <v>1</v>
      </c>
      <c r="S40" s="248">
        <v>1</v>
      </c>
      <c r="T40" s="52">
        <v>20</v>
      </c>
      <c r="U40" s="48"/>
      <c r="V40" s="19">
        <f>(JRC_Data!BB62/1000)*($U$160/$U$158)</f>
        <v>2.6555555555555554</v>
      </c>
      <c r="W40" s="19">
        <f>(JRC_Data!BC62/1000)*($U$160/$U$158)</f>
        <v>2.6555555555555554</v>
      </c>
      <c r="X40" s="19">
        <f>(JRC_Data!BD62/1000)*($U$160/$U$158)</f>
        <v>2.6555555555555554</v>
      </c>
      <c r="Y40" s="19">
        <f>(JRC_Data!BE62/1000)*($U$160/$U$158)</f>
        <v>2.6555555555555554</v>
      </c>
      <c r="Z40" s="85">
        <f>JRC_Data!BL62/1000</f>
        <v>0.15</v>
      </c>
      <c r="AA40" s="85"/>
      <c r="AB40" s="85"/>
      <c r="AC40" s="85"/>
      <c r="AD40" s="85"/>
      <c r="AE40" s="85"/>
      <c r="AF40" s="85"/>
      <c r="AG40" s="85">
        <f t="shared" ref="AG40:AG41" si="50">31.536*(AJ40/1000)</f>
        <v>0.56764799999999993</v>
      </c>
      <c r="AH40" s="88"/>
      <c r="AI40" s="88">
        <v>2019</v>
      </c>
      <c r="AJ40" s="88">
        <v>18</v>
      </c>
      <c r="AM40" s="105" t="str">
        <f>C47</f>
        <v>R-SC_Apt_ELC_N2</v>
      </c>
      <c r="AN40" s="105" t="str">
        <f>D47</f>
        <v>Centralized Residential Electric Air Conditioning</v>
      </c>
      <c r="AO40" s="104" t="s">
        <v>13</v>
      </c>
      <c r="AP40" s="104" t="s">
        <v>180</v>
      </c>
      <c r="AQ40" s="104"/>
      <c r="AR40" s="104" t="s">
        <v>75</v>
      </c>
    </row>
    <row r="41" spans="3:45" x14ac:dyDescent="0.2">
      <c r="C41" s="252" t="str">
        <f>"R-SW_Apt"&amp;"_"&amp;RIGHT(E41,3)&amp;"_N2"</f>
        <v>R-SW_Apt_HET_N2</v>
      </c>
      <c r="D41" s="26" t="s">
        <v>120</v>
      </c>
      <c r="E41" s="27" t="s">
        <v>262</v>
      </c>
      <c r="F41" s="27"/>
      <c r="G41" s="28" t="s">
        <v>715</v>
      </c>
      <c r="H41" s="253">
        <v>1</v>
      </c>
      <c r="I41" s="254">
        <v>1</v>
      </c>
      <c r="J41" s="254">
        <v>1</v>
      </c>
      <c r="K41" s="255">
        <v>1</v>
      </c>
      <c r="L41" s="49"/>
      <c r="M41" s="50"/>
      <c r="N41" s="50"/>
      <c r="O41" s="51"/>
      <c r="P41" s="253">
        <v>1</v>
      </c>
      <c r="Q41" s="254">
        <v>1</v>
      </c>
      <c r="R41" s="254">
        <v>1</v>
      </c>
      <c r="S41" s="255">
        <v>1</v>
      </c>
      <c r="T41" s="55">
        <v>20</v>
      </c>
      <c r="U41" s="51"/>
      <c r="V41" s="252">
        <f>(JRC_Data!BB62/1000)*($U$160/$U$158)</f>
        <v>2.6555555555555554</v>
      </c>
      <c r="W41" s="252">
        <f>(JRC_Data!BC62/1000)*($U$160/$U$158)</f>
        <v>2.6555555555555554</v>
      </c>
      <c r="X41" s="252">
        <f>(JRC_Data!BD62/1000)*($U$160/$U$158)</f>
        <v>2.6555555555555554</v>
      </c>
      <c r="Y41" s="252">
        <f>(JRC_Data!BE62/1000)*($U$160/$U$158)</f>
        <v>2.6555555555555554</v>
      </c>
      <c r="Z41" s="63">
        <f>JRC_Data!BL62/1000</f>
        <v>0.15</v>
      </c>
      <c r="AA41" s="63"/>
      <c r="AB41" s="63"/>
      <c r="AC41" s="63"/>
      <c r="AD41" s="63"/>
      <c r="AE41" s="63"/>
      <c r="AF41" s="63"/>
      <c r="AG41" s="64">
        <f t="shared" si="50"/>
        <v>0.56764799999999993</v>
      </c>
      <c r="AH41" s="67"/>
      <c r="AI41" s="67">
        <v>2019</v>
      </c>
      <c r="AJ41" s="67">
        <v>18</v>
      </c>
    </row>
    <row r="42" spans="3:45" x14ac:dyDescent="0.2">
      <c r="C42" s="33" t="s">
        <v>280</v>
      </c>
      <c r="D42" s="33"/>
      <c r="E42" s="34"/>
      <c r="F42" s="34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/>
      <c r="U42" s="34"/>
      <c r="V42" s="33"/>
      <c r="W42" s="33"/>
      <c r="X42" s="33"/>
      <c r="Y42" s="33"/>
      <c r="Z42" s="33"/>
      <c r="AA42" s="34"/>
      <c r="AB42" s="36"/>
      <c r="AC42" s="36"/>
      <c r="AD42" s="36"/>
      <c r="AE42" s="36"/>
      <c r="AF42" s="36"/>
      <c r="AG42" s="33"/>
      <c r="AH42" s="34"/>
      <c r="AI42" s="34"/>
      <c r="AJ42" s="34"/>
    </row>
    <row r="43" spans="3:45" x14ac:dyDescent="0.2">
      <c r="C43" s="29" t="str">
        <f>"R-WH_Apt"&amp;"_"&amp;RIGHT(E43,3)&amp;"_N1"</f>
        <v>R-WH_Apt_ELC_N1</v>
      </c>
      <c r="D43" s="20" t="s">
        <v>122</v>
      </c>
      <c r="E43" s="89" t="s">
        <v>153</v>
      </c>
      <c r="F43" s="89"/>
      <c r="G43" s="20" t="s">
        <v>134</v>
      </c>
      <c r="H43" s="46"/>
      <c r="I43" s="47"/>
      <c r="J43" s="47"/>
      <c r="K43" s="48"/>
      <c r="L43" s="46"/>
      <c r="M43" s="47"/>
      <c r="N43" s="47"/>
      <c r="O43" s="48"/>
      <c r="P43" s="246">
        <v>1</v>
      </c>
      <c r="Q43" s="247">
        <v>1</v>
      </c>
      <c r="R43" s="247">
        <v>1</v>
      </c>
      <c r="S43" s="248">
        <v>1</v>
      </c>
      <c r="T43" s="52">
        <v>30</v>
      </c>
      <c r="U43" s="48"/>
      <c r="V43" s="20">
        <f>(JRC_Data!BB48/1000)*($U$155/$U$156)</f>
        <v>3.6878868563919918</v>
      </c>
      <c r="W43" s="20">
        <f>(JRC_Data!BC48/1000)*($U$155/$U$156)</f>
        <v>3.6878868563919918</v>
      </c>
      <c r="X43" s="20">
        <f>(JRC_Data!BD48/1000)*($U$155/$U$156)</f>
        <v>3.6878868563919918</v>
      </c>
      <c r="Y43" s="20">
        <f>(JRC_Data!BE48/1000)*($U$155/$U$156)</f>
        <v>3.6878868563919918</v>
      </c>
      <c r="Z43" s="85">
        <f>JRC_Data!BL48/1000</f>
        <v>0.05</v>
      </c>
      <c r="AA43" s="85"/>
      <c r="AB43" s="85"/>
      <c r="AC43" s="85"/>
      <c r="AD43" s="85"/>
      <c r="AE43" s="85"/>
      <c r="AF43" s="85"/>
      <c r="AG43" s="85">
        <f t="shared" ref="AG43:AG44" si="51">31.536*(AJ43/1000)</f>
        <v>0.15768000000000001</v>
      </c>
      <c r="AH43" s="88"/>
      <c r="AI43" s="88">
        <v>2019</v>
      </c>
      <c r="AJ43" s="88">
        <v>5</v>
      </c>
    </row>
    <row r="44" spans="3:45" x14ac:dyDescent="0.2">
      <c r="C44" s="23" t="str">
        <f>"R-WH_Apt"&amp;"_"&amp;RIGHT(E44,3)&amp;"_N1"</f>
        <v>R-WH_Apt_SOL_N1</v>
      </c>
      <c r="D44" s="23" t="s">
        <v>123</v>
      </c>
      <c r="E44" s="24" t="s">
        <v>271</v>
      </c>
      <c r="F44" s="24"/>
      <c r="G44" s="23" t="s">
        <v>134</v>
      </c>
      <c r="H44" s="44"/>
      <c r="I44" s="32"/>
      <c r="J44" s="32"/>
      <c r="K44" s="45"/>
      <c r="L44" s="44"/>
      <c r="M44" s="32"/>
      <c r="N44" s="32"/>
      <c r="O44" s="45"/>
      <c r="P44" s="243">
        <v>1</v>
      </c>
      <c r="Q44" s="244">
        <v>1</v>
      </c>
      <c r="R44" s="244">
        <v>1</v>
      </c>
      <c r="S44" s="245">
        <v>1</v>
      </c>
      <c r="T44" s="53">
        <v>25</v>
      </c>
      <c r="U44" s="57">
        <v>30</v>
      </c>
      <c r="V44" s="23">
        <f>(JRC_Data!BB45/1000)*($U$155/$U$156)</f>
        <v>4.9786472561291895</v>
      </c>
      <c r="W44" s="23">
        <f>(JRC_Data!BC45/1000)*($U$155/$U$156)</f>
        <v>4.7020557418997893</v>
      </c>
      <c r="X44" s="23">
        <f>(JRC_Data!BD45/1000)*($U$155/$U$156)</f>
        <v>4.2410698848507904</v>
      </c>
      <c r="Y44" s="23">
        <f>(JRC_Data!BE45/1000)*($U$155/$U$156)</f>
        <v>3.4112953421625924</v>
      </c>
      <c r="Z44" s="85">
        <f>JRC_Data!BL45/1000</f>
        <v>6.2E-2</v>
      </c>
      <c r="AA44" s="63"/>
      <c r="AB44" s="63"/>
      <c r="AC44" s="63"/>
      <c r="AD44" s="63"/>
      <c r="AE44" s="63"/>
      <c r="AF44" s="63"/>
      <c r="AG44" s="63">
        <f t="shared" si="51"/>
        <v>0.15768000000000001</v>
      </c>
      <c r="AH44" s="66"/>
      <c r="AI44" s="66">
        <v>2019</v>
      </c>
      <c r="AJ44" s="66">
        <v>5</v>
      </c>
    </row>
    <row r="45" spans="3:45" ht="15" x14ac:dyDescent="0.25">
      <c r="C45" s="33" t="s">
        <v>281</v>
      </c>
      <c r="D45" s="33"/>
      <c r="E45" s="34"/>
      <c r="F45" s="34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4"/>
      <c r="U45" s="34"/>
      <c r="V45" s="33"/>
      <c r="W45" s="33"/>
      <c r="X45" s="33"/>
      <c r="Y45" s="33"/>
      <c r="Z45" s="33"/>
      <c r="AA45" s="34"/>
      <c r="AB45" s="36"/>
      <c r="AC45" s="36"/>
      <c r="AD45" s="36"/>
      <c r="AE45" s="36"/>
      <c r="AF45" s="36"/>
      <c r="AG45" s="33"/>
      <c r="AH45" s="34"/>
      <c r="AI45" s="34"/>
      <c r="AJ45" s="34"/>
      <c r="AS45" s="486"/>
    </row>
    <row r="46" spans="3:45" ht="15.75" thickBot="1" x14ac:dyDescent="0.25">
      <c r="C46" s="19" t="str">
        <f>"R-SC_Apt"&amp;"_"&amp;RIGHT(E46,3)&amp;"_N1"</f>
        <v>R-SC_Apt_ELC_N1</v>
      </c>
      <c r="D46" s="20" t="s">
        <v>527</v>
      </c>
      <c r="E46" s="89" t="s">
        <v>153</v>
      </c>
      <c r="F46" s="89"/>
      <c r="G46" s="21" t="s">
        <v>133</v>
      </c>
      <c r="H46" s="246"/>
      <c r="I46" s="247"/>
      <c r="J46" s="247"/>
      <c r="K46" s="248"/>
      <c r="L46" s="19">
        <v>1</v>
      </c>
      <c r="M46" s="20">
        <f>JRC_Data!AD16/JRC_Data!$AC$16</f>
        <v>1.0666666666666667</v>
      </c>
      <c r="N46" s="20">
        <f>JRC_Data!AE16/JRC_Data!$AC$16</f>
        <v>1.2333333333333334</v>
      </c>
      <c r="O46" s="56">
        <f>JRC_Data!AF16/JRC_Data!$AC$16</f>
        <v>1.3333333333333333</v>
      </c>
      <c r="P46" s="246"/>
      <c r="Q46" s="247"/>
      <c r="R46" s="247"/>
      <c r="S46" s="248"/>
      <c r="T46" s="52">
        <v>20</v>
      </c>
      <c r="U46" s="48"/>
      <c r="V46" s="19">
        <f>(JRC_Data!BB16/1000)*($U$156/$U$162)</f>
        <v>1.8396671215443359</v>
      </c>
      <c r="W46" s="19">
        <f>(JRC_Data!BC16/1000)*($U$156/$U$162)</f>
        <v>1.756045888746866</v>
      </c>
      <c r="X46" s="19">
        <f>(JRC_Data!BD16/1000)*($U$156/$U$162)</f>
        <v>1.5888034231519261</v>
      </c>
      <c r="Y46" s="19">
        <f>(JRC_Data!BE16/1000)*($U$156/$U$162)</f>
        <v>1.5051821903544564</v>
      </c>
      <c r="Z46" s="85">
        <f>JRC_Data!BL16/1000</f>
        <v>3.4000000000000002E-2</v>
      </c>
      <c r="AA46" s="85"/>
      <c r="AB46" s="85"/>
      <c r="AC46" s="85"/>
      <c r="AD46" s="85"/>
      <c r="AE46" s="85"/>
      <c r="AF46" s="85"/>
      <c r="AG46" s="85">
        <f t="shared" ref="AG46:AG47" si="52">31.536*(AJ46/1000)</f>
        <v>0.15768000000000001</v>
      </c>
      <c r="AH46" s="88"/>
      <c r="AI46" s="88">
        <v>2019</v>
      </c>
      <c r="AJ46" s="88">
        <v>5</v>
      </c>
      <c r="AS46" s="128" t="s">
        <v>656</v>
      </c>
    </row>
    <row r="47" spans="3:45" ht="24.75" thickBot="1" x14ac:dyDescent="0.3">
      <c r="C47" s="252" t="str">
        <f>"R-SC_Apt"&amp;"_"&amp;RIGHT(E47,3)&amp;"_N2"</f>
        <v>R-SC_Apt_ELC_N2</v>
      </c>
      <c r="D47" s="26" t="s">
        <v>528</v>
      </c>
      <c r="E47" s="27" t="s">
        <v>153</v>
      </c>
      <c r="F47" s="27"/>
      <c r="G47" s="28" t="s">
        <v>133</v>
      </c>
      <c r="H47" s="253"/>
      <c r="I47" s="254"/>
      <c r="J47" s="254"/>
      <c r="K47" s="255"/>
      <c r="L47" s="252">
        <v>1</v>
      </c>
      <c r="M47" s="26">
        <f>JRC_Data!AI26/JRC_Data!$AH$26</f>
        <v>1.0333333333333334</v>
      </c>
      <c r="N47" s="26">
        <f>JRC_Data!AJ26/JRC_Data!$AH$26</f>
        <v>1.1333333333333333</v>
      </c>
      <c r="O47" s="59">
        <f>JRC_Data!AK26/JRC_Data!$AH$26</f>
        <v>1.1666666666666667</v>
      </c>
      <c r="P47" s="253"/>
      <c r="Q47" s="254"/>
      <c r="R47" s="254"/>
      <c r="S47" s="255"/>
      <c r="T47" s="55">
        <v>20</v>
      </c>
      <c r="U47" s="51"/>
      <c r="V47" s="252">
        <f>(JRC_Data!BB26/1000)</f>
        <v>1.875</v>
      </c>
      <c r="W47" s="252">
        <f>(JRC_Data!BC26/1000)</f>
        <v>1.78125</v>
      </c>
      <c r="X47" s="252">
        <f>(JRC_Data!BD26/1000)</f>
        <v>1.59375</v>
      </c>
      <c r="Y47" s="252">
        <f>(JRC_Data!BE26/1000)</f>
        <v>1.5</v>
      </c>
      <c r="Z47" s="63">
        <f>JRC_Data!BL26/1000</f>
        <v>0.29443999999999998</v>
      </c>
      <c r="AA47" s="63"/>
      <c r="AB47" s="63"/>
      <c r="AC47" s="63"/>
      <c r="AD47" s="63"/>
      <c r="AE47" s="63"/>
      <c r="AF47" s="63"/>
      <c r="AG47" s="64">
        <f t="shared" si="52"/>
        <v>0.15768000000000001</v>
      </c>
      <c r="AH47" s="67"/>
      <c r="AI47" s="67">
        <v>2019</v>
      </c>
      <c r="AJ47" s="67">
        <v>5</v>
      </c>
      <c r="AL47" s="484" t="s">
        <v>648</v>
      </c>
      <c r="AM47" s="485"/>
      <c r="AN47" s="485"/>
      <c r="AO47" s="485"/>
      <c r="AP47" s="485"/>
      <c r="AQ47" s="485"/>
      <c r="AR47" s="485"/>
      <c r="AS47" s="488" t="s">
        <v>663</v>
      </c>
    </row>
    <row r="48" spans="3:45" ht="15.75" thickBot="1" x14ac:dyDescent="0.25">
      <c r="AL48" s="128" t="s">
        <v>649</v>
      </c>
      <c r="AM48" s="128" t="s">
        <v>650</v>
      </c>
      <c r="AN48" s="128" t="s">
        <v>651</v>
      </c>
      <c r="AO48" s="128" t="s">
        <v>652</v>
      </c>
      <c r="AP48" s="128" t="s">
        <v>653</v>
      </c>
      <c r="AQ48" s="128" t="s">
        <v>654</v>
      </c>
      <c r="AR48" s="128" t="s">
        <v>655</v>
      </c>
      <c r="AS48" s="489" t="s">
        <v>455</v>
      </c>
    </row>
    <row r="49" spans="3:44" ht="48.75" thickBot="1" x14ac:dyDescent="0.25">
      <c r="AL49" s="487" t="s">
        <v>657</v>
      </c>
      <c r="AM49" s="487" t="s">
        <v>658</v>
      </c>
      <c r="AN49" s="487" t="s">
        <v>659</v>
      </c>
      <c r="AO49" s="488" t="s">
        <v>652</v>
      </c>
      <c r="AP49" s="488" t="s">
        <v>660</v>
      </c>
      <c r="AQ49" s="488" t="s">
        <v>661</v>
      </c>
      <c r="AR49" s="488" t="s">
        <v>662</v>
      </c>
    </row>
    <row r="50" spans="3:44" x14ac:dyDescent="0.2">
      <c r="H50" s="5" t="s">
        <v>19</v>
      </c>
      <c r="AL50" s="489" t="str">
        <f>AJ50&amp;"NRG"</f>
        <v>NRG</v>
      </c>
      <c r="AM50" s="489" t="s">
        <v>664</v>
      </c>
      <c r="AN50" s="489" t="s">
        <v>665</v>
      </c>
      <c r="AO50" s="490" t="s">
        <v>13</v>
      </c>
      <c r="AP50" s="489" t="s">
        <v>455</v>
      </c>
      <c r="AQ50" s="489"/>
      <c r="AR50" s="489" t="s">
        <v>455</v>
      </c>
    </row>
    <row r="51" spans="3:44" ht="45.75" thickBot="1" x14ac:dyDescent="0.25">
      <c r="C51" s="14" t="s">
        <v>21</v>
      </c>
      <c r="D51" s="15" t="s">
        <v>32</v>
      </c>
      <c r="E51" s="14" t="s">
        <v>23</v>
      </c>
      <c r="F51" s="14" t="s">
        <v>561</v>
      </c>
      <c r="G51" s="14" t="s">
        <v>24</v>
      </c>
      <c r="H51" s="17" t="s">
        <v>735</v>
      </c>
      <c r="I51" s="17" t="s">
        <v>736</v>
      </c>
      <c r="J51" s="17" t="s">
        <v>737</v>
      </c>
      <c r="K51" s="17" t="s">
        <v>738</v>
      </c>
      <c r="L51" s="17" t="s">
        <v>231</v>
      </c>
      <c r="M51" s="17" t="s">
        <v>232</v>
      </c>
      <c r="N51" s="17" t="s">
        <v>233</v>
      </c>
      <c r="O51" s="17" t="s">
        <v>234</v>
      </c>
      <c r="P51" s="17" t="s">
        <v>235</v>
      </c>
      <c r="Q51" s="17" t="s">
        <v>236</v>
      </c>
      <c r="R51" s="17" t="s">
        <v>237</v>
      </c>
      <c r="S51" s="17" t="s">
        <v>238</v>
      </c>
      <c r="T51" s="18" t="s">
        <v>26</v>
      </c>
      <c r="U51" s="18" t="s">
        <v>76</v>
      </c>
      <c r="V51" s="17" t="s">
        <v>241</v>
      </c>
      <c r="W51" s="17" t="s">
        <v>88</v>
      </c>
      <c r="X51" s="17" t="s">
        <v>89</v>
      </c>
      <c r="Y51" s="17" t="s">
        <v>90</v>
      </c>
      <c r="Z51" s="17" t="s">
        <v>61</v>
      </c>
      <c r="AA51" s="17" t="s">
        <v>62</v>
      </c>
      <c r="AB51" s="17" t="s">
        <v>285</v>
      </c>
      <c r="AC51" s="17" t="s">
        <v>286</v>
      </c>
      <c r="AD51" s="17" t="s">
        <v>287</v>
      </c>
      <c r="AE51" s="17" t="s">
        <v>699</v>
      </c>
      <c r="AF51" s="17" t="s">
        <v>243</v>
      </c>
      <c r="AG51" s="17" t="s">
        <v>77</v>
      </c>
      <c r="AH51" s="17" t="s">
        <v>272</v>
      </c>
      <c r="AI51" s="17" t="s">
        <v>78</v>
      </c>
      <c r="AJ51" s="17" t="s">
        <v>559</v>
      </c>
    </row>
    <row r="52" spans="3:44" ht="38.25" x14ac:dyDescent="0.2">
      <c r="C52" s="16" t="s">
        <v>79</v>
      </c>
      <c r="D52" s="16" t="s">
        <v>33</v>
      </c>
      <c r="E52" s="16" t="s">
        <v>80</v>
      </c>
      <c r="F52" s="16" t="s">
        <v>562</v>
      </c>
      <c r="G52" s="16" t="s">
        <v>81</v>
      </c>
      <c r="H52" s="537" t="s">
        <v>82</v>
      </c>
      <c r="I52" s="538"/>
      <c r="J52" s="538"/>
      <c r="K52" s="539"/>
      <c r="L52" s="537" t="s">
        <v>83</v>
      </c>
      <c r="M52" s="538"/>
      <c r="N52" s="538"/>
      <c r="O52" s="539"/>
      <c r="P52" s="537" t="s">
        <v>84</v>
      </c>
      <c r="Q52" s="538"/>
      <c r="R52" s="538"/>
      <c r="S52" s="539"/>
      <c r="T52" s="537" t="s">
        <v>85</v>
      </c>
      <c r="U52" s="539"/>
      <c r="V52" s="531" t="s">
        <v>86</v>
      </c>
      <c r="W52" s="532"/>
      <c r="X52" s="532"/>
      <c r="Y52" s="533"/>
      <c r="Z52" s="60"/>
      <c r="AA52" s="60"/>
      <c r="AB52" s="68" t="s">
        <v>212</v>
      </c>
      <c r="AC52" s="71" t="s">
        <v>212</v>
      </c>
      <c r="AD52" s="71" t="s">
        <v>212</v>
      </c>
      <c r="AE52" s="71" t="s">
        <v>212</v>
      </c>
      <c r="AF52" s="71" t="s">
        <v>242</v>
      </c>
      <c r="AG52" s="60" t="s">
        <v>66</v>
      </c>
      <c r="AH52" s="60" t="s">
        <v>87</v>
      </c>
      <c r="AI52" s="60"/>
      <c r="AJ52" s="60"/>
      <c r="AL52" s="10" t="s">
        <v>20</v>
      </c>
      <c r="AM52" s="11"/>
      <c r="AN52" s="11"/>
      <c r="AO52" s="11"/>
      <c r="AP52" s="11"/>
      <c r="AQ52" s="11"/>
      <c r="AR52" s="11"/>
    </row>
    <row r="53" spans="3:44" ht="15.75" thickBot="1" x14ac:dyDescent="0.25">
      <c r="C53" s="14" t="s">
        <v>284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  <c r="AD53" s="372"/>
      <c r="AE53" s="372"/>
      <c r="AF53" s="372"/>
      <c r="AG53" s="372"/>
      <c r="AH53" s="372"/>
      <c r="AI53" s="372"/>
      <c r="AJ53" s="372"/>
      <c r="AL53" s="12" t="s">
        <v>27</v>
      </c>
      <c r="AM53" s="12" t="s">
        <v>21</v>
      </c>
      <c r="AN53" s="12" t="s">
        <v>22</v>
      </c>
      <c r="AO53" s="12" t="s">
        <v>28</v>
      </c>
      <c r="AP53" s="12" t="s">
        <v>29</v>
      </c>
      <c r="AQ53" s="12" t="s">
        <v>30</v>
      </c>
      <c r="AR53" s="12" t="s">
        <v>67</v>
      </c>
    </row>
    <row r="54" spans="3:44" ht="33.75" x14ac:dyDescent="0.2">
      <c r="C54" s="37" t="s">
        <v>274</v>
      </c>
      <c r="D54" s="38"/>
      <c r="E54" s="38"/>
      <c r="F54" s="38"/>
      <c r="G54" s="39"/>
      <c r="H54" s="534" t="s">
        <v>34</v>
      </c>
      <c r="I54" s="535"/>
      <c r="J54" s="535"/>
      <c r="K54" s="536"/>
      <c r="L54" s="535" t="s">
        <v>34</v>
      </c>
      <c r="M54" s="535"/>
      <c r="N54" s="535"/>
      <c r="O54" s="536"/>
      <c r="P54" s="534" t="s">
        <v>34</v>
      </c>
      <c r="Q54" s="535"/>
      <c r="R54" s="535"/>
      <c r="S54" s="536"/>
      <c r="T54" s="540" t="s">
        <v>68</v>
      </c>
      <c r="U54" s="541"/>
      <c r="V54" s="540" t="s">
        <v>508</v>
      </c>
      <c r="W54" s="542"/>
      <c r="X54" s="542"/>
      <c r="Y54" s="541"/>
      <c r="Z54" s="373" t="s">
        <v>520</v>
      </c>
      <c r="AA54" s="373" t="s">
        <v>93</v>
      </c>
      <c r="AB54" s="374" t="s">
        <v>34</v>
      </c>
      <c r="AC54" s="373" t="s">
        <v>34</v>
      </c>
      <c r="AD54" s="373" t="s">
        <v>34</v>
      </c>
      <c r="AE54" s="373"/>
      <c r="AF54" s="373"/>
      <c r="AG54" s="375" t="s">
        <v>288</v>
      </c>
      <c r="AH54" s="373" t="s">
        <v>34</v>
      </c>
      <c r="AI54" s="373" t="s">
        <v>94</v>
      </c>
      <c r="AJ54" s="373" t="s">
        <v>560</v>
      </c>
      <c r="AL54" s="211" t="s">
        <v>69</v>
      </c>
      <c r="AM54" s="211" t="s">
        <v>70</v>
      </c>
      <c r="AN54" s="211" t="s">
        <v>33</v>
      </c>
      <c r="AO54" s="211" t="s">
        <v>71</v>
      </c>
      <c r="AP54" s="211" t="s">
        <v>72</v>
      </c>
      <c r="AQ54" s="211" t="s">
        <v>73</v>
      </c>
      <c r="AR54" s="211" t="s">
        <v>74</v>
      </c>
    </row>
    <row r="55" spans="3:44" ht="15" x14ac:dyDescent="0.25">
      <c r="C55" s="19" t="str">
        <f>"R-SH_Att"&amp;"_"&amp;RIGHT(E55,3)&amp;"_N1"</f>
        <v>R-SH_Att_KER_N1</v>
      </c>
      <c r="D55" s="20" t="s">
        <v>96</v>
      </c>
      <c r="E55" s="89" t="s">
        <v>264</v>
      </c>
      <c r="F55" s="89"/>
      <c r="G55" s="517" t="s">
        <v>727</v>
      </c>
      <c r="H55" s="19">
        <v>1</v>
      </c>
      <c r="I55" s="20">
        <v>1</v>
      </c>
      <c r="J55" s="20">
        <v>1</v>
      </c>
      <c r="K55" s="56">
        <v>1</v>
      </c>
      <c r="L55" s="46"/>
      <c r="M55" s="47"/>
      <c r="N55" s="47"/>
      <c r="O55" s="48"/>
      <c r="P55" s="19"/>
      <c r="Q55" s="20"/>
      <c r="R55" s="20"/>
      <c r="S55" s="56"/>
      <c r="T55" s="54">
        <v>20</v>
      </c>
      <c r="U55" s="41"/>
      <c r="V55" s="379">
        <f>V59*1.3</f>
        <v>4.2250000000000005</v>
      </c>
      <c r="W55" s="379">
        <f t="shared" ref="W55:Y55" si="53">W59*1.3</f>
        <v>4.2250000000000005</v>
      </c>
      <c r="X55" s="379">
        <f t="shared" si="53"/>
        <v>4.2250000000000005</v>
      </c>
      <c r="Y55" s="379">
        <f t="shared" si="53"/>
        <v>4.2250000000000005</v>
      </c>
      <c r="Z55" s="379">
        <v>0.12</v>
      </c>
      <c r="AA55" s="65"/>
      <c r="AB55" s="42"/>
      <c r="AC55" s="72"/>
      <c r="AD55" s="72"/>
      <c r="AE55" s="72"/>
      <c r="AF55" s="72"/>
      <c r="AG55" s="62">
        <f t="shared" ref="AG55:AG93" si="54">31.536*(AJ55/1000)</f>
        <v>0.63072000000000006</v>
      </c>
      <c r="AH55" s="65"/>
      <c r="AI55" s="65">
        <v>2019</v>
      </c>
      <c r="AJ55" s="65">
        <v>20</v>
      </c>
      <c r="AL55" s="106" t="s">
        <v>31</v>
      </c>
      <c r="AM55" s="105" t="str">
        <f t="shared" ref="AM55:AM66" si="55">C55</f>
        <v>R-SH_Att_KER_N1</v>
      </c>
      <c r="AN55" s="105" t="str">
        <f t="shared" ref="AN55:AN66" si="56">D55</f>
        <v>Residential Kerosene Heating Oil - New 1 SH</v>
      </c>
      <c r="AO55" s="106" t="s">
        <v>13</v>
      </c>
      <c r="AP55" s="106" t="s">
        <v>180</v>
      </c>
      <c r="AQ55" s="106"/>
      <c r="AR55" s="106" t="s">
        <v>75</v>
      </c>
    </row>
    <row r="56" spans="3:44" ht="15" x14ac:dyDescent="0.25">
      <c r="C56" s="22" t="str">
        <f>"R-SW_Att"&amp;"_"&amp;RIGHT(E56,3)&amp;"_N1"</f>
        <v>R-SW_Att_KER_N1</v>
      </c>
      <c r="D56" s="23" t="s">
        <v>97</v>
      </c>
      <c r="E56" s="24" t="s">
        <v>264</v>
      </c>
      <c r="F56" s="24"/>
      <c r="G56" s="57" t="s">
        <v>728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>H56*0.7</f>
        <v>0.7</v>
      </c>
      <c r="Q56" s="23">
        <f t="shared" ref="Q56:Q58" si="57">I56*0.7</f>
        <v>0.7</v>
      </c>
      <c r="R56" s="23">
        <f t="shared" ref="R56:R58" si="58">J56*0.7</f>
        <v>0.7</v>
      </c>
      <c r="S56" s="57">
        <f t="shared" ref="S56:S58" si="59">K56*0.7</f>
        <v>0.7</v>
      </c>
      <c r="T56" s="53">
        <v>20</v>
      </c>
      <c r="U56" s="25"/>
      <c r="V56" s="380">
        <f>V60*1.3</f>
        <v>4.2773760330578519</v>
      </c>
      <c r="W56" s="380">
        <f t="shared" ref="W56:Y56" si="60">W60*1.3</f>
        <v>4.2773760330578519</v>
      </c>
      <c r="X56" s="380">
        <f t="shared" si="60"/>
        <v>4.2773760330578519</v>
      </c>
      <c r="Y56" s="380">
        <f t="shared" si="60"/>
        <v>4.2773760330578519</v>
      </c>
      <c r="Z56" s="380">
        <v>0.12</v>
      </c>
      <c r="AA56" s="66"/>
      <c r="AB56" s="44"/>
      <c r="AC56" s="73"/>
      <c r="AD56" s="73"/>
      <c r="AE56" s="73"/>
      <c r="AF56" s="73"/>
      <c r="AG56" s="63">
        <f t="shared" si="54"/>
        <v>0.7884000000000001</v>
      </c>
      <c r="AH56" s="66"/>
      <c r="AI56" s="66">
        <v>2019</v>
      </c>
      <c r="AJ56" s="66">
        <v>25</v>
      </c>
      <c r="AL56" s="106"/>
      <c r="AM56" s="105" t="str">
        <f t="shared" si="55"/>
        <v>R-SW_Att_KER_N1</v>
      </c>
      <c r="AN56" s="105" t="str">
        <f t="shared" si="56"/>
        <v>Residential Kerosene Heating Oil - New 2 SH + WH</v>
      </c>
      <c r="AO56" s="106" t="s">
        <v>13</v>
      </c>
      <c r="AP56" s="106" t="s">
        <v>180</v>
      </c>
      <c r="AQ56" s="106"/>
      <c r="AR56" s="106" t="s">
        <v>75</v>
      </c>
    </row>
    <row r="57" spans="3:44" ht="15" x14ac:dyDescent="0.25">
      <c r="C57" s="40" t="str">
        <f>"R-SW_Att"&amp;"_"&amp;RIGHT(E57,3)&amp;"_N2"</f>
        <v>R-SW_Att_KER_N2</v>
      </c>
      <c r="D57" s="29" t="s">
        <v>98</v>
      </c>
      <c r="E57" s="30" t="s">
        <v>266</v>
      </c>
      <c r="F57" s="30"/>
      <c r="G57" s="58" t="s">
        <v>728</v>
      </c>
      <c r="H57" s="40">
        <v>1</v>
      </c>
      <c r="I57" s="29">
        <v>1</v>
      </c>
      <c r="J57" s="29">
        <v>1</v>
      </c>
      <c r="K57" s="58">
        <v>1</v>
      </c>
      <c r="L57" s="42"/>
      <c r="M57" s="31"/>
      <c r="N57" s="31"/>
      <c r="O57" s="43"/>
      <c r="P57" s="40">
        <f>H57*0.7</f>
        <v>0.7</v>
      </c>
      <c r="Q57" s="29">
        <f t="shared" si="57"/>
        <v>0.7</v>
      </c>
      <c r="R57" s="29">
        <f t="shared" si="58"/>
        <v>0.7</v>
      </c>
      <c r="S57" s="58">
        <f t="shared" si="59"/>
        <v>0.7</v>
      </c>
      <c r="T57" s="54">
        <v>20</v>
      </c>
      <c r="U57" s="41"/>
      <c r="V57" s="62">
        <f>((JRC_Data!BB7+JRC_Data!BB45)*0.8/1000)*$U$162</f>
        <v>9.0810810810810807</v>
      </c>
      <c r="W57" s="62">
        <f>((JRC_Data!BC7+JRC_Data!BC45)*0.8/1000)*$U$162</f>
        <v>8.8540540540540533</v>
      </c>
      <c r="X57" s="62">
        <f>((JRC_Data!BD7+JRC_Data!BD45)*0.8/1000)*$U$162</f>
        <v>8.4756756756756761</v>
      </c>
      <c r="Y57" s="62">
        <f>((JRC_Data!BE7+JRC_Data!BE45)*0.8/1000)*$U$162</f>
        <v>7.7945945945945949</v>
      </c>
      <c r="Z57" s="58">
        <f>((JRC_Data!BL7+JRC_Data!BL45)*0.8)/1000</f>
        <v>0.2656</v>
      </c>
      <c r="AA57" s="65"/>
      <c r="AB57" s="42">
        <v>0.25</v>
      </c>
      <c r="AC57" s="72"/>
      <c r="AD57" s="72"/>
      <c r="AE57" s="72"/>
      <c r="AF57" s="216">
        <v>5</v>
      </c>
      <c r="AG57" s="62">
        <f t="shared" si="54"/>
        <v>0.7884000000000001</v>
      </c>
      <c r="AH57" s="65"/>
      <c r="AI57" s="65">
        <v>2019</v>
      </c>
      <c r="AJ57" s="65">
        <v>25</v>
      </c>
      <c r="AL57" s="106"/>
      <c r="AM57" s="105" t="str">
        <f t="shared" si="55"/>
        <v>R-SW_Att_KER_N2</v>
      </c>
      <c r="AN57" s="105" t="str">
        <f t="shared" si="56"/>
        <v>Residential Kerosene Heating Oil - New 3 SH+WH + Solar</v>
      </c>
      <c r="AO57" s="106" t="s">
        <v>13</v>
      </c>
      <c r="AP57" s="106" t="s">
        <v>180</v>
      </c>
      <c r="AQ57" s="106"/>
      <c r="AR57" s="106" t="s">
        <v>75</v>
      </c>
    </row>
    <row r="58" spans="3:44" ht="15" x14ac:dyDescent="0.25">
      <c r="C58" s="22" t="str">
        <f>"R-SW_Att"&amp;"_"&amp;RIGHT(E58,3)&amp;"_N3"</f>
        <v>R-SW_Att_KER_N3</v>
      </c>
      <c r="D58" s="23" t="s">
        <v>102</v>
      </c>
      <c r="E58" s="24" t="s">
        <v>267</v>
      </c>
      <c r="F58" s="24"/>
      <c r="G58" s="57" t="s">
        <v>728</v>
      </c>
      <c r="H58" s="22">
        <v>1</v>
      </c>
      <c r="I58" s="23">
        <v>1.0249999999999999</v>
      </c>
      <c r="J58" s="23">
        <v>1.0249999999999999</v>
      </c>
      <c r="K58" s="57">
        <v>1.0249999999999999</v>
      </c>
      <c r="L58" s="44"/>
      <c r="M58" s="32"/>
      <c r="N58" s="32"/>
      <c r="O58" s="45"/>
      <c r="P58" s="22">
        <f>H58*0.7</f>
        <v>0.7</v>
      </c>
      <c r="Q58" s="23">
        <f t="shared" si="57"/>
        <v>0.71749999999999992</v>
      </c>
      <c r="R58" s="23">
        <f t="shared" si="58"/>
        <v>0.71749999999999992</v>
      </c>
      <c r="S58" s="57">
        <f t="shared" si="59"/>
        <v>0.71749999999999992</v>
      </c>
      <c r="T58" s="53">
        <v>20</v>
      </c>
      <c r="U58" s="25"/>
      <c r="V58" s="63">
        <f>((JRC_Data!BB7+JRC_Data!BB11)*0.8/1000)*$U$162</f>
        <v>10.102702702702702</v>
      </c>
      <c r="W58" s="63">
        <f>((JRC_Data!BC7+JRC_Data!BC11)*0.8/1000)*$U$162</f>
        <v>10.102702702702702</v>
      </c>
      <c r="X58" s="63">
        <f>((JRC_Data!BD7+JRC_Data!BD11)*0.8/1000)*$U$162</f>
        <v>10.670270270270269</v>
      </c>
      <c r="Y58" s="63">
        <f>((JRC_Data!BE7+JRC_Data!BE11)*0.8/1000)*$U$162</f>
        <v>10.670270270270269</v>
      </c>
      <c r="Z58" s="58">
        <f>((JRC_Data!BL7+JRC_Data!BL11)*0.8)/1000</f>
        <v>0.23680000000000001</v>
      </c>
      <c r="AA58" s="66"/>
      <c r="AB58" s="44"/>
      <c r="AC58" s="73">
        <v>0.47</v>
      </c>
      <c r="AD58" s="73"/>
      <c r="AE58" s="73"/>
      <c r="AF58" s="66">
        <v>5</v>
      </c>
      <c r="AG58" s="63">
        <f>31.536*(AJ58/1000)</f>
        <v>0.7884000000000001</v>
      </c>
      <c r="AH58" s="66"/>
      <c r="AI58" s="66">
        <v>2019</v>
      </c>
      <c r="AJ58" s="66">
        <v>25</v>
      </c>
      <c r="AL58" s="106"/>
      <c r="AM58" s="105" t="str">
        <f t="shared" si="55"/>
        <v>R-SW_Att_KER_N3</v>
      </c>
      <c r="AN58" s="105" t="str">
        <f t="shared" si="56"/>
        <v>Residential Kerosene Heating Oil - New 3 SH+WH + Wood Stove</v>
      </c>
      <c r="AO58" s="107" t="s">
        <v>13</v>
      </c>
      <c r="AP58" s="107" t="s">
        <v>180</v>
      </c>
      <c r="AQ58" s="106"/>
      <c r="AR58" s="106"/>
    </row>
    <row r="59" spans="3:44" ht="15" x14ac:dyDescent="0.25">
      <c r="C59" s="40" t="str">
        <f>"R-SH_Att"&amp;"_"&amp;RIGHT(E59,3)&amp;"_N1"</f>
        <v>R-SH_Att_GAS_N1</v>
      </c>
      <c r="D59" s="29" t="s">
        <v>95</v>
      </c>
      <c r="E59" s="30" t="s">
        <v>700</v>
      </c>
      <c r="F59" s="30"/>
      <c r="G59" s="58" t="s">
        <v>727</v>
      </c>
      <c r="H59" s="40">
        <v>1</v>
      </c>
      <c r="I59" s="29">
        <v>1</v>
      </c>
      <c r="J59" s="29">
        <v>1</v>
      </c>
      <c r="K59" s="58">
        <v>1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379">
        <f>3.25</f>
        <v>3.25</v>
      </c>
      <c r="W59" s="379">
        <f t="shared" ref="W59:Y59" si="61">3.25</f>
        <v>3.25</v>
      </c>
      <c r="X59" s="379">
        <f t="shared" si="61"/>
        <v>3.25</v>
      </c>
      <c r="Y59" s="379">
        <f t="shared" si="61"/>
        <v>3.25</v>
      </c>
      <c r="Z59" s="379">
        <v>0.12</v>
      </c>
      <c r="AA59" s="65"/>
      <c r="AB59" s="42"/>
      <c r="AC59" s="72"/>
      <c r="AD59" s="72"/>
      <c r="AE59" s="72"/>
      <c r="AF59" s="72"/>
      <c r="AG59" s="62">
        <f t="shared" si="54"/>
        <v>0.63072000000000006</v>
      </c>
      <c r="AH59" s="65"/>
      <c r="AI59" s="65">
        <v>2019</v>
      </c>
      <c r="AJ59" s="65">
        <v>20</v>
      </c>
      <c r="AL59" s="106"/>
      <c r="AM59" s="105" t="str">
        <f t="shared" si="55"/>
        <v>R-SH_Att_GAS_N1</v>
      </c>
      <c r="AN59" s="105" t="str">
        <f t="shared" si="56"/>
        <v>Residential Natural Gas Heating - New 1 SH</v>
      </c>
      <c r="AO59" s="106" t="s">
        <v>13</v>
      </c>
      <c r="AP59" s="106" t="s">
        <v>180</v>
      </c>
      <c r="AQ59" s="106"/>
      <c r="AR59" s="106" t="s">
        <v>75</v>
      </c>
    </row>
    <row r="60" spans="3:44" ht="15" x14ac:dyDescent="0.25">
      <c r="C60" s="22" t="str">
        <f>"R-SW_Att"&amp;"_"&amp;RIGHT(E60,3)&amp;"_N1"</f>
        <v>R-SW_Att_GAS_N1</v>
      </c>
      <c r="D60" s="23" t="s">
        <v>99</v>
      </c>
      <c r="E60" s="24" t="s">
        <v>700</v>
      </c>
      <c r="F60" s="24"/>
      <c r="G60" s="57" t="s">
        <v>728</v>
      </c>
      <c r="H60" s="22">
        <v>1</v>
      </c>
      <c r="I60" s="23">
        <v>1</v>
      </c>
      <c r="J60" s="23">
        <v>1</v>
      </c>
      <c r="K60" s="57">
        <v>1</v>
      </c>
      <c r="L60" s="44"/>
      <c r="M60" s="32"/>
      <c r="N60" s="32"/>
      <c r="O60" s="45"/>
      <c r="P60" s="22">
        <f>H60*0.7</f>
        <v>0.7</v>
      </c>
      <c r="Q60" s="23">
        <f t="shared" ref="Q60:Q62" si="62">I60*0.7</f>
        <v>0.7</v>
      </c>
      <c r="R60" s="23">
        <f t="shared" ref="R60:R62" si="63">J60*0.7</f>
        <v>0.7</v>
      </c>
      <c r="S60" s="57">
        <f t="shared" ref="S60:S62" si="64">K60*0.7</f>
        <v>0.7</v>
      </c>
      <c r="T60" s="53">
        <v>20</v>
      </c>
      <c r="U60" s="25"/>
      <c r="V60" s="380">
        <f>V59*($U$162/$U$161)</f>
        <v>3.2902892561983474</v>
      </c>
      <c r="W60" s="380">
        <f>W59*($U$162/$U$161)</f>
        <v>3.2902892561983474</v>
      </c>
      <c r="X60" s="380">
        <f>X59*($U$162/$U$161)</f>
        <v>3.2902892561983474</v>
      </c>
      <c r="Y60" s="380">
        <f>Y59*($U$162/$U$161)</f>
        <v>3.2902892561983474</v>
      </c>
      <c r="Z60" s="380">
        <v>0.12</v>
      </c>
      <c r="AA60" s="66"/>
      <c r="AB60" s="44"/>
      <c r="AC60" s="73"/>
      <c r="AD60" s="73"/>
      <c r="AE60" s="73"/>
      <c r="AF60" s="73"/>
      <c r="AG60" s="63">
        <f t="shared" si="54"/>
        <v>0.7884000000000001</v>
      </c>
      <c r="AH60" s="66"/>
      <c r="AI60" s="66">
        <v>2019</v>
      </c>
      <c r="AJ60" s="66">
        <v>25</v>
      </c>
      <c r="AL60" s="106"/>
      <c r="AM60" s="105" t="str">
        <f t="shared" si="55"/>
        <v>R-SW_Att_GAS_N1</v>
      </c>
      <c r="AN60" s="105" t="str">
        <f t="shared" si="56"/>
        <v>Residential Natural Gas Heating - New 2 SH + WH</v>
      </c>
      <c r="AO60" s="106" t="s">
        <v>13</v>
      </c>
      <c r="AP60" s="106" t="s">
        <v>180</v>
      </c>
      <c r="AQ60" s="106"/>
      <c r="AR60" s="106" t="s">
        <v>75</v>
      </c>
    </row>
    <row r="61" spans="3:44" ht="15" x14ac:dyDescent="0.25">
      <c r="C61" s="40" t="str">
        <f>"R-SW_Att"&amp;"_"&amp;RIGHT(E61,3)&amp;"_N2"</f>
        <v>R-SW_Att_GAS_N2</v>
      </c>
      <c r="D61" s="29" t="s">
        <v>100</v>
      </c>
      <c r="E61" s="30" t="s">
        <v>702</v>
      </c>
      <c r="F61" s="30"/>
      <c r="G61" s="58" t="s">
        <v>728</v>
      </c>
      <c r="H61" s="40">
        <v>1</v>
      </c>
      <c r="I61" s="29">
        <v>1</v>
      </c>
      <c r="J61" s="29">
        <v>1</v>
      </c>
      <c r="K61" s="58">
        <v>1</v>
      </c>
      <c r="L61" s="42"/>
      <c r="M61" s="31"/>
      <c r="N61" s="31"/>
      <c r="O61" s="43"/>
      <c r="P61" s="40">
        <f>H61*0.7</f>
        <v>0.7</v>
      </c>
      <c r="Q61" s="29">
        <f t="shared" si="62"/>
        <v>0.7</v>
      </c>
      <c r="R61" s="29">
        <f t="shared" si="63"/>
        <v>0.7</v>
      </c>
      <c r="S61" s="58">
        <f t="shared" si="64"/>
        <v>0.7</v>
      </c>
      <c r="T61" s="54">
        <v>20</v>
      </c>
      <c r="U61" s="41"/>
      <c r="V61" s="379">
        <v>12.75</v>
      </c>
      <c r="W61" s="379">
        <f>V61*0.9685</f>
        <v>12.348375000000001</v>
      </c>
      <c r="X61" s="379">
        <f>V61*0.916</f>
        <v>11.679</v>
      </c>
      <c r="Y61" s="379">
        <f>V61*0.812</f>
        <v>10.353000000000002</v>
      </c>
      <c r="Z61" s="379">
        <v>0.19</v>
      </c>
      <c r="AA61" s="65"/>
      <c r="AB61" s="42">
        <v>0.25</v>
      </c>
      <c r="AC61" s="72"/>
      <c r="AD61" s="72"/>
      <c r="AE61" s="72"/>
      <c r="AF61" s="216">
        <v>5</v>
      </c>
      <c r="AG61" s="62">
        <f t="shared" si="54"/>
        <v>0.7884000000000001</v>
      </c>
      <c r="AH61" s="65"/>
      <c r="AI61" s="65">
        <v>2019</v>
      </c>
      <c r="AJ61" s="65">
        <v>25</v>
      </c>
      <c r="AL61" s="106"/>
      <c r="AM61" s="105" t="str">
        <f t="shared" si="55"/>
        <v>R-SW_Att_GAS_N2</v>
      </c>
      <c r="AN61" s="105" t="str">
        <f t="shared" si="56"/>
        <v>Residential Natural Gas Heating - New 3 SH + WH + Solar</v>
      </c>
      <c r="AO61" s="106" t="s">
        <v>13</v>
      </c>
      <c r="AP61" s="106" t="s">
        <v>180</v>
      </c>
      <c r="AQ61" s="106"/>
      <c r="AR61" s="106" t="s">
        <v>75</v>
      </c>
    </row>
    <row r="62" spans="3:44" ht="15" x14ac:dyDescent="0.25">
      <c r="C62" s="22" t="str">
        <f>"R-SW_Att"&amp;"_"&amp;RIGHT(E62,3)&amp;"_N3"</f>
        <v>R-SW_Att_GAS_N3</v>
      </c>
      <c r="D62" s="23" t="s">
        <v>101</v>
      </c>
      <c r="E62" s="24" t="s">
        <v>703</v>
      </c>
      <c r="F62" s="24"/>
      <c r="G62" s="57" t="s">
        <v>728</v>
      </c>
      <c r="H62" s="22">
        <v>1</v>
      </c>
      <c r="I62" s="23">
        <v>1.0249999999999999</v>
      </c>
      <c r="J62" s="23">
        <v>1.0249999999999999</v>
      </c>
      <c r="K62" s="57">
        <v>1.0249999999999999</v>
      </c>
      <c r="L62" s="44"/>
      <c r="M62" s="32"/>
      <c r="N62" s="32"/>
      <c r="O62" s="45"/>
      <c r="P62" s="22">
        <f>H62*0.7</f>
        <v>0.7</v>
      </c>
      <c r="Q62" s="23">
        <f t="shared" si="62"/>
        <v>0.71749999999999992</v>
      </c>
      <c r="R62" s="23">
        <f t="shared" si="63"/>
        <v>0.71749999999999992</v>
      </c>
      <c r="S62" s="57">
        <f t="shared" si="64"/>
        <v>0.71749999999999992</v>
      </c>
      <c r="T62" s="53">
        <v>20</v>
      </c>
      <c r="U62" s="25"/>
      <c r="V62" s="63">
        <f>((JRC_Data!BB9+JRC_Data!BB11)*0.8/1000)*($U$162/$U$161)</f>
        <v>8.7066115702479348</v>
      </c>
      <c r="W62" s="63">
        <f>((JRC_Data!BC9+JRC_Data!BC11)*0.8/1000)*($U$162/$U$161)</f>
        <v>8.7066115702479348</v>
      </c>
      <c r="X62" s="63">
        <f>((JRC_Data!BD9+JRC_Data!BD11)*0.8/1000)*($U$162/$U$161)</f>
        <v>9.3140495867768589</v>
      </c>
      <c r="Y62" s="63">
        <f>((JRC_Data!BE9+JRC_Data!BE11)*0.8/1000)*($U$162/$U$161)</f>
        <v>9.3140495867768589</v>
      </c>
      <c r="Z62" s="58">
        <f>((JRC_Data!BL9+JRC_Data!BL11)*0.8)/1000</f>
        <v>0.20880000000000001</v>
      </c>
      <c r="AA62" s="66"/>
      <c r="AB62" s="44"/>
      <c r="AC62" s="73">
        <v>0.47</v>
      </c>
      <c r="AD62" s="73"/>
      <c r="AE62" s="73"/>
      <c r="AF62" s="66">
        <v>5</v>
      </c>
      <c r="AG62" s="63">
        <f t="shared" si="54"/>
        <v>0.7884000000000001</v>
      </c>
      <c r="AH62" s="66"/>
      <c r="AI62" s="66">
        <v>2019</v>
      </c>
      <c r="AJ62" s="66">
        <v>25</v>
      </c>
      <c r="AL62" s="106"/>
      <c r="AM62" s="105" t="str">
        <f t="shared" si="55"/>
        <v>R-SW_Att_GAS_N3</v>
      </c>
      <c r="AN62" s="105" t="str">
        <f t="shared" si="56"/>
        <v>Residential Natural Gas Heating - New 4 SH + WH + Wood Stove</v>
      </c>
      <c r="AO62" s="106" t="s">
        <v>13</v>
      </c>
      <c r="AP62" s="106" t="s">
        <v>180</v>
      </c>
      <c r="AQ62" s="106"/>
      <c r="AR62" s="106" t="s">
        <v>75</v>
      </c>
    </row>
    <row r="63" spans="3:44" ht="15" x14ac:dyDescent="0.25">
      <c r="C63" s="40" t="str">
        <f>"R-SH_Att"&amp;"_"&amp;RIGHT(E63,3)&amp;"_N1"</f>
        <v>R-SH_Att_LPG_N1</v>
      </c>
      <c r="D63" s="29" t="s">
        <v>103</v>
      </c>
      <c r="E63" s="30" t="s">
        <v>265</v>
      </c>
      <c r="F63" s="30"/>
      <c r="G63" s="58" t="s">
        <v>727</v>
      </c>
      <c r="H63" s="40">
        <v>1</v>
      </c>
      <c r="I63" s="29">
        <v>1</v>
      </c>
      <c r="J63" s="29">
        <v>1</v>
      </c>
      <c r="K63" s="58">
        <v>1</v>
      </c>
      <c r="L63" s="42"/>
      <c r="M63" s="31"/>
      <c r="N63" s="31"/>
      <c r="O63" s="43"/>
      <c r="P63" s="40"/>
      <c r="Q63" s="29"/>
      <c r="R63" s="29"/>
      <c r="S63" s="58"/>
      <c r="T63" s="54">
        <v>20</v>
      </c>
      <c r="U63" s="41"/>
      <c r="V63" s="379">
        <f>SUM(V59+0.3)</f>
        <v>3.55</v>
      </c>
      <c r="W63" s="379">
        <f>SUM(W59+0.3)</f>
        <v>3.55</v>
      </c>
      <c r="X63" s="379">
        <f>SUM(X59+0.3)</f>
        <v>3.55</v>
      </c>
      <c r="Y63" s="379">
        <f>SUM(Y59+0.3)</f>
        <v>3.55</v>
      </c>
      <c r="Z63" s="379">
        <f>SUM(0.12+0.15)</f>
        <v>0.27</v>
      </c>
      <c r="AA63" s="65"/>
      <c r="AB63" s="42"/>
      <c r="AC63" s="72"/>
      <c r="AD63" s="72"/>
      <c r="AE63" s="72"/>
      <c r="AF63" s="72"/>
      <c r="AG63" s="62">
        <f t="shared" si="54"/>
        <v>0.63072000000000006</v>
      </c>
      <c r="AH63" s="65"/>
      <c r="AI63" s="65">
        <v>2019</v>
      </c>
      <c r="AJ63" s="65">
        <v>20</v>
      </c>
      <c r="AL63" s="106"/>
      <c r="AM63" s="105" t="str">
        <f t="shared" si="55"/>
        <v>R-SH_Att_LPG_N1</v>
      </c>
      <c r="AN63" s="105" t="str">
        <f t="shared" si="56"/>
        <v>Residential Liquid Petroleum Gas- New 1 SH</v>
      </c>
      <c r="AO63" s="106" t="s">
        <v>13</v>
      </c>
      <c r="AP63" s="106" t="s">
        <v>180</v>
      </c>
      <c r="AQ63" s="106"/>
      <c r="AR63" s="106" t="s">
        <v>75</v>
      </c>
    </row>
    <row r="64" spans="3:44" ht="15" x14ac:dyDescent="0.25">
      <c r="C64" s="22" t="str">
        <f>"R-SW_Att"&amp;"_"&amp;RIGHT(E64,3)&amp;"_N1"</f>
        <v>R-SW_Att_LPG_N1</v>
      </c>
      <c r="D64" s="23" t="s">
        <v>104</v>
      </c>
      <c r="E64" s="24" t="s">
        <v>265</v>
      </c>
      <c r="F64" s="24"/>
      <c r="G64" s="57" t="s">
        <v>728</v>
      </c>
      <c r="H64" s="22">
        <v>1</v>
      </c>
      <c r="I64" s="23">
        <v>1</v>
      </c>
      <c r="J64" s="23">
        <v>1</v>
      </c>
      <c r="K64" s="57">
        <v>1</v>
      </c>
      <c r="L64" s="44"/>
      <c r="M64" s="32"/>
      <c r="N64" s="32"/>
      <c r="O64" s="45"/>
      <c r="P64" s="22">
        <f>H64*0.7</f>
        <v>0.7</v>
      </c>
      <c r="Q64" s="23">
        <f t="shared" ref="Q64" si="65">I64*0.7</f>
        <v>0.7</v>
      </c>
      <c r="R64" s="23">
        <f t="shared" ref="R64" si="66">J64*0.7</f>
        <v>0.7</v>
      </c>
      <c r="S64" s="57">
        <f t="shared" ref="S64" si="67">K64*0.7</f>
        <v>0.7</v>
      </c>
      <c r="T64" s="53">
        <v>20</v>
      </c>
      <c r="U64" s="25"/>
      <c r="V64" s="380">
        <f>V59*($U$162/$U$161)+0.3</f>
        <v>3.5902892561983473</v>
      </c>
      <c r="W64" s="380">
        <f>W59*($U$162/$U$161)+0.3</f>
        <v>3.5902892561983473</v>
      </c>
      <c r="X64" s="380">
        <f>X59*($U$162/$U$161)+0.3</f>
        <v>3.5902892561983473</v>
      </c>
      <c r="Y64" s="380">
        <f>Y59*($U$162/$U$161)+0.3</f>
        <v>3.5902892561983473</v>
      </c>
      <c r="Z64" s="379">
        <f>SUM(0.12+0.15)</f>
        <v>0.27</v>
      </c>
      <c r="AA64" s="66"/>
      <c r="AB64" s="44"/>
      <c r="AC64" s="73"/>
      <c r="AD64" s="73"/>
      <c r="AE64" s="73"/>
      <c r="AF64" s="73"/>
      <c r="AG64" s="63">
        <f t="shared" si="54"/>
        <v>0.7884000000000001</v>
      </c>
      <c r="AH64" s="66"/>
      <c r="AI64" s="66">
        <v>2019</v>
      </c>
      <c r="AJ64" s="66">
        <v>25</v>
      </c>
      <c r="AL64" s="106"/>
      <c r="AM64" s="105" t="str">
        <f t="shared" si="55"/>
        <v>R-SW_Att_LPG_N1</v>
      </c>
      <c r="AN64" s="105" t="str">
        <f t="shared" si="56"/>
        <v>Residential Liquid Petroleum Gas- New 2 SH + WH</v>
      </c>
      <c r="AO64" s="106" t="s">
        <v>13</v>
      </c>
      <c r="AP64" s="106" t="s">
        <v>180</v>
      </c>
      <c r="AQ64" s="106"/>
      <c r="AR64" s="106" t="s">
        <v>75</v>
      </c>
    </row>
    <row r="65" spans="3:44" ht="15" x14ac:dyDescent="0.25">
      <c r="C65" s="40" t="str">
        <f>"R-SH_Att"&amp;"_"&amp;RIGHT(E65,3)&amp;"_N1"</f>
        <v>R-SH_Att_WOO_N1</v>
      </c>
      <c r="D65" s="29" t="s">
        <v>105</v>
      </c>
      <c r="E65" s="30" t="s">
        <v>268</v>
      </c>
      <c r="F65" s="30"/>
      <c r="G65" s="58" t="s">
        <v>727</v>
      </c>
      <c r="H65" s="40">
        <v>1</v>
      </c>
      <c r="I65" s="29">
        <v>1</v>
      </c>
      <c r="J65" s="29">
        <v>1</v>
      </c>
      <c r="K65" s="58">
        <v>1</v>
      </c>
      <c r="L65" s="42"/>
      <c r="M65" s="31"/>
      <c r="N65" s="31"/>
      <c r="O65" s="43"/>
      <c r="P65" s="40"/>
      <c r="Q65" s="29"/>
      <c r="R65" s="29"/>
      <c r="S65" s="58"/>
      <c r="T65" s="54">
        <v>20</v>
      </c>
      <c r="U65" s="41"/>
      <c r="V65" s="379">
        <v>20.48</v>
      </c>
      <c r="W65" s="379">
        <f>V65*0.96777</f>
        <v>19.819929600000002</v>
      </c>
      <c r="X65" s="379">
        <f>V65*0.914844</f>
        <v>18.736005120000002</v>
      </c>
      <c r="Y65" s="379">
        <f>V65*0.8181</f>
        <v>16.754688000000002</v>
      </c>
      <c r="Z65" s="379">
        <v>0.25</v>
      </c>
      <c r="AA65" s="65"/>
      <c r="AB65" s="40"/>
      <c r="AC65" s="72"/>
      <c r="AD65" s="72"/>
      <c r="AE65" s="72"/>
      <c r="AF65" s="72"/>
      <c r="AG65" s="62">
        <f t="shared" si="54"/>
        <v>0.63072000000000006</v>
      </c>
      <c r="AH65" s="65"/>
      <c r="AI65" s="65">
        <v>2019</v>
      </c>
      <c r="AJ65" s="65">
        <v>20</v>
      </c>
      <c r="AL65" s="106"/>
      <c r="AM65" s="105" t="str">
        <f t="shared" si="55"/>
        <v>R-SH_Att_WOO_N1</v>
      </c>
      <c r="AN65" s="105" t="str">
        <f t="shared" si="56"/>
        <v>Residential Biomass Boiler - New 1 SH</v>
      </c>
      <c r="AO65" s="106" t="s">
        <v>13</v>
      </c>
      <c r="AP65" s="106" t="s">
        <v>180</v>
      </c>
      <c r="AQ65" s="106"/>
      <c r="AR65" s="106" t="s">
        <v>75</v>
      </c>
    </row>
    <row r="66" spans="3:44" ht="15.75" thickBot="1" x14ac:dyDescent="0.3">
      <c r="C66" s="22" t="str">
        <f>"R-SW_Att"&amp;"_"&amp;RIGHT(E66,3)&amp;"_N1"</f>
        <v>R-SW_Att_WOO_N1</v>
      </c>
      <c r="D66" s="23" t="s">
        <v>106</v>
      </c>
      <c r="E66" s="24" t="s">
        <v>268</v>
      </c>
      <c r="F66" s="24"/>
      <c r="G66" s="57" t="s">
        <v>728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 t="shared" ref="P66:S70" si="68">H66*0.7</f>
        <v>0.7</v>
      </c>
      <c r="Q66" s="23">
        <f t="shared" si="68"/>
        <v>0.7</v>
      </c>
      <c r="R66" s="23">
        <f t="shared" si="68"/>
        <v>0.7</v>
      </c>
      <c r="S66" s="57">
        <f t="shared" si="68"/>
        <v>0.7</v>
      </c>
      <c r="T66" s="53">
        <v>20</v>
      </c>
      <c r="U66" s="25"/>
      <c r="V66" s="380">
        <f>V65*($U$162/$U$161)</f>
        <v>20.733884297520664</v>
      </c>
      <c r="W66" s="380">
        <f>W65*($U$162/$U$161)</f>
        <v>20.065631206611574</v>
      </c>
      <c r="X66" s="380">
        <f>X65*($U$162/$U$161)</f>
        <v>18.968269646280994</v>
      </c>
      <c r="Y66" s="380">
        <f>Y65*($U$162/$U$161)</f>
        <v>16.962390743801656</v>
      </c>
      <c r="Z66" s="380">
        <v>0.25</v>
      </c>
      <c r="AA66" s="66"/>
      <c r="AB66" s="44"/>
      <c r="AC66" s="73"/>
      <c r="AD66" s="73"/>
      <c r="AE66" s="73"/>
      <c r="AF66" s="73"/>
      <c r="AG66" s="63">
        <f t="shared" si="54"/>
        <v>0.7884000000000001</v>
      </c>
      <c r="AH66" s="66"/>
      <c r="AI66" s="66">
        <v>2019</v>
      </c>
      <c r="AJ66" s="66">
        <v>25</v>
      </c>
      <c r="AL66" s="109"/>
      <c r="AM66" s="108" t="str">
        <f t="shared" si="55"/>
        <v>R-SW_Att_WOO_N1</v>
      </c>
      <c r="AN66" s="108" t="str">
        <f t="shared" si="56"/>
        <v>Residential Biomass Boiler - New 2 SH + WH</v>
      </c>
      <c r="AO66" s="109" t="s">
        <v>13</v>
      </c>
      <c r="AP66" s="109" t="s">
        <v>180</v>
      </c>
      <c r="AQ66" s="109"/>
      <c r="AR66" s="109" t="s">
        <v>75</v>
      </c>
    </row>
    <row r="67" spans="3:44" ht="15.75" thickBot="1" x14ac:dyDescent="0.3">
      <c r="C67" s="40" t="str">
        <f>"R-SH_Att"&amp;"_"&amp;"FPL"&amp;"_N1"</f>
        <v>R-SH_Att_FPL_N1</v>
      </c>
      <c r="D67" s="29" t="s">
        <v>568</v>
      </c>
      <c r="E67" s="30" t="s">
        <v>565</v>
      </c>
      <c r="F67" s="30"/>
      <c r="G67" s="58" t="s">
        <v>727</v>
      </c>
      <c r="H67" s="40">
        <v>0.55000000000000004</v>
      </c>
      <c r="I67" s="40">
        <v>0.55000000000000004</v>
      </c>
      <c r="J67" s="40">
        <v>0.55000000000000004</v>
      </c>
      <c r="K67" s="40">
        <v>0.55000000000000004</v>
      </c>
      <c r="L67" s="44"/>
      <c r="M67" s="32"/>
      <c r="N67" s="32"/>
      <c r="O67" s="45"/>
      <c r="P67" s="22"/>
      <c r="Q67" s="23"/>
      <c r="R67" s="23"/>
      <c r="S67" s="57"/>
      <c r="T67" s="54">
        <v>20</v>
      </c>
      <c r="U67" s="25"/>
      <c r="V67" s="380">
        <f>((JRC_Data!BB13)/1000)*$U$161</f>
        <v>2.4293436293436295</v>
      </c>
      <c r="W67" s="380">
        <f>((JRC_Data!BC13)/1000)*$U$161</f>
        <v>2.4293436293436295</v>
      </c>
      <c r="X67" s="380">
        <f>((JRC_Data!BD13)/1000)*$U$161</f>
        <v>3.2702702702702702</v>
      </c>
      <c r="Y67" s="380">
        <f>((JRC_Data!BE13)/1000)*$U$161</f>
        <v>3.2702702702702702</v>
      </c>
      <c r="Z67" s="380">
        <v>0.12</v>
      </c>
      <c r="AA67" s="66"/>
      <c r="AB67" s="44"/>
      <c r="AC67" s="73"/>
      <c r="AD67" s="73"/>
      <c r="AE67" s="73"/>
      <c r="AF67" s="73"/>
      <c r="AG67" s="63">
        <f t="shared" si="54"/>
        <v>0.63072000000000006</v>
      </c>
      <c r="AH67" s="66"/>
      <c r="AI67" s="65">
        <v>2019</v>
      </c>
      <c r="AJ67" s="66">
        <v>20</v>
      </c>
      <c r="AL67" s="109"/>
      <c r="AM67" s="108" t="s">
        <v>566</v>
      </c>
      <c r="AN67" s="108" t="str">
        <f>D67</f>
        <v>Residential  Stove New 1 - SH</v>
      </c>
      <c r="AO67" s="106" t="s">
        <v>13</v>
      </c>
      <c r="AP67" s="106" t="s">
        <v>180</v>
      </c>
      <c r="AQ67" s="109"/>
      <c r="AR67" s="109"/>
    </row>
    <row r="68" spans="3:44" ht="15.75" thickBot="1" x14ac:dyDescent="0.3">
      <c r="C68" s="22" t="str">
        <f>"R-SW_Att"&amp;"_"&amp;"FPL"&amp;"_N1"</f>
        <v>R-SW_Att_FPL_N1</v>
      </c>
      <c r="D68" s="23" t="s">
        <v>569</v>
      </c>
      <c r="E68" s="24" t="s">
        <v>565</v>
      </c>
      <c r="F68" s="24"/>
      <c r="G68" s="57" t="s">
        <v>728</v>
      </c>
      <c r="H68" s="40">
        <v>0.55000000000000004</v>
      </c>
      <c r="I68" s="40">
        <v>0.55000000000000004</v>
      </c>
      <c r="J68" s="40">
        <v>0.55000000000000004</v>
      </c>
      <c r="K68" s="40">
        <v>0.55000000000000004</v>
      </c>
      <c r="L68" s="44"/>
      <c r="M68" s="32"/>
      <c r="N68" s="32"/>
      <c r="O68" s="45"/>
      <c r="P68" s="22">
        <f t="shared" ref="P68" si="69">H68*0.7</f>
        <v>0.38500000000000001</v>
      </c>
      <c r="Q68" s="23">
        <f t="shared" ref="Q68" si="70">I68*0.7</f>
        <v>0.38500000000000001</v>
      </c>
      <c r="R68" s="23">
        <f t="shared" ref="R68" si="71">J68*0.7</f>
        <v>0.38500000000000001</v>
      </c>
      <c r="S68" s="57">
        <f t="shared" ref="S68" si="72">K68*0.7</f>
        <v>0.38500000000000001</v>
      </c>
      <c r="T68" s="53">
        <v>20</v>
      </c>
      <c r="U68" s="25"/>
      <c r="V68" s="380">
        <f>((JRC_Data!BB13)/1000)*$U$162</f>
        <v>2.4594594594594597</v>
      </c>
      <c r="W68" s="380">
        <f>((JRC_Data!BC13)/1000)*$U$162</f>
        <v>2.4594594594594597</v>
      </c>
      <c r="X68" s="380">
        <f>((JRC_Data!BD13)/1000)*$U$162</f>
        <v>3.310810810810811</v>
      </c>
      <c r="Y68" s="380">
        <f>((JRC_Data!BE13)/1000)*$U$162</f>
        <v>3.310810810810811</v>
      </c>
      <c r="Z68" s="442">
        <v>0.12</v>
      </c>
      <c r="AA68" s="66"/>
      <c r="AB68" s="44"/>
      <c r="AC68" s="73"/>
      <c r="AD68" s="73"/>
      <c r="AE68" s="73"/>
      <c r="AF68" s="73"/>
      <c r="AG68" s="63">
        <f t="shared" si="54"/>
        <v>0.63072000000000006</v>
      </c>
      <c r="AH68" s="66"/>
      <c r="AI68" s="66">
        <v>2019</v>
      </c>
      <c r="AJ68" s="66">
        <v>20</v>
      </c>
      <c r="AL68" s="109"/>
      <c r="AM68" s="108" t="s">
        <v>567</v>
      </c>
      <c r="AN68" s="108" t="str">
        <f>D68</f>
        <v>Residential  Stove with back boiler New 1 - SH +WH</v>
      </c>
      <c r="AO68" s="109" t="s">
        <v>13</v>
      </c>
      <c r="AP68" s="109" t="s">
        <v>180</v>
      </c>
      <c r="AQ68" s="109"/>
      <c r="AR68" s="109"/>
    </row>
    <row r="69" spans="3:44" ht="15.75" thickBot="1" x14ac:dyDescent="0.3">
      <c r="C69" s="40" t="s">
        <v>570</v>
      </c>
      <c r="D69" s="29" t="s">
        <v>261</v>
      </c>
      <c r="E69" s="30" t="s">
        <v>270</v>
      </c>
      <c r="F69" s="30"/>
      <c r="G69" s="58" t="s">
        <v>727</v>
      </c>
      <c r="H69" s="40">
        <v>0.82</v>
      </c>
      <c r="I69" s="40">
        <v>0.82</v>
      </c>
      <c r="J69" s="40">
        <v>0.82</v>
      </c>
      <c r="K69" s="40">
        <v>0.82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62">
        <f>V55</f>
        <v>4.2250000000000005</v>
      </c>
      <c r="W69" s="62">
        <f t="shared" ref="W69:Z70" si="73">W55</f>
        <v>4.2250000000000005</v>
      </c>
      <c r="X69" s="62">
        <f t="shared" si="73"/>
        <v>4.2250000000000005</v>
      </c>
      <c r="Y69" s="62">
        <f t="shared" si="73"/>
        <v>4.2250000000000005</v>
      </c>
      <c r="Z69" s="62">
        <f t="shared" si="73"/>
        <v>0.12</v>
      </c>
      <c r="AA69" s="65"/>
      <c r="AB69" s="42"/>
      <c r="AC69" s="72"/>
      <c r="AD69" s="72"/>
      <c r="AE69" s="72"/>
      <c r="AF69" s="72"/>
      <c r="AG69" s="62">
        <f>31.536*(AJ69/1000)</f>
        <v>0.63072000000000006</v>
      </c>
      <c r="AH69" s="65"/>
      <c r="AI69" s="65">
        <v>2019</v>
      </c>
      <c r="AJ69" s="65">
        <v>20</v>
      </c>
      <c r="AL69" s="109"/>
      <c r="AM69" s="108" t="str">
        <f>C69</f>
        <v>R-SH_Att_HVO_N1</v>
      </c>
      <c r="AN69" s="108" t="str">
        <f>D69</f>
        <v>Residential  Hydrotreated vegetable oil - New 1 SH</v>
      </c>
      <c r="AO69" s="109" t="s">
        <v>13</v>
      </c>
      <c r="AP69" s="109" t="s">
        <v>180</v>
      </c>
      <c r="AQ69" s="109"/>
      <c r="AR69" s="109" t="s">
        <v>75</v>
      </c>
    </row>
    <row r="70" spans="3:44" ht="15.75" thickBot="1" x14ac:dyDescent="0.3">
      <c r="C70" s="22" t="s">
        <v>571</v>
      </c>
      <c r="D70" s="23" t="s">
        <v>531</v>
      </c>
      <c r="E70" s="24" t="s">
        <v>270</v>
      </c>
      <c r="F70" s="24"/>
      <c r="G70" s="57" t="s">
        <v>728</v>
      </c>
      <c r="H70" s="22">
        <v>0.82</v>
      </c>
      <c r="I70" s="22">
        <v>0.82</v>
      </c>
      <c r="J70" s="22">
        <v>0.82</v>
      </c>
      <c r="K70" s="22">
        <v>0.82</v>
      </c>
      <c r="L70" s="49"/>
      <c r="M70" s="50"/>
      <c r="N70" s="50"/>
      <c r="O70" s="51"/>
      <c r="P70" s="252">
        <f t="shared" si="68"/>
        <v>0.57399999999999995</v>
      </c>
      <c r="Q70" s="26">
        <f t="shared" si="68"/>
        <v>0.57399999999999995</v>
      </c>
      <c r="R70" s="26">
        <f t="shared" si="68"/>
        <v>0.57399999999999995</v>
      </c>
      <c r="S70" s="59">
        <f t="shared" si="68"/>
        <v>0.57399999999999995</v>
      </c>
      <c r="T70" s="55">
        <v>20</v>
      </c>
      <c r="U70" s="28"/>
      <c r="V70" s="62">
        <f>V56</f>
        <v>4.2773760330578519</v>
      </c>
      <c r="W70" s="62">
        <f t="shared" ref="W70:Y70" si="74">W56</f>
        <v>4.2773760330578519</v>
      </c>
      <c r="X70" s="62">
        <f t="shared" si="74"/>
        <v>4.2773760330578519</v>
      </c>
      <c r="Y70" s="62">
        <f t="shared" si="74"/>
        <v>4.2773760330578519</v>
      </c>
      <c r="Z70" s="62">
        <f t="shared" si="73"/>
        <v>0.12</v>
      </c>
      <c r="AA70" s="66"/>
      <c r="AB70" s="44"/>
      <c r="AC70" s="73"/>
      <c r="AD70" s="73"/>
      <c r="AE70" s="73"/>
      <c r="AF70" s="73"/>
      <c r="AG70" s="63">
        <f t="shared" si="54"/>
        <v>0.7884000000000001</v>
      </c>
      <c r="AH70" s="67"/>
      <c r="AI70" s="67">
        <v>2019</v>
      </c>
      <c r="AJ70" s="67">
        <v>25</v>
      </c>
      <c r="AL70" s="109"/>
      <c r="AM70" s="108" t="str">
        <f>C70</f>
        <v>R-SW_Att_HVO_N1</v>
      </c>
      <c r="AN70" s="108" t="str">
        <f>D70</f>
        <v>Residential  Hydrotreated vegetable oil - New 1 SH + WH</v>
      </c>
      <c r="AO70" s="109" t="s">
        <v>13</v>
      </c>
      <c r="AP70" s="109" t="s">
        <v>180</v>
      </c>
      <c r="AQ70" s="109"/>
      <c r="AR70" s="109" t="s">
        <v>75</v>
      </c>
    </row>
    <row r="71" spans="3:44" ht="15.75" thickBot="1" x14ac:dyDescent="0.3">
      <c r="C71" s="33" t="s">
        <v>275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36"/>
      <c r="AC71" s="36"/>
      <c r="AD71" s="36"/>
      <c r="AE71" s="36"/>
      <c r="AF71" s="36"/>
      <c r="AG71" s="33"/>
      <c r="AH71" s="34"/>
      <c r="AI71" s="34"/>
      <c r="AJ71" s="34"/>
      <c r="AL71" s="110"/>
      <c r="AM71" s="111" t="str">
        <f>C72</f>
        <v>R-SH_Att_ELC_N1</v>
      </c>
      <c r="AN71" s="111" t="str">
        <f>D72</f>
        <v>Residential Electric Heater - New 1 SH</v>
      </c>
      <c r="AO71" s="110" t="s">
        <v>13</v>
      </c>
      <c r="AP71" s="110" t="s">
        <v>180</v>
      </c>
      <c r="AQ71" s="110"/>
      <c r="AR71" s="110" t="s">
        <v>75</v>
      </c>
    </row>
    <row r="72" spans="3:44" ht="15" x14ac:dyDescent="0.25">
      <c r="C72" s="96" t="str">
        <f>"R-SH_Att"&amp;"_"&amp;RIGHT(E72,3)&amp;"_N1"</f>
        <v>R-SH_Att_ELC_N1</v>
      </c>
      <c r="D72" s="80" t="s">
        <v>107</v>
      </c>
      <c r="E72" s="121" t="s">
        <v>153</v>
      </c>
      <c r="F72" s="121"/>
      <c r="G72" s="81" t="s">
        <v>727</v>
      </c>
      <c r="H72" s="249">
        <v>1</v>
      </c>
      <c r="I72" s="250">
        <v>1</v>
      </c>
      <c r="J72" s="250">
        <v>1</v>
      </c>
      <c r="K72" s="251">
        <v>1</v>
      </c>
      <c r="L72" s="74"/>
      <c r="M72" s="75"/>
      <c r="N72" s="75"/>
      <c r="O72" s="76"/>
      <c r="P72" s="74"/>
      <c r="Q72" s="75"/>
      <c r="R72" s="75"/>
      <c r="S72" s="76"/>
      <c r="T72" s="77">
        <v>20</v>
      </c>
      <c r="U72" s="78"/>
      <c r="V72" s="79">
        <f>(JRC_Data!BB48/1000)*($U$162/$U$161)</f>
        <v>4.0495867768595044</v>
      </c>
      <c r="W72" s="79">
        <f>(JRC_Data!BC48/1000)*($U$162/$U$161)</f>
        <v>4.0495867768595044</v>
      </c>
      <c r="X72" s="79">
        <f>(JRC_Data!BD48/1000)*($U$162/$U$161)</f>
        <v>4.0495867768595044</v>
      </c>
      <c r="Y72" s="79">
        <f>(JRC_Data!BE48/1000)*($U$162/$U$161)</f>
        <v>4.0495867768595044</v>
      </c>
      <c r="Z72" s="82">
        <f>JRC_Data!BL48/1000</f>
        <v>0.05</v>
      </c>
      <c r="AA72" s="83"/>
      <c r="AB72" s="84"/>
      <c r="AC72" s="84"/>
      <c r="AD72" s="84"/>
      <c r="AE72" s="84"/>
      <c r="AF72" s="84"/>
      <c r="AG72" s="82">
        <f t="shared" si="54"/>
        <v>0.63072000000000006</v>
      </c>
      <c r="AH72" s="83"/>
      <c r="AI72" s="83">
        <v>2019</v>
      </c>
      <c r="AJ72" s="83">
        <v>20</v>
      </c>
      <c r="AL72" s="104"/>
      <c r="AM72" s="103" t="str">
        <f t="shared" ref="AM72:AN78" si="75">C74</f>
        <v>R-SH_Att_ELC_HPN1</v>
      </c>
      <c r="AN72" s="103" t="str">
        <f t="shared" si="75"/>
        <v>Residential Electric Heat Pump - Air to Air - SH</v>
      </c>
      <c r="AO72" s="104" t="s">
        <v>13</v>
      </c>
      <c r="AP72" s="104" t="s">
        <v>180</v>
      </c>
      <c r="AQ72" s="104"/>
      <c r="AR72" s="104" t="s">
        <v>75</v>
      </c>
    </row>
    <row r="73" spans="3:44" ht="15" x14ac:dyDescent="0.25">
      <c r="C73" s="33" t="s">
        <v>276</v>
      </c>
      <c r="D73" s="33"/>
      <c r="E73" s="34"/>
      <c r="F73" s="34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4"/>
      <c r="U73" s="34"/>
      <c r="V73" s="33"/>
      <c r="W73" s="33"/>
      <c r="X73" s="33"/>
      <c r="Y73" s="33"/>
      <c r="Z73" s="33"/>
      <c r="AA73" s="34"/>
      <c r="AB73" s="36"/>
      <c r="AC73" s="36"/>
      <c r="AD73" s="36"/>
      <c r="AE73" s="36"/>
      <c r="AF73" s="36"/>
      <c r="AG73" s="33"/>
      <c r="AH73" s="34"/>
      <c r="AI73" s="34"/>
      <c r="AJ73" s="34"/>
      <c r="AL73" s="106"/>
      <c r="AM73" s="105" t="str">
        <f t="shared" si="75"/>
        <v>R-HC_Att_ELC_HPN1</v>
      </c>
      <c r="AN73" s="105" t="str">
        <f t="shared" si="75"/>
        <v>Residential Electric Heat Pump - Air to Air - SH + SC</v>
      </c>
      <c r="AO73" s="106" t="s">
        <v>13</v>
      </c>
      <c r="AP73" s="106" t="s">
        <v>180</v>
      </c>
      <c r="AQ73" s="106"/>
      <c r="AR73" s="106" t="s">
        <v>75</v>
      </c>
    </row>
    <row r="74" spans="3:44" ht="15" x14ac:dyDescent="0.25">
      <c r="C74" s="19" t="str">
        <f>"R-SH_Att"&amp;"_"&amp;RIGHT(E74,3)&amp;"_HPN1"</f>
        <v>R-SH_Att_ELC_HPN1</v>
      </c>
      <c r="D74" s="20" t="s">
        <v>109</v>
      </c>
      <c r="E74" s="89" t="s">
        <v>153</v>
      </c>
      <c r="F74" s="89" t="s">
        <v>563</v>
      </c>
      <c r="G74" s="56" t="s">
        <v>727</v>
      </c>
      <c r="H74" s="19">
        <v>1</v>
      </c>
      <c r="I74" s="20">
        <f>JRC_Data!AD16/JRC_Data!$AC$16</f>
        <v>1.0666666666666667</v>
      </c>
      <c r="J74" s="20">
        <f>JRC_Data!AE16/JRC_Data!$AC$16</f>
        <v>1.2333333333333334</v>
      </c>
      <c r="K74" s="56">
        <f>JRC_Data!AF16/JRC_Data!$AC$16</f>
        <v>1.3333333333333333</v>
      </c>
      <c r="L74" s="19"/>
      <c r="M74" s="20"/>
      <c r="N74" s="20"/>
      <c r="O74" s="56"/>
      <c r="P74" s="19"/>
      <c r="Q74" s="20"/>
      <c r="R74" s="20"/>
      <c r="S74" s="56"/>
      <c r="T74" s="52">
        <v>20</v>
      </c>
      <c r="U74" s="48"/>
      <c r="V74" s="19">
        <f>(JRC_Data!BB16/1000)*($U$161/$U$162)</f>
        <v>2.1730612244897962</v>
      </c>
      <c r="W74" s="19">
        <f>(JRC_Data!BC16/1000)*($U$161/$U$162)</f>
        <v>2.0742857142857147</v>
      </c>
      <c r="X74" s="19">
        <f>(JRC_Data!BD16/1000)*($U$161/$U$162)</f>
        <v>1.8767346938775511</v>
      </c>
      <c r="Y74" s="85">
        <f>(JRC_Data!BE16/1000)*($U$161/$U$162)</f>
        <v>1.7779591836734696</v>
      </c>
      <c r="Z74" s="85">
        <f>JRC_Data!BL16/1000</f>
        <v>3.4000000000000002E-2</v>
      </c>
      <c r="AA74" s="85"/>
      <c r="AB74" s="85"/>
      <c r="AC74" s="85"/>
      <c r="AD74" s="85"/>
      <c r="AE74" s="85"/>
      <c r="AF74" s="85"/>
      <c r="AG74" s="85">
        <f t="shared" si="54"/>
        <v>0.220752</v>
      </c>
      <c r="AH74" s="88"/>
      <c r="AI74" s="88">
        <v>2100</v>
      </c>
      <c r="AJ74" s="88">
        <v>7</v>
      </c>
      <c r="AL74" s="106"/>
      <c r="AM74" s="105" t="str">
        <f t="shared" si="75"/>
        <v>R-SH_Att_ELC_HPN2</v>
      </c>
      <c r="AN74" s="105" t="str">
        <f t="shared" si="75"/>
        <v>Residential Electric Heat Pump - Air to Water - SH</v>
      </c>
      <c r="AO74" s="106" t="s">
        <v>13</v>
      </c>
      <c r="AP74" s="106" t="s">
        <v>180</v>
      </c>
      <c r="AQ74" s="106"/>
      <c r="AR74" s="106" t="s">
        <v>75</v>
      </c>
    </row>
    <row r="75" spans="3:44" ht="15" x14ac:dyDescent="0.25">
      <c r="C75" s="22" t="str">
        <f>"R-HC_Att"&amp;"_"&amp;RIGHT(E75,3)&amp;"_HPN1"</f>
        <v>R-HC_Att_ELC_HPN1</v>
      </c>
      <c r="D75" s="23" t="s">
        <v>110</v>
      </c>
      <c r="E75" s="24" t="s">
        <v>153</v>
      </c>
      <c r="F75" s="24" t="s">
        <v>563</v>
      </c>
      <c r="G75" s="57" t="s">
        <v>729</v>
      </c>
      <c r="H75" s="22">
        <v>1</v>
      </c>
      <c r="I75" s="23">
        <f>JRC_Data!AD16/JRC_Data!$AC$16</f>
        <v>1.0666666666666667</v>
      </c>
      <c r="J75" s="23">
        <f>JRC_Data!AE16/JRC_Data!$AC$16</f>
        <v>1.2333333333333334</v>
      </c>
      <c r="K75" s="57">
        <f>JRC_Data!AF16/JRC_Data!$AC$16</f>
        <v>1.3333333333333333</v>
      </c>
      <c r="L75" s="22">
        <v>1</v>
      </c>
      <c r="M75" s="23">
        <f>JRC_Data!AD16/JRC_Data!$AC$16</f>
        <v>1.0666666666666667</v>
      </c>
      <c r="N75" s="23">
        <f>JRC_Data!AE16/JRC_Data!$AC$16</f>
        <v>1.2333333333333334</v>
      </c>
      <c r="O75" s="57">
        <f>JRC_Data!AF16/JRC_Data!$AC$16</f>
        <v>1.3333333333333333</v>
      </c>
      <c r="P75" s="22"/>
      <c r="Q75" s="23"/>
      <c r="R75" s="23"/>
      <c r="S75" s="57"/>
      <c r="T75" s="53">
        <v>20</v>
      </c>
      <c r="U75" s="45"/>
      <c r="V75" s="22">
        <f>(JRC_Data!BB16/1000)*($U$162/$U$162)</f>
        <v>2.2000000000000002</v>
      </c>
      <c r="W75" s="22">
        <f>(JRC_Data!BC16/1000)*($U$162/$U$162)</f>
        <v>2.1</v>
      </c>
      <c r="X75" s="22">
        <f>(JRC_Data!BD16/1000)*($U$162/$U$162)</f>
        <v>1.9</v>
      </c>
      <c r="Y75" s="63">
        <f>(JRC_Data!BE16/1000)*($U$162/$U$162)</f>
        <v>1.8</v>
      </c>
      <c r="Z75" s="63">
        <f>JRC_Data!BL16/1000</f>
        <v>3.4000000000000002E-2</v>
      </c>
      <c r="AA75" s="63"/>
      <c r="AB75" s="63"/>
      <c r="AC75" s="63"/>
      <c r="AD75" s="63"/>
      <c r="AE75" s="63"/>
      <c r="AF75" s="63"/>
      <c r="AG75" s="63">
        <f t="shared" si="54"/>
        <v>0.26805600000000002</v>
      </c>
      <c r="AH75" s="66"/>
      <c r="AI75" s="66">
        <v>2100</v>
      </c>
      <c r="AJ75" s="66">
        <v>8.5</v>
      </c>
      <c r="AL75" s="106"/>
      <c r="AM75" s="105" t="str">
        <f t="shared" si="75"/>
        <v>R-SW_Att_ELC_HPN1</v>
      </c>
      <c r="AN75" s="105" t="str">
        <f t="shared" si="75"/>
        <v>Residential Electric Heat Pump - Air to Water - SH + WH</v>
      </c>
      <c r="AO75" s="106" t="s">
        <v>13</v>
      </c>
      <c r="AP75" s="106" t="s">
        <v>180</v>
      </c>
      <c r="AQ75" s="106"/>
      <c r="AR75" s="106" t="s">
        <v>75</v>
      </c>
    </row>
    <row r="76" spans="3:44" ht="15" x14ac:dyDescent="0.25">
      <c r="C76" s="40" t="str">
        <f>"R-SH_Att"&amp;"_"&amp;RIGHT(E76,3)&amp;"_HPN2"</f>
        <v>R-SH_Att_ELC_HPN2</v>
      </c>
      <c r="D76" s="29" t="s">
        <v>111</v>
      </c>
      <c r="E76" s="30" t="s">
        <v>153</v>
      </c>
      <c r="F76" s="30" t="s">
        <v>563</v>
      </c>
      <c r="G76" s="58" t="s">
        <v>727</v>
      </c>
      <c r="H76" s="40">
        <v>1</v>
      </c>
      <c r="I76" s="29">
        <f>JRC_Data!AD18/JRC_Data!$AC$16</f>
        <v>1.0999999999999999</v>
      </c>
      <c r="J76" s="29">
        <f>JRC_Data!AE18/JRC_Data!$AC$16</f>
        <v>1.2333333333333334</v>
      </c>
      <c r="K76" s="58">
        <f>JRC_Data!AF18/JRC_Data!$AC$16</f>
        <v>1.3333333333333333</v>
      </c>
      <c r="L76" s="40"/>
      <c r="M76" s="29"/>
      <c r="N76" s="29"/>
      <c r="O76" s="58"/>
      <c r="P76" s="40"/>
      <c r="Q76" s="29"/>
      <c r="R76" s="29"/>
      <c r="S76" s="58"/>
      <c r="T76" s="54">
        <v>20</v>
      </c>
      <c r="U76" s="43"/>
      <c r="V76" s="379">
        <v>8.5299999999999994</v>
      </c>
      <c r="W76" s="379">
        <f>V76*0.91</f>
        <v>7.7622999999999998</v>
      </c>
      <c r="X76" s="379">
        <f>W76*0.91</f>
        <v>7.0636929999999998</v>
      </c>
      <c r="Y76" s="379">
        <f>V76*0.82</f>
        <v>6.9945999999999993</v>
      </c>
      <c r="Z76" s="379">
        <v>0.1</v>
      </c>
      <c r="AA76" s="62"/>
      <c r="AB76" s="62"/>
      <c r="AC76" s="62"/>
      <c r="AD76" s="62"/>
      <c r="AE76" s="62"/>
      <c r="AF76" s="62"/>
      <c r="AG76" s="62">
        <f t="shared" si="54"/>
        <v>0.220752</v>
      </c>
      <c r="AH76" s="65"/>
      <c r="AI76" s="65">
        <v>2019</v>
      </c>
      <c r="AJ76" s="65">
        <v>7</v>
      </c>
      <c r="AL76" s="212"/>
      <c r="AM76" s="105" t="str">
        <f t="shared" si="75"/>
        <v>R-SW_Att_ELC_HPN2</v>
      </c>
      <c r="AN76" s="105" t="str">
        <f t="shared" si="75"/>
        <v>Residential Electric Heat Pump - Air to Water - SH + WH + Solar</v>
      </c>
      <c r="AO76" s="106" t="s">
        <v>13</v>
      </c>
      <c r="AP76" s="106" t="s">
        <v>180</v>
      </c>
      <c r="AQ76" s="106"/>
      <c r="AR76" s="106" t="s">
        <v>75</v>
      </c>
    </row>
    <row r="77" spans="3:44" ht="15" x14ac:dyDescent="0.25">
      <c r="C77" s="22" t="str">
        <f>"R-SW_Att"&amp;"_"&amp;RIGHT(E77,3)&amp;"_HPN1"</f>
        <v>R-SW_Att_ELC_HPN1</v>
      </c>
      <c r="D77" s="23" t="s">
        <v>112</v>
      </c>
      <c r="E77" s="24" t="s">
        <v>153</v>
      </c>
      <c r="F77" s="24" t="s">
        <v>666</v>
      </c>
      <c r="G77" s="57" t="s">
        <v>728</v>
      </c>
      <c r="H77" s="22">
        <v>1</v>
      </c>
      <c r="I77" s="23">
        <f>JRC_Data!AD18/JRC_Data!$AC$16</f>
        <v>1.0999999999999999</v>
      </c>
      <c r="J77" s="23">
        <f>JRC_Data!AE18/JRC_Data!$AC$16</f>
        <v>1.2333333333333334</v>
      </c>
      <c r="K77" s="57">
        <f>JRC_Data!AF18/JRC_Data!$AC$16</f>
        <v>1.3333333333333333</v>
      </c>
      <c r="L77" s="22"/>
      <c r="M77" s="23"/>
      <c r="N77" s="23"/>
      <c r="O77" s="57"/>
      <c r="P77" s="22">
        <f>H77*0.7</f>
        <v>0.7</v>
      </c>
      <c r="Q77" s="23">
        <f t="shared" ref="Q77:Q78" si="76">I77*0.7</f>
        <v>0.76999999999999991</v>
      </c>
      <c r="R77" s="23">
        <f t="shared" ref="R77:R78" si="77">J77*0.7</f>
        <v>0.86333333333333329</v>
      </c>
      <c r="S77" s="57">
        <f t="shared" ref="S77:S78" si="78">K77*0.7</f>
        <v>0.93333333333333324</v>
      </c>
      <c r="T77" s="53">
        <v>20</v>
      </c>
      <c r="U77" s="45"/>
      <c r="V77" s="380">
        <f>V76*($U$160/$U$159)</f>
        <v>8.6019831223628689</v>
      </c>
      <c r="W77" s="380">
        <f>W76*($U$160/$U$159)</f>
        <v>7.8278046413502116</v>
      </c>
      <c r="X77" s="380">
        <f>X76*($U$160/$U$159)</f>
        <v>7.1233022236286923</v>
      </c>
      <c r="Y77" s="380">
        <f>Y76*($U$160/$U$159)</f>
        <v>7.0536261603375525</v>
      </c>
      <c r="Z77" s="380">
        <v>0.1</v>
      </c>
      <c r="AA77" s="63"/>
      <c r="AB77" s="63"/>
      <c r="AC77" s="63"/>
      <c r="AD77" s="63"/>
      <c r="AE77" s="63"/>
      <c r="AF77" s="63"/>
      <c r="AG77" s="63">
        <f t="shared" si="54"/>
        <v>0.26805600000000002</v>
      </c>
      <c r="AH77" s="66"/>
      <c r="AI77" s="66">
        <v>2019</v>
      </c>
      <c r="AJ77" s="66">
        <v>8.5</v>
      </c>
      <c r="AL77" s="212"/>
      <c r="AM77" s="105" t="str">
        <f t="shared" si="75"/>
        <v>R-SH_Att_ELC_HPN3</v>
      </c>
      <c r="AN77" s="105" t="str">
        <f t="shared" si="75"/>
        <v>Residential Electric Heat Pump - Ground to Water - SH</v>
      </c>
      <c r="AO77" s="106" t="s">
        <v>13</v>
      </c>
      <c r="AP77" s="106" t="s">
        <v>180</v>
      </c>
      <c r="AQ77" s="106"/>
      <c r="AR77" s="106" t="s">
        <v>75</v>
      </c>
    </row>
    <row r="78" spans="3:44" ht="15.75" thickBot="1" x14ac:dyDescent="0.3">
      <c r="C78" s="40" t="str">
        <f>"R-SW_Att"&amp;"_"&amp;RIGHT(E78,3)&amp;"_HPN2"</f>
        <v>R-SW_Att_ELC_HPN2</v>
      </c>
      <c r="D78" s="29" t="s">
        <v>113</v>
      </c>
      <c r="E78" s="30" t="s">
        <v>555</v>
      </c>
      <c r="F78" s="30" t="s">
        <v>666</v>
      </c>
      <c r="G78" s="58" t="s">
        <v>728</v>
      </c>
      <c r="H78" s="40">
        <v>1</v>
      </c>
      <c r="I78" s="29">
        <v>1.1100000000000001</v>
      </c>
      <c r="J78" s="29">
        <v>1.19</v>
      </c>
      <c r="K78" s="58">
        <v>1.19</v>
      </c>
      <c r="L78" s="40"/>
      <c r="M78" s="29"/>
      <c r="N78" s="29"/>
      <c r="O78" s="58"/>
      <c r="P78" s="40">
        <f>H78*0.7</f>
        <v>0.7</v>
      </c>
      <c r="Q78" s="29">
        <f t="shared" si="76"/>
        <v>0.77700000000000002</v>
      </c>
      <c r="R78" s="29">
        <f t="shared" si="77"/>
        <v>0.83299999999999996</v>
      </c>
      <c r="S78" s="58">
        <f t="shared" si="78"/>
        <v>0.83299999999999996</v>
      </c>
      <c r="T78" s="54">
        <v>20</v>
      </c>
      <c r="U78" s="43"/>
      <c r="V78" s="40">
        <f>((JRC_Data!BB18+JRC_Data!BB45)*0.8/1000)*($U$162/$U$161)</f>
        <v>13.282644628099174</v>
      </c>
      <c r="W78" s="40">
        <f>((JRC_Data!BC18+JRC_Data!BC45)*0.8/1000)*($U$162/$U$161)</f>
        <v>12.229752066115703</v>
      </c>
      <c r="X78" s="40">
        <f>((JRC_Data!BD18+JRC_Data!BD45)*0.8/1000)*($U$162/$U$161)</f>
        <v>11.824793388429752</v>
      </c>
      <c r="Y78" s="62">
        <f>((JRC_Data!BE18+JRC_Data!BE45)*0.8/1000)*($U$162/$U$161)</f>
        <v>10.285950413223141</v>
      </c>
      <c r="Z78" s="62">
        <f>((JRC_Data!BL18+JRC_Data!BL45)*0.8)/1000</f>
        <v>0.16960000000000003</v>
      </c>
      <c r="AA78" s="62"/>
      <c r="AB78" s="72">
        <v>0.66</v>
      </c>
      <c r="AC78" s="62"/>
      <c r="AD78" s="62"/>
      <c r="AE78" s="62"/>
      <c r="AF78" s="216">
        <v>5</v>
      </c>
      <c r="AG78" s="62">
        <f t="shared" si="54"/>
        <v>0.26805600000000002</v>
      </c>
      <c r="AH78" s="65"/>
      <c r="AI78" s="65">
        <v>2019</v>
      </c>
      <c r="AJ78" s="65">
        <v>8.5</v>
      </c>
      <c r="AL78" s="112"/>
      <c r="AM78" s="108" t="str">
        <f t="shared" si="75"/>
        <v>R-HC_Att_ELC_HPN2</v>
      </c>
      <c r="AN78" s="108" t="str">
        <f t="shared" si="75"/>
        <v>Residential Electric Heat Pump - Ground to Water - SH + SC</v>
      </c>
      <c r="AO78" s="109" t="s">
        <v>13</v>
      </c>
      <c r="AP78" s="109" t="s">
        <v>180</v>
      </c>
      <c r="AQ78" s="109"/>
      <c r="AR78" s="109" t="s">
        <v>75</v>
      </c>
    </row>
    <row r="79" spans="3:44" ht="15" x14ac:dyDescent="0.25">
      <c r="C79" s="22" t="str">
        <f>"R-SH_Att"&amp;"_"&amp;RIGHT(E79,3)&amp;"_HPN3"</f>
        <v>R-SH_Att_ELC_HPN3</v>
      </c>
      <c r="D79" s="23" t="s">
        <v>114</v>
      </c>
      <c r="E79" s="24" t="s">
        <v>153</v>
      </c>
      <c r="F79" s="24" t="s">
        <v>563</v>
      </c>
      <c r="G79" s="57" t="s">
        <v>727</v>
      </c>
      <c r="H79" s="22">
        <f>JRC_Data!AC20/JRC_Data!$AC$16</f>
        <v>1.0999999999999999</v>
      </c>
      <c r="I79" s="23">
        <f>JRC_Data!AD20/JRC_Data!$AC$16</f>
        <v>1.1666666666666667</v>
      </c>
      <c r="J79" s="23">
        <f>JRC_Data!AE20/JRC_Data!$AC$16</f>
        <v>1.3333333333333333</v>
      </c>
      <c r="K79" s="57">
        <f>JRC_Data!AF20/JRC_Data!$AC$16</f>
        <v>1.5</v>
      </c>
      <c r="L79" s="22"/>
      <c r="M79" s="23"/>
      <c r="N79" s="23"/>
      <c r="O79" s="57"/>
      <c r="P79" s="22"/>
      <c r="Q79" s="23"/>
      <c r="R79" s="23"/>
      <c r="S79" s="57"/>
      <c r="T79" s="53">
        <v>20</v>
      </c>
      <c r="U79" s="45"/>
      <c r="V79" s="22">
        <f>(JRC_Data!BB20/1000)*($U$161/$U$162)</f>
        <v>13.828571428571429</v>
      </c>
      <c r="W79" s="22">
        <f>(JRC_Data!BC20/1000)*($U$161/$U$162)</f>
        <v>12.840816326530613</v>
      </c>
      <c r="X79" s="22">
        <f>(JRC_Data!BD20/1000)*($U$161/$U$162)</f>
        <v>11.853061224489796</v>
      </c>
      <c r="Y79" s="63">
        <f>(JRC_Data!BE20/1000)*($U$161/$U$162)</f>
        <v>10.865306122448981</v>
      </c>
      <c r="Z79" s="63">
        <f>JRC_Data!BL20/1000</f>
        <v>0.2</v>
      </c>
      <c r="AA79" s="63"/>
      <c r="AB79" s="63"/>
      <c r="AC79" s="63"/>
      <c r="AD79" s="63"/>
      <c r="AE79" s="63"/>
      <c r="AF79" s="63"/>
      <c r="AG79" s="63">
        <f t="shared" si="54"/>
        <v>0.220752</v>
      </c>
      <c r="AH79" s="66"/>
      <c r="AI79" s="66">
        <v>2019</v>
      </c>
      <c r="AJ79" s="66">
        <v>7</v>
      </c>
      <c r="AL79" s="113"/>
      <c r="AM79" s="103" t="str">
        <f>C82</f>
        <v>R-SW_Att_GAS_HPN1</v>
      </c>
      <c r="AN79" s="103" t="str">
        <f>D82</f>
        <v>Residential Gas Absorption Heat Pump - Air to Water - SH + WH</v>
      </c>
      <c r="AO79" s="104" t="s">
        <v>13</v>
      </c>
      <c r="AP79" s="104" t="s">
        <v>180</v>
      </c>
      <c r="AQ79" s="104"/>
      <c r="AR79" s="104" t="s">
        <v>75</v>
      </c>
    </row>
    <row r="80" spans="3:44" ht="15.75" thickBot="1" x14ac:dyDescent="0.3">
      <c r="C80" s="94" t="str">
        <f>"R-HC_Att"&amp;"_"&amp;RIGHT(E80,3)&amp;"_HPN2"</f>
        <v>R-HC_Att_ELC_HPN2</v>
      </c>
      <c r="D80" s="90" t="s">
        <v>115</v>
      </c>
      <c r="E80" s="119" t="s">
        <v>153</v>
      </c>
      <c r="F80" s="119" t="s">
        <v>563</v>
      </c>
      <c r="G80" s="95" t="s">
        <v>729</v>
      </c>
      <c r="H80" s="94">
        <f>JRC_Data!AC20/JRC_Data!$AC$16</f>
        <v>1.0999999999999999</v>
      </c>
      <c r="I80" s="90">
        <f>JRC_Data!AD20/JRC_Data!$AC$16</f>
        <v>1.1666666666666667</v>
      </c>
      <c r="J80" s="90">
        <f>JRC_Data!AE20/JRC_Data!$AC$16</f>
        <v>1.3333333333333333</v>
      </c>
      <c r="K80" s="95">
        <f>JRC_Data!AF20/JRC_Data!$AC$16</f>
        <v>1.5</v>
      </c>
      <c r="L80" s="94">
        <f>JRC_Data!AC20/JRC_Data!$AC$16</f>
        <v>1.0999999999999999</v>
      </c>
      <c r="M80" s="90">
        <f>JRC_Data!AD20/JRC_Data!$AC$16</f>
        <v>1.1666666666666667</v>
      </c>
      <c r="N80" s="90">
        <f>JRC_Data!AE20/JRC_Data!$AC$16</f>
        <v>1.3333333333333333</v>
      </c>
      <c r="O80" s="95">
        <f>JRC_Data!AF20/JRC_Data!$AC$16</f>
        <v>1.5</v>
      </c>
      <c r="P80" s="94"/>
      <c r="Q80" s="90"/>
      <c r="R80" s="90"/>
      <c r="S80" s="95"/>
      <c r="T80" s="101">
        <v>20</v>
      </c>
      <c r="U80" s="102"/>
      <c r="V80" s="94">
        <f>(JRC_Data!BB20/1000)*($U$162/$U$162)</f>
        <v>14</v>
      </c>
      <c r="W80" s="94">
        <f>(JRC_Data!BC20/1000)*($U$162/$U$162)</f>
        <v>13</v>
      </c>
      <c r="X80" s="94">
        <f>(JRC_Data!BD20/1000)*($U$162/$U$162)</f>
        <v>12</v>
      </c>
      <c r="Y80" s="86">
        <f>(JRC_Data!BE20/1000)*($U$162/$U$162)</f>
        <v>11</v>
      </c>
      <c r="Z80" s="86">
        <f>JRC_Data!BL20/1000</f>
        <v>0.2</v>
      </c>
      <c r="AA80" s="86"/>
      <c r="AB80" s="86"/>
      <c r="AC80" s="86"/>
      <c r="AD80" s="86"/>
      <c r="AE80" s="86"/>
      <c r="AF80" s="86"/>
      <c r="AG80" s="86">
        <f t="shared" si="54"/>
        <v>0.26805600000000002</v>
      </c>
      <c r="AH80" s="91"/>
      <c r="AI80" s="91">
        <v>2019</v>
      </c>
      <c r="AJ80" s="91">
        <v>8.5</v>
      </c>
      <c r="AL80" s="213"/>
      <c r="AM80" s="108" t="str">
        <f>C83</f>
        <v>R-SW_Att_GAS_HPN2</v>
      </c>
      <c r="AN80" s="108" t="str">
        <f>D83</f>
        <v>Residential Gas Engine Heat Pump - Air to Water - SH + WH</v>
      </c>
      <c r="AO80" s="109" t="s">
        <v>13</v>
      </c>
      <c r="AP80" s="109" t="s">
        <v>180</v>
      </c>
      <c r="AQ80" s="109"/>
      <c r="AR80" s="109" t="s">
        <v>75</v>
      </c>
    </row>
    <row r="81" spans="3:44" ht="15.75" thickBot="1" x14ac:dyDescent="0.3">
      <c r="C81" s="33" t="s">
        <v>277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87"/>
      <c r="AB81" s="36"/>
      <c r="AC81" s="36"/>
      <c r="AD81" s="36"/>
      <c r="AE81" s="36"/>
      <c r="AF81" s="36"/>
      <c r="AG81" s="33"/>
      <c r="AH81" s="34"/>
      <c r="AI81" s="34"/>
      <c r="AJ81" s="34"/>
      <c r="AL81" s="214"/>
      <c r="AM81" s="111" t="str">
        <f>C85</f>
        <v>R-SW_Att_GAS_HHPN1</v>
      </c>
      <c r="AN81" s="111" t="str">
        <f>D85</f>
        <v>Residential Gas Hybrid Heat Pump - Air to Water - SH + WH</v>
      </c>
      <c r="AO81" s="110" t="s">
        <v>13</v>
      </c>
      <c r="AP81" s="110" t="s">
        <v>180</v>
      </c>
      <c r="AQ81" s="110"/>
      <c r="AR81" s="110" t="s">
        <v>75</v>
      </c>
    </row>
    <row r="82" spans="3:44" ht="15" x14ac:dyDescent="0.25">
      <c r="C82" s="19" t="str">
        <f>"R-SW_Att"&amp;"_"&amp;RIGHT(E82,3)&amp;"_HPN1"</f>
        <v>R-SW_Att_GAS_HPN1</v>
      </c>
      <c r="D82" s="20" t="s">
        <v>116</v>
      </c>
      <c r="E82" s="89" t="s">
        <v>700</v>
      </c>
      <c r="F82" s="89" t="s">
        <v>666</v>
      </c>
      <c r="G82" s="89" t="s">
        <v>728</v>
      </c>
      <c r="H82" s="379">
        <f>JRC_Data!AC28/0.81</f>
        <v>1.6666666666666667</v>
      </c>
      <c r="I82" s="379">
        <f>JRC_Data!AD28/0.81</f>
        <v>1.7901234567901232</v>
      </c>
      <c r="J82" s="379">
        <f>JRC_Data!AE28/0.81</f>
        <v>2.0987654320987654</v>
      </c>
      <c r="K82" s="379">
        <f>JRC_Data!AF28/0.81</f>
        <v>2.0987654320987654</v>
      </c>
      <c r="L82" s="46"/>
      <c r="M82" s="47"/>
      <c r="N82" s="47"/>
      <c r="O82" s="48"/>
      <c r="P82" s="19">
        <f>H82*0.7</f>
        <v>1.1666666666666667</v>
      </c>
      <c r="Q82" s="20">
        <f t="shared" ref="Q82:Q83" si="79">I82*0.7</f>
        <v>1.2530864197530862</v>
      </c>
      <c r="R82" s="20">
        <f t="shared" ref="R82:R83" si="80">J82*0.7</f>
        <v>1.4691358024691357</v>
      </c>
      <c r="S82" s="56">
        <f t="shared" ref="S82:S83" si="81">K82*0.7</f>
        <v>1.4691358024691357</v>
      </c>
      <c r="T82" s="89">
        <v>20</v>
      </c>
      <c r="U82" s="48"/>
      <c r="V82" s="19">
        <f>(JRC_Data!BB28/1000)*($U$162/$U$163)</f>
        <v>14.756756756756756</v>
      </c>
      <c r="W82" s="19">
        <f>(JRC_Data!BC28/1000)*($U$162/$U$163)</f>
        <v>13.810810810810811</v>
      </c>
      <c r="X82" s="19">
        <f>(JRC_Data!BD28/1000)*($U$162/$U$163)</f>
        <v>11.918918918918919</v>
      </c>
      <c r="Y82" s="85">
        <f>(JRC_Data!BE28/1000)*($U$162/$U$163)</f>
        <v>11.918918918918919</v>
      </c>
      <c r="Z82" s="85">
        <f>JRC_Data!BL28/1000</f>
        <v>0.23499999999999999</v>
      </c>
      <c r="AA82" s="85"/>
      <c r="AB82" s="56"/>
      <c r="AC82" s="85"/>
      <c r="AD82" s="85"/>
      <c r="AE82" s="85"/>
      <c r="AF82" s="85"/>
      <c r="AG82" s="85">
        <f t="shared" si="54"/>
        <v>0.7884000000000001</v>
      </c>
      <c r="AH82" s="88"/>
      <c r="AI82" s="88">
        <v>2019</v>
      </c>
      <c r="AJ82" s="88">
        <v>25</v>
      </c>
      <c r="AL82" s="215"/>
      <c r="AM82" s="103" t="str">
        <f>C87</f>
        <v>R-SW_Att_HET_N1</v>
      </c>
      <c r="AN82" s="103" t="str">
        <f>D87</f>
        <v>Residential District Heating Centralized - SH + WH</v>
      </c>
      <c r="AO82" s="104" t="s">
        <v>13</v>
      </c>
      <c r="AP82" s="104" t="s">
        <v>180</v>
      </c>
      <c r="AQ82" s="104"/>
      <c r="AR82" s="104" t="s">
        <v>75</v>
      </c>
    </row>
    <row r="83" spans="3:44" ht="15.75" thickBot="1" x14ac:dyDescent="0.3">
      <c r="C83" s="252" t="str">
        <f>"R-SW_Att"&amp;"_"&amp;RIGHT(E83,3)&amp;"_HPN2"</f>
        <v>R-SW_Att_GAS_HPN2</v>
      </c>
      <c r="D83" s="26" t="s">
        <v>117</v>
      </c>
      <c r="E83" s="27" t="s">
        <v>700</v>
      </c>
      <c r="F83" s="27" t="s">
        <v>666</v>
      </c>
      <c r="G83" s="27" t="s">
        <v>728</v>
      </c>
      <c r="H83" s="380">
        <f>JRC_Data!AC30/0.9</f>
        <v>1.6666666666666665</v>
      </c>
      <c r="I83" s="380">
        <f>JRC_Data!AD30/0.9</f>
        <v>1.7222222222222223</v>
      </c>
      <c r="J83" s="380">
        <f>JRC_Data!AE30/0.9</f>
        <v>1.7222222222222223</v>
      </c>
      <c r="K83" s="380">
        <f>JRC_Data!AF30/0.9</f>
        <v>1.7777777777777779</v>
      </c>
      <c r="L83" s="49"/>
      <c r="M83" s="50"/>
      <c r="N83" s="50"/>
      <c r="O83" s="51"/>
      <c r="P83" s="252">
        <f>H83*0.7</f>
        <v>1.1666666666666665</v>
      </c>
      <c r="Q83" s="26">
        <f t="shared" si="79"/>
        <v>1.2055555555555555</v>
      </c>
      <c r="R83" s="26">
        <f t="shared" si="80"/>
        <v>1.2055555555555555</v>
      </c>
      <c r="S83" s="59">
        <f t="shared" si="81"/>
        <v>1.2444444444444445</v>
      </c>
      <c r="T83" s="27">
        <v>15</v>
      </c>
      <c r="U83" s="51"/>
      <c r="V83" s="252">
        <f>(JRC_Data!BB30/1000)*($U$162/$U$163)</f>
        <v>44.932432432432435</v>
      </c>
      <c r="W83" s="252">
        <f>(JRC_Data!BC30/1000)*($U$162/$U$163)</f>
        <v>44.932432432432435</v>
      </c>
      <c r="X83" s="252">
        <f>(JRC_Data!BD30/1000)*($U$162/$U$163)</f>
        <v>44.932432432432435</v>
      </c>
      <c r="Y83" s="64">
        <f>(JRC_Data!BE30/1000)*($U$162/$U$163)</f>
        <v>44.932432432432435</v>
      </c>
      <c r="Z83" s="64">
        <f>JRC_Data!BL28/1000</f>
        <v>0.23499999999999999</v>
      </c>
      <c r="AA83" s="64"/>
      <c r="AB83" s="59"/>
      <c r="AC83" s="64"/>
      <c r="AD83" s="64"/>
      <c r="AE83" s="64"/>
      <c r="AF83" s="64"/>
      <c r="AG83" s="64">
        <f>31.536*(AJ83/1000)</f>
        <v>0.7884000000000001</v>
      </c>
      <c r="AH83" s="67"/>
      <c r="AI83" s="67">
        <v>2019</v>
      </c>
      <c r="AJ83" s="67">
        <v>25</v>
      </c>
      <c r="AL83" s="114"/>
      <c r="AM83" s="108" t="str">
        <f>C88</f>
        <v>R-SW_Att_HET_N2</v>
      </c>
      <c r="AN83" s="108" t="str">
        <f>D88</f>
        <v>Residential District Heating Decentralized - SH + WH</v>
      </c>
      <c r="AO83" s="109" t="s">
        <v>13</v>
      </c>
      <c r="AP83" s="109" t="s">
        <v>180</v>
      </c>
      <c r="AQ83" s="109"/>
      <c r="AR83" s="109" t="s">
        <v>75</v>
      </c>
    </row>
    <row r="84" spans="3:44" ht="15" x14ac:dyDescent="0.25">
      <c r="C84" s="33" t="s">
        <v>108</v>
      </c>
      <c r="D84" s="33"/>
      <c r="E84" s="34"/>
      <c r="F84" s="34"/>
      <c r="G84" s="34"/>
      <c r="H84" s="34"/>
      <c r="I84" s="34"/>
      <c r="J84" s="34"/>
      <c r="K84" s="34"/>
      <c r="L84" s="35"/>
      <c r="M84" s="35"/>
      <c r="N84" s="35"/>
      <c r="O84" s="35"/>
      <c r="P84" s="33"/>
      <c r="Q84" s="33"/>
      <c r="R84" s="33"/>
      <c r="S84" s="33"/>
      <c r="T84" s="34"/>
      <c r="U84" s="34"/>
      <c r="V84" s="33"/>
      <c r="W84" s="33"/>
      <c r="X84" s="33"/>
      <c r="Y84" s="33"/>
      <c r="Z84" s="33"/>
      <c r="AA84" s="34"/>
      <c r="AB84" s="36"/>
      <c r="AC84" s="36"/>
      <c r="AD84" s="36"/>
      <c r="AE84" s="36"/>
      <c r="AF84" s="36"/>
      <c r="AG84" s="33"/>
      <c r="AH84" s="34"/>
      <c r="AI84" s="34"/>
      <c r="AJ84" s="34"/>
      <c r="AL84" s="215"/>
      <c r="AM84" s="103" t="str">
        <f>C90</f>
        <v>R-WH_Att_ELC_N1</v>
      </c>
      <c r="AN84" s="103" t="str">
        <f>D90</f>
        <v xml:space="preserve">Residential Electric Water Heater </v>
      </c>
      <c r="AO84" s="104" t="s">
        <v>13</v>
      </c>
      <c r="AP84" s="104" t="s">
        <v>180</v>
      </c>
      <c r="AQ84" s="104"/>
      <c r="AR84" s="104" t="s">
        <v>75</v>
      </c>
    </row>
    <row r="85" spans="3:44" ht="15.75" thickBot="1" x14ac:dyDescent="0.3">
      <c r="C85" s="96" t="str">
        <f>"R-SW_Att"&amp;"_"&amp;RIGHT(E85,3)&amp;"_HHPN1"</f>
        <v>R-SW_Att_GAS_HHPN1</v>
      </c>
      <c r="D85" s="80" t="s">
        <v>125</v>
      </c>
      <c r="E85" s="121" t="s">
        <v>701</v>
      </c>
      <c r="F85" s="121" t="s">
        <v>666</v>
      </c>
      <c r="G85" s="98" t="s">
        <v>728</v>
      </c>
      <c r="H85" s="379">
        <f>1*$AD$38+JRC_Data!AD18*(1.2-$AD$38)</f>
        <v>3.1549999999999998</v>
      </c>
      <c r="I85" s="379">
        <f>1*$AD$38+JRC_Data!AE18*(1.2-$AD$38)</f>
        <v>3.4950000000000001</v>
      </c>
      <c r="J85" s="379">
        <f>1*$AD$38+JRC_Data!AF18*(1.2-$AD$38)</f>
        <v>3.75</v>
      </c>
      <c r="K85" s="379">
        <f>1*$AD$38+JRC_Data!AG18*(1.2-$AD$38)</f>
        <v>3.75</v>
      </c>
      <c r="L85" s="49"/>
      <c r="M85" s="50"/>
      <c r="N85" s="50"/>
      <c r="O85" s="51"/>
      <c r="P85" s="252">
        <f>H85*0.7</f>
        <v>2.2084999999999999</v>
      </c>
      <c r="Q85" s="26">
        <f t="shared" ref="Q85" si="82">I85*0.7</f>
        <v>2.4464999999999999</v>
      </c>
      <c r="R85" s="26">
        <f t="shared" ref="R85" si="83">J85*0.7</f>
        <v>2.625</v>
      </c>
      <c r="S85" s="59">
        <f t="shared" ref="S85" si="84">K85*0.7</f>
        <v>2.625</v>
      </c>
      <c r="T85" s="3">
        <v>20</v>
      </c>
      <c r="V85" s="79">
        <f>(V77+V60)*0.8</f>
        <v>9.5138179028489738</v>
      </c>
      <c r="W85" s="79">
        <f t="shared" ref="W85:Y85" si="85">(W77+W60)*0.8</f>
        <v>8.8944751180388462</v>
      </c>
      <c r="X85" s="79">
        <f t="shared" si="85"/>
        <v>8.3308731838616321</v>
      </c>
      <c r="Y85" s="79">
        <f t="shared" si="85"/>
        <v>8.2751323332287203</v>
      </c>
      <c r="Z85" s="371">
        <f>(JRC_Data!BL9+JRC_Data!BL18)*0.8/1000</f>
        <v>0.308</v>
      </c>
      <c r="AA85" s="83"/>
      <c r="AB85" s="84"/>
      <c r="AC85" s="84"/>
      <c r="AD85" s="84">
        <v>0.35</v>
      </c>
      <c r="AE85" s="73">
        <f>AD85</f>
        <v>0.35</v>
      </c>
      <c r="AF85" s="83">
        <v>5</v>
      </c>
      <c r="AG85" s="82">
        <f t="shared" si="54"/>
        <v>0.45017639999999998</v>
      </c>
      <c r="AH85" s="83"/>
      <c r="AI85" s="83">
        <v>2019</v>
      </c>
      <c r="AJ85" s="83">
        <f>AJ60*AD85+AJ78*(1-AD85)</f>
        <v>14.275</v>
      </c>
      <c r="AL85" s="2"/>
      <c r="AM85" s="105" t="str">
        <f>C91</f>
        <v>R-WH_Att_SOL_N1</v>
      </c>
      <c r="AN85" s="105" t="str">
        <f>D91</f>
        <v xml:space="preserve">Residential Solar Water Heater </v>
      </c>
      <c r="AO85" s="106" t="s">
        <v>13</v>
      </c>
      <c r="AP85" s="106" t="s">
        <v>180</v>
      </c>
      <c r="AQ85" s="106"/>
      <c r="AR85" s="106" t="s">
        <v>75</v>
      </c>
    </row>
    <row r="86" spans="3:44" ht="15" x14ac:dyDescent="0.25">
      <c r="C86" s="33" t="s">
        <v>118</v>
      </c>
      <c r="D86" s="33"/>
      <c r="E86" s="34"/>
      <c r="F86" s="34"/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4"/>
      <c r="U86" s="34"/>
      <c r="V86" s="33"/>
      <c r="W86" s="33"/>
      <c r="X86" s="33"/>
      <c r="Y86" s="33"/>
      <c r="Z86" s="33"/>
      <c r="AA86" s="34"/>
      <c r="AB86" s="36"/>
      <c r="AC86" s="36"/>
      <c r="AD86" s="36"/>
      <c r="AE86" s="36"/>
      <c r="AF86" s="36"/>
      <c r="AG86" s="33"/>
      <c r="AH86" s="34"/>
      <c r="AI86" s="34"/>
      <c r="AJ86" s="34"/>
      <c r="AL86" s="2"/>
      <c r="AM86" s="105" t="str">
        <f>C93</f>
        <v>R-SC_Att_ELC_N1</v>
      </c>
      <c r="AN86" s="105" t="str">
        <f>D93</f>
        <v>Residential Electric Air Conditioning</v>
      </c>
      <c r="AO86" s="104" t="s">
        <v>13</v>
      </c>
      <c r="AP86" s="104" t="s">
        <v>180</v>
      </c>
      <c r="AQ86" s="104"/>
      <c r="AR86" s="104" t="s">
        <v>75</v>
      </c>
    </row>
    <row r="87" spans="3:44" x14ac:dyDescent="0.2">
      <c r="C87" s="19" t="str">
        <f>"R-SW_Att"&amp;"_"&amp;RIGHT(E87,3)&amp;"_N1"</f>
        <v>R-SW_Att_HET_N1</v>
      </c>
      <c r="D87" s="20" t="s">
        <v>119</v>
      </c>
      <c r="E87" s="89" t="s">
        <v>262</v>
      </c>
      <c r="F87" s="89"/>
      <c r="G87" s="89" t="s">
        <v>728</v>
      </c>
      <c r="H87" s="19">
        <v>1</v>
      </c>
      <c r="I87" s="20">
        <v>1</v>
      </c>
      <c r="J87" s="20">
        <v>1</v>
      </c>
      <c r="K87" s="56">
        <v>1</v>
      </c>
      <c r="L87" s="46"/>
      <c r="M87" s="47"/>
      <c r="N87" s="47"/>
      <c r="O87" s="48"/>
      <c r="P87" s="246">
        <v>1</v>
      </c>
      <c r="Q87" s="247">
        <v>1</v>
      </c>
      <c r="R87" s="247">
        <v>1</v>
      </c>
      <c r="S87" s="248">
        <v>1</v>
      </c>
      <c r="T87" s="52">
        <v>20</v>
      </c>
      <c r="U87" s="48"/>
      <c r="V87" s="19">
        <f>(JRC_Data!BB62/1000)*($U$162/$U$158)</f>
        <v>2.7222222222222219</v>
      </c>
      <c r="W87" s="19">
        <f>(JRC_Data!BC62/1000)*($U$162/$U$158)</f>
        <v>2.7222222222222219</v>
      </c>
      <c r="X87" s="19">
        <f>(JRC_Data!BD62/1000)*($U$162/$U$158)</f>
        <v>2.7222222222222219</v>
      </c>
      <c r="Y87" s="19">
        <f>(JRC_Data!BE62/1000)*($U$162/$U$158)</f>
        <v>2.7222222222222219</v>
      </c>
      <c r="Z87" s="85">
        <f>JRC_Data!BL62/1000</f>
        <v>0.15</v>
      </c>
      <c r="AA87" s="85"/>
      <c r="AB87" s="85"/>
      <c r="AC87" s="85"/>
      <c r="AD87" s="85"/>
      <c r="AE87" s="85"/>
      <c r="AF87" s="85"/>
      <c r="AG87" s="85">
        <f t="shared" si="54"/>
        <v>0.7884000000000001</v>
      </c>
      <c r="AH87" s="88"/>
      <c r="AI87" s="88">
        <v>2019</v>
      </c>
      <c r="AJ87" s="88">
        <v>25</v>
      </c>
    </row>
    <row r="88" spans="3:44" x14ac:dyDescent="0.2">
      <c r="C88" s="252" t="str">
        <f>"R-SW_Att"&amp;"_"&amp;RIGHT(E88,3)&amp;"_N2"</f>
        <v>R-SW_Att_HET_N2</v>
      </c>
      <c r="D88" s="26" t="s">
        <v>120</v>
      </c>
      <c r="E88" s="27" t="s">
        <v>262</v>
      </c>
      <c r="F88" s="27"/>
      <c r="G88" s="27" t="s">
        <v>728</v>
      </c>
      <c r="H88" s="252">
        <v>1</v>
      </c>
      <c r="I88" s="26">
        <v>1</v>
      </c>
      <c r="J88" s="26">
        <v>1</v>
      </c>
      <c r="K88" s="59">
        <v>1</v>
      </c>
      <c r="L88" s="49"/>
      <c r="M88" s="50"/>
      <c r="N88" s="50"/>
      <c r="O88" s="51"/>
      <c r="P88" s="253">
        <v>1</v>
      </c>
      <c r="Q88" s="254">
        <v>1</v>
      </c>
      <c r="R88" s="254">
        <v>1</v>
      </c>
      <c r="S88" s="255">
        <v>1</v>
      </c>
      <c r="T88" s="55">
        <v>20</v>
      </c>
      <c r="U88" s="51"/>
      <c r="V88" s="252">
        <f>(JRC_Data!BB62/1000)*($U$162/$U$158)</f>
        <v>2.7222222222222219</v>
      </c>
      <c r="W88" s="252">
        <f>(JRC_Data!BC62/1000)*($U$162/$U$158)</f>
        <v>2.7222222222222219</v>
      </c>
      <c r="X88" s="252">
        <f>(JRC_Data!BD62/1000)*($U$162/$U$158)</f>
        <v>2.7222222222222219</v>
      </c>
      <c r="Y88" s="252">
        <f>(JRC_Data!BE62/1000)*($U$162/$U$158)</f>
        <v>2.7222222222222219</v>
      </c>
      <c r="Z88" s="64">
        <f>JRC_Data!BL62/1000</f>
        <v>0.15</v>
      </c>
      <c r="AA88" s="64"/>
      <c r="AB88" s="64"/>
      <c r="AC88" s="64"/>
      <c r="AD88" s="64"/>
      <c r="AE88" s="64"/>
      <c r="AF88" s="64"/>
      <c r="AG88" s="64">
        <f t="shared" si="54"/>
        <v>0.7884000000000001</v>
      </c>
      <c r="AH88" s="67"/>
      <c r="AI88" s="67">
        <v>2019</v>
      </c>
      <c r="AJ88" s="67">
        <v>25</v>
      </c>
    </row>
    <row r="89" spans="3:44" x14ac:dyDescent="0.2">
      <c r="C89" s="33" t="s">
        <v>121</v>
      </c>
      <c r="D89" s="33"/>
      <c r="E89" s="34"/>
      <c r="F89" s="34"/>
      <c r="G89" s="34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4"/>
      <c r="U89" s="34"/>
      <c r="V89" s="33"/>
      <c r="W89" s="33"/>
      <c r="X89" s="33"/>
      <c r="Y89" s="33"/>
      <c r="Z89" s="33"/>
      <c r="AA89" s="34"/>
      <c r="AB89" s="36"/>
      <c r="AC89" s="36"/>
      <c r="AD89" s="36"/>
      <c r="AE89" s="36"/>
      <c r="AF89" s="36"/>
      <c r="AG89" s="33"/>
      <c r="AH89" s="34"/>
      <c r="AI89" s="34"/>
      <c r="AJ89" s="34"/>
    </row>
    <row r="90" spans="3:44" x14ac:dyDescent="0.2">
      <c r="C90" s="19" t="str">
        <f>"R-WH_Att"&amp;"_"&amp;RIGHT(E90,3)&amp;"_N1"</f>
        <v>R-WH_Att_ELC_N1</v>
      </c>
      <c r="D90" s="20" t="s">
        <v>122</v>
      </c>
      <c r="E90" s="89" t="s">
        <v>153</v>
      </c>
      <c r="F90" s="89"/>
      <c r="G90" s="56" t="s">
        <v>143</v>
      </c>
      <c r="H90" s="46"/>
      <c r="I90" s="47"/>
      <c r="J90" s="47"/>
      <c r="K90" s="48"/>
      <c r="L90" s="46"/>
      <c r="M90" s="47"/>
      <c r="N90" s="47"/>
      <c r="O90" s="48"/>
      <c r="P90" s="246">
        <v>1</v>
      </c>
      <c r="Q90" s="247">
        <v>1</v>
      </c>
      <c r="R90" s="247">
        <v>1</v>
      </c>
      <c r="S90" s="248">
        <v>1</v>
      </c>
      <c r="T90" s="52">
        <v>20</v>
      </c>
      <c r="U90" s="48"/>
      <c r="V90" s="19">
        <f>(JRC_Data!BB48/1000)*($U$156/$U$156)</f>
        <v>4</v>
      </c>
      <c r="W90" s="19">
        <f>(JRC_Data!BC48/1000)*($U$156/$U$156)</f>
        <v>4</v>
      </c>
      <c r="X90" s="19">
        <f>(JRC_Data!BD48/1000)*($U$156/$U$156)</f>
        <v>4</v>
      </c>
      <c r="Y90" s="19">
        <f>(JRC_Data!BE48/1000)*($U$156/$U$156)</f>
        <v>4</v>
      </c>
      <c r="Z90" s="85">
        <f>JRC_Data!BL48/1000</f>
        <v>0.05</v>
      </c>
      <c r="AA90" s="85"/>
      <c r="AB90" s="85"/>
      <c r="AC90" s="85"/>
      <c r="AD90" s="85"/>
      <c r="AE90" s="85"/>
      <c r="AF90" s="85"/>
      <c r="AG90" s="85">
        <f t="shared" si="54"/>
        <v>0.18921600000000002</v>
      </c>
      <c r="AH90" s="88"/>
      <c r="AI90" s="88">
        <v>2019</v>
      </c>
      <c r="AJ90" s="88">
        <v>6</v>
      </c>
    </row>
    <row r="91" spans="3:44" x14ac:dyDescent="0.2">
      <c r="C91" s="252" t="str">
        <f>"R-WH_Att"&amp;"_"&amp;RIGHT(E91,3)&amp;"_N1"</f>
        <v>R-WH_Att_SOL_N1</v>
      </c>
      <c r="D91" s="26" t="s">
        <v>123</v>
      </c>
      <c r="E91" s="27" t="s">
        <v>271</v>
      </c>
      <c r="F91" s="27"/>
      <c r="G91" s="59" t="s">
        <v>143</v>
      </c>
      <c r="H91" s="49"/>
      <c r="I91" s="50"/>
      <c r="J91" s="50"/>
      <c r="K91" s="51"/>
      <c r="L91" s="49"/>
      <c r="M91" s="50"/>
      <c r="N91" s="50"/>
      <c r="O91" s="51"/>
      <c r="P91" s="243">
        <v>1</v>
      </c>
      <c r="Q91" s="244">
        <v>1</v>
      </c>
      <c r="R91" s="244">
        <v>1</v>
      </c>
      <c r="S91" s="245">
        <v>1</v>
      </c>
      <c r="T91" s="53">
        <v>25</v>
      </c>
      <c r="U91" s="22">
        <v>30</v>
      </c>
      <c r="V91" s="22">
        <f>(JRC_Data!BB45/1000)*($U$156/$U$156)</f>
        <v>5.4</v>
      </c>
      <c r="W91" s="22">
        <f>(JRC_Data!BC45/1000)*($U$156/$U$156)</f>
        <v>5.0999999999999996</v>
      </c>
      <c r="X91" s="22">
        <f>(JRC_Data!BD45/1000)*($U$156/$U$156)</f>
        <v>4.5999999999999996</v>
      </c>
      <c r="Y91" s="22">
        <f>(JRC_Data!BE45/1000)*($U$156/$U$156)</f>
        <v>3.7</v>
      </c>
      <c r="Z91" s="63">
        <f>JRC_Data!BL45/1000</f>
        <v>6.2E-2</v>
      </c>
      <c r="AA91" s="63"/>
      <c r="AB91" s="63"/>
      <c r="AC91" s="63"/>
      <c r="AD91" s="63"/>
      <c r="AE91" s="63"/>
      <c r="AF91" s="63"/>
      <c r="AG91" s="63">
        <f t="shared" si="54"/>
        <v>0.18921600000000002</v>
      </c>
      <c r="AH91" s="67"/>
      <c r="AI91" s="66">
        <v>2019</v>
      </c>
      <c r="AJ91" s="66">
        <v>6</v>
      </c>
    </row>
    <row r="92" spans="3:44" x14ac:dyDescent="0.2">
      <c r="C92" s="33" t="s">
        <v>281</v>
      </c>
      <c r="D92" s="33"/>
      <c r="E92" s="34"/>
      <c r="F92" s="34"/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4"/>
      <c r="U92" s="34"/>
      <c r="V92" s="33"/>
      <c r="W92" s="33"/>
      <c r="X92" s="33"/>
      <c r="Y92" s="33"/>
      <c r="Z92" s="33"/>
      <c r="AA92" s="34"/>
      <c r="AB92" s="36"/>
      <c r="AC92" s="36"/>
      <c r="AD92" s="36"/>
      <c r="AE92" s="36"/>
      <c r="AF92" s="36"/>
      <c r="AG92" s="33"/>
      <c r="AH92" s="34"/>
      <c r="AI92" s="34"/>
      <c r="AJ92" s="34"/>
    </row>
    <row r="93" spans="3:44" x14ac:dyDescent="0.2">
      <c r="C93" s="29" t="str">
        <f>"R-SC_Att"&amp;"_"&amp;RIGHT(E93,3)&amp;"_N1"</f>
        <v>R-SC_Att_ELC_N1</v>
      </c>
      <c r="D93" s="97" t="s">
        <v>124</v>
      </c>
      <c r="E93" s="117" t="s">
        <v>153</v>
      </c>
      <c r="F93" s="117"/>
      <c r="G93" s="118" t="s">
        <v>142</v>
      </c>
      <c r="H93" s="115"/>
      <c r="I93" s="116"/>
      <c r="J93" s="116"/>
      <c r="K93" s="116"/>
      <c r="L93" s="258">
        <v>1</v>
      </c>
      <c r="M93" s="259">
        <f>JRC_Data!AD16/JRC_Data!$AC$16</f>
        <v>1.0666666666666667</v>
      </c>
      <c r="N93" s="259">
        <f>JRC_Data!AE16/JRC_Data!$AC$16</f>
        <v>1.2333333333333334</v>
      </c>
      <c r="O93" s="259">
        <f>JRC_Data!AF16/JRC_Data!$AC$16</f>
        <v>1.3333333333333333</v>
      </c>
      <c r="P93" s="116"/>
      <c r="Q93" s="116"/>
      <c r="R93" s="116"/>
      <c r="S93" s="100"/>
      <c r="T93" s="99">
        <v>20</v>
      </c>
      <c r="U93" s="100"/>
      <c r="V93" s="96">
        <f>(JRC_Data!BB16/1000)*($U$157/$U$162)</f>
        <v>1.9786641929499076</v>
      </c>
      <c r="W93" s="96">
        <f>(JRC_Data!BC16/1000)*($U$157/$U$162)</f>
        <v>1.8887249114521845</v>
      </c>
      <c r="X93" s="96">
        <f>(JRC_Data!BD16/1000)*($U$157/$U$162)</f>
        <v>1.7088463484567382</v>
      </c>
      <c r="Y93" s="96">
        <f>(JRC_Data!BE16/1000)*($U$157/$U$162)</f>
        <v>1.6189070669590153</v>
      </c>
      <c r="Z93" s="93">
        <f>JRC_Data!BL16/1000</f>
        <v>3.4000000000000002E-2</v>
      </c>
      <c r="AA93" s="93"/>
      <c r="AB93" s="93"/>
      <c r="AC93" s="93"/>
      <c r="AD93" s="93"/>
      <c r="AE93" s="93"/>
      <c r="AF93" s="93"/>
      <c r="AG93" s="93">
        <f t="shared" si="54"/>
        <v>0.18921600000000002</v>
      </c>
      <c r="AH93" s="92"/>
      <c r="AI93" s="92">
        <v>2019</v>
      </c>
      <c r="AJ93" s="92">
        <v>6</v>
      </c>
    </row>
    <row r="97" spans="3:44" x14ac:dyDescent="0.2">
      <c r="AN97" s="11"/>
      <c r="AO97" s="11"/>
      <c r="AP97" s="11"/>
      <c r="AQ97" s="11"/>
      <c r="AR97" s="11"/>
    </row>
    <row r="98" spans="3:44" x14ac:dyDescent="0.2">
      <c r="H98" s="5" t="s">
        <v>19</v>
      </c>
    </row>
    <row r="99" spans="3:44" ht="45.75" thickBot="1" x14ac:dyDescent="0.25">
      <c r="C99" s="14" t="s">
        <v>21</v>
      </c>
      <c r="D99" s="15" t="s">
        <v>32</v>
      </c>
      <c r="E99" s="14" t="s">
        <v>23</v>
      </c>
      <c r="F99" s="14" t="s">
        <v>561</v>
      </c>
      <c r="G99" s="14" t="s">
        <v>24</v>
      </c>
      <c r="H99" s="17" t="s">
        <v>735</v>
      </c>
      <c r="I99" s="17" t="s">
        <v>736</v>
      </c>
      <c r="J99" s="17" t="s">
        <v>737</v>
      </c>
      <c r="K99" s="17" t="s">
        <v>738</v>
      </c>
      <c r="L99" s="17" t="s">
        <v>535</v>
      </c>
      <c r="M99" s="17" t="s">
        <v>536</v>
      </c>
      <c r="N99" s="17" t="s">
        <v>537</v>
      </c>
      <c r="O99" s="17" t="s">
        <v>538</v>
      </c>
      <c r="P99" s="17" t="s">
        <v>539</v>
      </c>
      <c r="Q99" s="17" t="s">
        <v>540</v>
      </c>
      <c r="R99" s="17" t="s">
        <v>541</v>
      </c>
      <c r="S99" s="17" t="s">
        <v>542</v>
      </c>
      <c r="T99" s="18" t="s">
        <v>26</v>
      </c>
      <c r="U99" s="18" t="s">
        <v>76</v>
      </c>
      <c r="V99" s="17" t="s">
        <v>241</v>
      </c>
      <c r="W99" s="17" t="s">
        <v>88</v>
      </c>
      <c r="X99" s="17" t="s">
        <v>89</v>
      </c>
      <c r="Y99" s="17" t="s">
        <v>90</v>
      </c>
      <c r="Z99" s="17" t="s">
        <v>61</v>
      </c>
      <c r="AA99" s="17" t="s">
        <v>62</v>
      </c>
      <c r="AB99" s="17" t="s">
        <v>285</v>
      </c>
      <c r="AC99" s="17" t="s">
        <v>286</v>
      </c>
      <c r="AD99" s="17" t="s">
        <v>287</v>
      </c>
      <c r="AE99" s="17" t="s">
        <v>699</v>
      </c>
      <c r="AF99" s="17" t="s">
        <v>243</v>
      </c>
      <c r="AG99" s="17" t="s">
        <v>77</v>
      </c>
      <c r="AH99" s="17" t="s">
        <v>272</v>
      </c>
      <c r="AI99" s="17" t="s">
        <v>78</v>
      </c>
      <c r="AJ99" s="17" t="s">
        <v>559</v>
      </c>
    </row>
    <row r="100" spans="3:44" ht="38.25" x14ac:dyDescent="0.2">
      <c r="C100" s="16" t="s">
        <v>79</v>
      </c>
      <c r="D100" s="16" t="s">
        <v>33</v>
      </c>
      <c r="E100" s="16" t="s">
        <v>80</v>
      </c>
      <c r="F100" s="16" t="s">
        <v>562</v>
      </c>
      <c r="G100" s="16" t="s">
        <v>81</v>
      </c>
      <c r="H100" s="537" t="s">
        <v>82</v>
      </c>
      <c r="I100" s="538"/>
      <c r="J100" s="538"/>
      <c r="K100" s="539"/>
      <c r="L100" s="537" t="s">
        <v>83</v>
      </c>
      <c r="M100" s="538"/>
      <c r="N100" s="538"/>
      <c r="O100" s="539"/>
      <c r="P100" s="537" t="s">
        <v>84</v>
      </c>
      <c r="Q100" s="538"/>
      <c r="R100" s="538"/>
      <c r="S100" s="539"/>
      <c r="T100" s="537" t="s">
        <v>85</v>
      </c>
      <c r="U100" s="539"/>
      <c r="V100" s="531" t="s">
        <v>86</v>
      </c>
      <c r="W100" s="532"/>
      <c r="X100" s="532"/>
      <c r="Y100" s="533"/>
      <c r="Z100" s="60"/>
      <c r="AA100" s="60"/>
      <c r="AB100" s="68" t="s">
        <v>212</v>
      </c>
      <c r="AC100" s="71" t="s">
        <v>212</v>
      </c>
      <c r="AD100" s="71" t="s">
        <v>212</v>
      </c>
      <c r="AE100" s="71" t="s">
        <v>212</v>
      </c>
      <c r="AF100" s="71" t="s">
        <v>242</v>
      </c>
      <c r="AG100" s="60" t="s">
        <v>66</v>
      </c>
      <c r="AH100" s="60" t="s">
        <v>87</v>
      </c>
      <c r="AI100" s="60"/>
      <c r="AJ100" s="60"/>
      <c r="AL100" s="10" t="s">
        <v>20</v>
      </c>
      <c r="AM100" s="11"/>
      <c r="AN100" s="11"/>
      <c r="AO100" s="11"/>
      <c r="AP100" s="11"/>
      <c r="AQ100" s="11"/>
      <c r="AR100" s="11"/>
    </row>
    <row r="101" spans="3:44" ht="15.75" thickBot="1" x14ac:dyDescent="0.25">
      <c r="C101" s="14" t="s">
        <v>556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372"/>
      <c r="U101" s="372"/>
      <c r="V101" s="372"/>
      <c r="W101" s="372"/>
      <c r="X101" s="372"/>
      <c r="Y101" s="372"/>
      <c r="Z101" s="372"/>
      <c r="AA101" s="372"/>
      <c r="AB101" s="372"/>
      <c r="AC101" s="372"/>
      <c r="AD101" s="372"/>
      <c r="AE101" s="372"/>
      <c r="AF101" s="372"/>
      <c r="AG101" s="372"/>
      <c r="AH101" s="372"/>
      <c r="AI101" s="372"/>
      <c r="AJ101" s="372"/>
      <c r="AL101" s="12" t="s">
        <v>27</v>
      </c>
      <c r="AM101" s="12" t="s">
        <v>21</v>
      </c>
      <c r="AN101" s="12" t="s">
        <v>22</v>
      </c>
      <c r="AO101" s="12" t="s">
        <v>28</v>
      </c>
      <c r="AP101" s="12" t="s">
        <v>29</v>
      </c>
      <c r="AQ101" s="12" t="s">
        <v>30</v>
      </c>
      <c r="AR101" s="12" t="s">
        <v>67</v>
      </c>
    </row>
    <row r="102" spans="3:44" ht="33.75" x14ac:dyDescent="0.2">
      <c r="C102" s="37" t="s">
        <v>274</v>
      </c>
      <c r="D102" s="38"/>
      <c r="E102" s="38"/>
      <c r="F102" s="38"/>
      <c r="G102" s="39"/>
      <c r="H102" s="534" t="s">
        <v>34</v>
      </c>
      <c r="I102" s="535"/>
      <c r="J102" s="535"/>
      <c r="K102" s="536"/>
      <c r="L102" s="535" t="s">
        <v>34</v>
      </c>
      <c r="M102" s="535"/>
      <c r="N102" s="535"/>
      <c r="O102" s="536"/>
      <c r="P102" s="534" t="s">
        <v>34</v>
      </c>
      <c r="Q102" s="535"/>
      <c r="R102" s="535"/>
      <c r="S102" s="536"/>
      <c r="T102" s="540" t="s">
        <v>68</v>
      </c>
      <c r="U102" s="541"/>
      <c r="V102" s="540" t="s">
        <v>508</v>
      </c>
      <c r="W102" s="542"/>
      <c r="X102" s="542"/>
      <c r="Y102" s="541"/>
      <c r="Z102" s="373" t="s">
        <v>520</v>
      </c>
      <c r="AA102" s="373" t="s">
        <v>93</v>
      </c>
      <c r="AB102" s="374" t="s">
        <v>34</v>
      </c>
      <c r="AC102" s="373" t="s">
        <v>34</v>
      </c>
      <c r="AD102" s="373" t="s">
        <v>34</v>
      </c>
      <c r="AE102" s="373"/>
      <c r="AF102" s="373"/>
      <c r="AG102" s="375" t="s">
        <v>288</v>
      </c>
      <c r="AH102" s="373" t="s">
        <v>34</v>
      </c>
      <c r="AI102" s="373" t="s">
        <v>94</v>
      </c>
      <c r="AJ102" s="373" t="s">
        <v>560</v>
      </c>
      <c r="AL102" s="211" t="s">
        <v>69</v>
      </c>
      <c r="AM102" s="211" t="s">
        <v>70</v>
      </c>
      <c r="AN102" s="211" t="s">
        <v>33</v>
      </c>
      <c r="AO102" s="211" t="s">
        <v>71</v>
      </c>
      <c r="AP102" s="211" t="s">
        <v>72</v>
      </c>
      <c r="AQ102" s="211" t="s">
        <v>73</v>
      </c>
      <c r="AR102" s="211" t="s">
        <v>74</v>
      </c>
    </row>
    <row r="103" spans="3:44" ht="15" x14ac:dyDescent="0.25">
      <c r="C103" s="19" t="str">
        <f>"R-SH_Det"&amp;"_"&amp;RIGHT(E103,3)&amp;"_N1"</f>
        <v>R-SH_Det_KER_N1</v>
      </c>
      <c r="D103" s="20" t="s">
        <v>96</v>
      </c>
      <c r="E103" s="89" t="s">
        <v>264</v>
      </c>
      <c r="F103" s="89"/>
      <c r="G103" s="518" t="s">
        <v>730</v>
      </c>
      <c r="H103" s="19">
        <v>1</v>
      </c>
      <c r="I103" s="20">
        <v>1</v>
      </c>
      <c r="J103" s="20">
        <v>1</v>
      </c>
      <c r="K103" s="56">
        <v>1</v>
      </c>
      <c r="L103" s="46"/>
      <c r="M103" s="47"/>
      <c r="N103" s="47"/>
      <c r="O103" s="48"/>
      <c r="P103" s="19"/>
      <c r="Q103" s="20"/>
      <c r="R103" s="20"/>
      <c r="S103" s="56"/>
      <c r="T103" s="54">
        <v>20</v>
      </c>
      <c r="U103" s="41"/>
      <c r="V103" s="379">
        <f>V107*1.3</f>
        <v>4.5825000000000005</v>
      </c>
      <c r="W103" s="379">
        <f t="shared" ref="W103:Y103" si="86">W107*1.3</f>
        <v>4.5825000000000005</v>
      </c>
      <c r="X103" s="379">
        <f t="shared" si="86"/>
        <v>4.5825000000000005</v>
      </c>
      <c r="Y103" s="379">
        <f t="shared" si="86"/>
        <v>4.5825000000000005</v>
      </c>
      <c r="Z103" s="379">
        <v>0.12</v>
      </c>
      <c r="AA103" s="65"/>
      <c r="AB103" s="42"/>
      <c r="AC103" s="72"/>
      <c r="AD103" s="72"/>
      <c r="AE103" s="72"/>
      <c r="AF103" s="72"/>
      <c r="AG103" s="62">
        <f t="shared" ref="AG103:AG141" si="87">31.536*(AJ103/1000)</f>
        <v>0.94608000000000003</v>
      </c>
      <c r="AH103" s="65"/>
      <c r="AI103" s="65">
        <v>2019</v>
      </c>
      <c r="AJ103" s="65">
        <v>30</v>
      </c>
      <c r="AL103" s="106" t="s">
        <v>31</v>
      </c>
      <c r="AM103" s="105" t="str">
        <f t="shared" ref="AM103:AM114" si="88">C103</f>
        <v>R-SH_Det_KER_N1</v>
      </c>
      <c r="AN103" s="105" t="str">
        <f t="shared" ref="AN103:AN114" si="89">D103</f>
        <v>Residential Kerosene Heating Oil - New 1 SH</v>
      </c>
      <c r="AO103" s="106" t="s">
        <v>13</v>
      </c>
      <c r="AP103" s="106" t="s">
        <v>180</v>
      </c>
      <c r="AQ103" s="106"/>
      <c r="AR103" s="106" t="s">
        <v>75</v>
      </c>
    </row>
    <row r="104" spans="3:44" ht="15" x14ac:dyDescent="0.25">
      <c r="C104" s="22" t="str">
        <f>"R-SW_Det"&amp;"_"&amp;RIGHT(E104,3)&amp;"_N1"</f>
        <v>R-SW_Det_KER_N1</v>
      </c>
      <c r="D104" s="23" t="s">
        <v>97</v>
      </c>
      <c r="E104" s="24" t="s">
        <v>264</v>
      </c>
      <c r="F104" s="24"/>
      <c r="G104" s="57" t="s">
        <v>731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>H104*0.7</f>
        <v>0.7</v>
      </c>
      <c r="Q104" s="23">
        <f t="shared" ref="Q104:Q106" si="90">I104*0.7</f>
        <v>0.7</v>
      </c>
      <c r="R104" s="23">
        <f t="shared" ref="R104:R106" si="91">J104*0.7</f>
        <v>0.7</v>
      </c>
      <c r="S104" s="57">
        <f t="shared" ref="S104:S106" si="92">K104*0.7</f>
        <v>0.7</v>
      </c>
      <c r="T104" s="53">
        <v>20</v>
      </c>
      <c r="U104" s="25"/>
      <c r="V104" s="380">
        <f>V108*1.3</f>
        <v>4.9452075289575284</v>
      </c>
      <c r="W104" s="380">
        <f t="shared" ref="W104:Y104" si="93">W108*1.3</f>
        <v>4.9452075289575284</v>
      </c>
      <c r="X104" s="380">
        <f t="shared" si="93"/>
        <v>4.9452075289575284</v>
      </c>
      <c r="Y104" s="380">
        <f t="shared" si="93"/>
        <v>4.9452075289575284</v>
      </c>
      <c r="Z104" s="380">
        <v>0.12</v>
      </c>
      <c r="AA104" s="66"/>
      <c r="AB104" s="44"/>
      <c r="AC104" s="73"/>
      <c r="AD104" s="73"/>
      <c r="AE104" s="73"/>
      <c r="AF104" s="73"/>
      <c r="AG104" s="63">
        <f t="shared" si="87"/>
        <v>1.1983680000000001</v>
      </c>
      <c r="AH104" s="66"/>
      <c r="AI104" s="66">
        <v>2019</v>
      </c>
      <c r="AJ104" s="66">
        <v>38</v>
      </c>
      <c r="AL104" s="106"/>
      <c r="AM104" s="105" t="str">
        <f t="shared" si="88"/>
        <v>R-SW_Det_KER_N1</v>
      </c>
      <c r="AN104" s="105" t="str">
        <f t="shared" si="89"/>
        <v>Residential Kerosene Heating Oil - New 2 SH + WH</v>
      </c>
      <c r="AO104" s="106" t="s">
        <v>13</v>
      </c>
      <c r="AP104" s="106" t="s">
        <v>180</v>
      </c>
      <c r="AQ104" s="106"/>
      <c r="AR104" s="106" t="s">
        <v>75</v>
      </c>
    </row>
    <row r="105" spans="3:44" ht="15" x14ac:dyDescent="0.25">
      <c r="C105" s="40" t="str">
        <f>"R-SW_Det"&amp;"_"&amp;RIGHT(E105,3)&amp;"_N2"</f>
        <v>R-SW_Det_KER_N2</v>
      </c>
      <c r="D105" s="29" t="s">
        <v>98</v>
      </c>
      <c r="E105" s="30" t="s">
        <v>266</v>
      </c>
      <c r="F105" s="30"/>
      <c r="G105" s="58" t="s">
        <v>731</v>
      </c>
      <c r="H105" s="40">
        <v>1</v>
      </c>
      <c r="I105" s="29">
        <v>1</v>
      </c>
      <c r="J105" s="29">
        <v>1</v>
      </c>
      <c r="K105" s="58">
        <v>1</v>
      </c>
      <c r="L105" s="42"/>
      <c r="M105" s="31"/>
      <c r="N105" s="31"/>
      <c r="O105" s="43"/>
      <c r="P105" s="40">
        <f>H105*0.7</f>
        <v>0.7</v>
      </c>
      <c r="Q105" s="29">
        <f t="shared" si="90"/>
        <v>0.7</v>
      </c>
      <c r="R105" s="29">
        <f t="shared" si="91"/>
        <v>0.7</v>
      </c>
      <c r="S105" s="58">
        <f t="shared" si="92"/>
        <v>0.7</v>
      </c>
      <c r="T105" s="54">
        <v>20</v>
      </c>
      <c r="U105" s="41"/>
      <c r="V105" s="62">
        <f>((JRC_Data!BB7+JRC_Data!BB45)*0.8/1000)*$U$164</f>
        <v>10.359845559845558</v>
      </c>
      <c r="W105" s="62">
        <f>((JRC_Data!BC7+JRC_Data!BC45)*0.8/1000)*$U$164</f>
        <v>10.10084942084942</v>
      </c>
      <c r="X105" s="62">
        <f>((JRC_Data!BD7+JRC_Data!BD45)*0.8/1000)*$U$164</f>
        <v>9.6691891891891899</v>
      </c>
      <c r="Y105" s="62">
        <f>((JRC_Data!BE7+JRC_Data!BE45)*0.8/1000)*$U$164</f>
        <v>8.8922007722007717</v>
      </c>
      <c r="Z105" s="58">
        <f>((JRC_Data!BL7+JRC_Data!BL45)*0.8)/1000</f>
        <v>0.2656</v>
      </c>
      <c r="AA105" s="65"/>
      <c r="AB105" s="42">
        <v>0.25</v>
      </c>
      <c r="AC105" s="72"/>
      <c r="AD105" s="72"/>
      <c r="AE105" s="72"/>
      <c r="AF105" s="216">
        <v>5</v>
      </c>
      <c r="AG105" s="62">
        <f t="shared" si="87"/>
        <v>1.1983680000000001</v>
      </c>
      <c r="AH105" s="65"/>
      <c r="AI105" s="65">
        <v>2019</v>
      </c>
      <c r="AJ105" s="65">
        <v>38</v>
      </c>
      <c r="AL105" s="106"/>
      <c r="AM105" s="105" t="str">
        <f t="shared" si="88"/>
        <v>R-SW_Det_KER_N2</v>
      </c>
      <c r="AN105" s="105" t="str">
        <f t="shared" si="89"/>
        <v>Residential Kerosene Heating Oil - New 3 SH+WH + Solar</v>
      </c>
      <c r="AO105" s="106" t="s">
        <v>13</v>
      </c>
      <c r="AP105" s="106" t="s">
        <v>180</v>
      </c>
      <c r="AQ105" s="106"/>
      <c r="AR105" s="106" t="s">
        <v>75</v>
      </c>
    </row>
    <row r="106" spans="3:44" ht="15" x14ac:dyDescent="0.25">
      <c r="C106" s="22" t="str">
        <f>"R-SW_Det"&amp;"_"&amp;RIGHT(E106,3)&amp;"_N3"</f>
        <v>R-SW_Det_KER_N3</v>
      </c>
      <c r="D106" s="23" t="s">
        <v>102</v>
      </c>
      <c r="E106" s="24" t="s">
        <v>267</v>
      </c>
      <c r="F106" s="24"/>
      <c r="G106" s="57" t="s">
        <v>731</v>
      </c>
      <c r="H106" s="22">
        <v>1</v>
      </c>
      <c r="I106" s="23">
        <v>1.0249999999999999</v>
      </c>
      <c r="J106" s="23">
        <v>1.0249999999999999</v>
      </c>
      <c r="K106" s="57">
        <v>1.0249999999999999</v>
      </c>
      <c r="L106" s="44"/>
      <c r="M106" s="32"/>
      <c r="N106" s="32"/>
      <c r="O106" s="45"/>
      <c r="P106" s="22">
        <f>H106*0.7</f>
        <v>0.7</v>
      </c>
      <c r="Q106" s="23">
        <f t="shared" si="90"/>
        <v>0.71749999999999992</v>
      </c>
      <c r="R106" s="23">
        <f t="shared" si="91"/>
        <v>0.71749999999999992</v>
      </c>
      <c r="S106" s="57">
        <f t="shared" si="92"/>
        <v>0.71749999999999992</v>
      </c>
      <c r="T106" s="53">
        <v>20</v>
      </c>
      <c r="U106" s="25"/>
      <c r="V106" s="63">
        <f>((JRC_Data!BB7+JRC_Data!BB11)*0.8/1000)*$U$164</f>
        <v>11.525328185328185</v>
      </c>
      <c r="W106" s="63">
        <f>((JRC_Data!BC7+JRC_Data!BC11)*0.8/1000)*$U$164</f>
        <v>11.525328185328185</v>
      </c>
      <c r="X106" s="63">
        <f>((JRC_Data!BD7+JRC_Data!BD11)*0.8/1000)*$U$164</f>
        <v>12.172818532818532</v>
      </c>
      <c r="Y106" s="63">
        <f>((JRC_Data!BE7+JRC_Data!BE11)*0.8/1000)*$U$164</f>
        <v>12.172818532818532</v>
      </c>
      <c r="Z106" s="58">
        <f>((JRC_Data!BL7+JRC_Data!BL11)*0.8)/1000</f>
        <v>0.23680000000000001</v>
      </c>
      <c r="AA106" s="66"/>
      <c r="AB106" s="44"/>
      <c r="AC106" s="73">
        <v>0.47</v>
      </c>
      <c r="AD106" s="73"/>
      <c r="AE106" s="73"/>
      <c r="AF106" s="66">
        <v>5</v>
      </c>
      <c r="AG106" s="63">
        <f t="shared" si="87"/>
        <v>1.1983680000000001</v>
      </c>
      <c r="AH106" s="66"/>
      <c r="AI106" s="66">
        <v>2019</v>
      </c>
      <c r="AJ106" s="66">
        <v>38</v>
      </c>
      <c r="AL106" s="106"/>
      <c r="AM106" s="105" t="str">
        <f t="shared" si="88"/>
        <v>R-SW_Det_KER_N3</v>
      </c>
      <c r="AN106" s="105" t="str">
        <f t="shared" si="89"/>
        <v>Residential Kerosene Heating Oil - New 3 SH+WH + Wood Stove</v>
      </c>
      <c r="AO106" s="107" t="s">
        <v>13</v>
      </c>
      <c r="AP106" s="107" t="s">
        <v>180</v>
      </c>
      <c r="AQ106" s="106"/>
      <c r="AR106" s="106"/>
    </row>
    <row r="107" spans="3:44" ht="15" x14ac:dyDescent="0.25">
      <c r="C107" s="40" t="str">
        <f>"R-SH_Det"&amp;"_"&amp;RIGHT(E107,3)&amp;"_N1"</f>
        <v>R-SH_Det_GAS_N1</v>
      </c>
      <c r="D107" s="29" t="s">
        <v>95</v>
      </c>
      <c r="E107" s="30" t="s">
        <v>700</v>
      </c>
      <c r="F107" s="30"/>
      <c r="G107" s="58" t="s">
        <v>730</v>
      </c>
      <c r="H107" s="40">
        <v>1</v>
      </c>
      <c r="I107" s="29">
        <v>1</v>
      </c>
      <c r="J107" s="29">
        <v>1</v>
      </c>
      <c r="K107" s="58">
        <v>1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379">
        <f>3.525</f>
        <v>3.5249999999999999</v>
      </c>
      <c r="W107" s="379">
        <f t="shared" ref="W107:Y107" si="94">3.525</f>
        <v>3.5249999999999999</v>
      </c>
      <c r="X107" s="379">
        <f t="shared" si="94"/>
        <v>3.5249999999999999</v>
      </c>
      <c r="Y107" s="379">
        <f t="shared" si="94"/>
        <v>3.5249999999999999</v>
      </c>
      <c r="Z107" s="379">
        <v>0.12</v>
      </c>
      <c r="AA107" s="65"/>
      <c r="AB107" s="42"/>
      <c r="AC107" s="72"/>
      <c r="AD107" s="72"/>
      <c r="AE107" s="72"/>
      <c r="AF107" s="72"/>
      <c r="AG107" s="62">
        <f t="shared" si="87"/>
        <v>0.94608000000000003</v>
      </c>
      <c r="AH107" s="65"/>
      <c r="AI107" s="65">
        <v>2019</v>
      </c>
      <c r="AJ107" s="65">
        <v>30</v>
      </c>
      <c r="AL107" s="106"/>
      <c r="AM107" s="105" t="str">
        <f t="shared" si="88"/>
        <v>R-SH_Det_GAS_N1</v>
      </c>
      <c r="AN107" s="105" t="str">
        <f t="shared" si="89"/>
        <v>Residential Natural Gas Heating - New 1 SH</v>
      </c>
      <c r="AO107" s="106" t="s">
        <v>13</v>
      </c>
      <c r="AP107" s="106" t="s">
        <v>180</v>
      </c>
      <c r="AQ107" s="106"/>
      <c r="AR107" s="106" t="s">
        <v>75</v>
      </c>
    </row>
    <row r="108" spans="3:44" ht="15" x14ac:dyDescent="0.25">
      <c r="C108" s="22" t="str">
        <f>"R-SW_Det"&amp;"_"&amp;RIGHT(E108,3)&amp;"_N1"</f>
        <v>R-SW_Det_GAS_N1</v>
      </c>
      <c r="D108" s="23" t="s">
        <v>99</v>
      </c>
      <c r="E108" s="24" t="s">
        <v>700</v>
      </c>
      <c r="F108" s="24"/>
      <c r="G108" s="57" t="s">
        <v>731</v>
      </c>
      <c r="H108" s="22">
        <v>1</v>
      </c>
      <c r="I108" s="23">
        <v>1</v>
      </c>
      <c r="J108" s="23">
        <v>1</v>
      </c>
      <c r="K108" s="57">
        <v>1</v>
      </c>
      <c r="L108" s="44"/>
      <c r="M108" s="32"/>
      <c r="N108" s="32"/>
      <c r="O108" s="45"/>
      <c r="P108" s="22">
        <f>H108*0.7</f>
        <v>0.7</v>
      </c>
      <c r="Q108" s="23">
        <f t="shared" ref="Q108:Q110" si="95">I108*0.7</f>
        <v>0.7</v>
      </c>
      <c r="R108" s="23">
        <f t="shared" ref="R108:R110" si="96">J108*0.7</f>
        <v>0.7</v>
      </c>
      <c r="S108" s="57">
        <f t="shared" ref="S108:S110" si="97">K108*0.7</f>
        <v>0.7</v>
      </c>
      <c r="T108" s="53">
        <v>20</v>
      </c>
      <c r="U108" s="25"/>
      <c r="V108" s="380">
        <f>V107*($U$164/$U$163)</f>
        <v>3.8040057915057912</v>
      </c>
      <c r="W108" s="380">
        <f>W107*($U$164/$U$163)</f>
        <v>3.8040057915057912</v>
      </c>
      <c r="X108" s="380">
        <f>X107*($U$164/$U$163)</f>
        <v>3.8040057915057912</v>
      </c>
      <c r="Y108" s="380">
        <f>Y107*($U$164/$U$163)</f>
        <v>3.8040057915057912</v>
      </c>
      <c r="Z108" s="380">
        <v>0.12</v>
      </c>
      <c r="AA108" s="66"/>
      <c r="AB108" s="44"/>
      <c r="AC108" s="73"/>
      <c r="AD108" s="73"/>
      <c r="AE108" s="73"/>
      <c r="AF108" s="73"/>
      <c r="AG108" s="63">
        <f t="shared" si="87"/>
        <v>1.1983680000000001</v>
      </c>
      <c r="AH108" s="66"/>
      <c r="AI108" s="66">
        <v>2019</v>
      </c>
      <c r="AJ108" s="66">
        <v>38</v>
      </c>
      <c r="AL108" s="106"/>
      <c r="AM108" s="105" t="str">
        <f t="shared" si="88"/>
        <v>R-SW_Det_GAS_N1</v>
      </c>
      <c r="AN108" s="105" t="str">
        <f t="shared" si="89"/>
        <v>Residential Natural Gas Heating - New 2 SH + WH</v>
      </c>
      <c r="AO108" s="106" t="s">
        <v>13</v>
      </c>
      <c r="AP108" s="106" t="s">
        <v>180</v>
      </c>
      <c r="AQ108" s="106"/>
      <c r="AR108" s="106" t="s">
        <v>75</v>
      </c>
    </row>
    <row r="109" spans="3:44" ht="15" x14ac:dyDescent="0.25">
      <c r="C109" s="40" t="str">
        <f>"R-SW_Det"&amp;"_"&amp;RIGHT(E109,3)&amp;"_N2"</f>
        <v>R-SW_Det_GAS_N2</v>
      </c>
      <c r="D109" s="29" t="s">
        <v>100</v>
      </c>
      <c r="E109" s="30" t="s">
        <v>702</v>
      </c>
      <c r="F109" s="30"/>
      <c r="G109" s="58" t="s">
        <v>731</v>
      </c>
      <c r="H109" s="40">
        <v>1</v>
      </c>
      <c r="I109" s="29">
        <v>1</v>
      </c>
      <c r="J109" s="29">
        <v>1</v>
      </c>
      <c r="K109" s="58">
        <v>1</v>
      </c>
      <c r="L109" s="42"/>
      <c r="M109" s="31"/>
      <c r="N109" s="31"/>
      <c r="O109" s="43"/>
      <c r="P109" s="40">
        <f>H109*0.7</f>
        <v>0.7</v>
      </c>
      <c r="Q109" s="29">
        <f t="shared" si="95"/>
        <v>0.7</v>
      </c>
      <c r="R109" s="29">
        <f t="shared" si="96"/>
        <v>0.7</v>
      </c>
      <c r="S109" s="58">
        <f t="shared" si="97"/>
        <v>0.7</v>
      </c>
      <c r="T109" s="54">
        <v>20</v>
      </c>
      <c r="U109" s="41"/>
      <c r="V109" s="62">
        <v>13.025</v>
      </c>
      <c r="W109" s="379">
        <f>V109*0.9685</f>
        <v>12.614712500000001</v>
      </c>
      <c r="X109" s="379">
        <f>V109*0.916</f>
        <v>11.930900000000001</v>
      </c>
      <c r="Y109" s="379">
        <f>V109*0.812</f>
        <v>10.576300000000002</v>
      </c>
      <c r="Z109" s="58">
        <v>0.19</v>
      </c>
      <c r="AA109" s="65"/>
      <c r="AB109" s="42">
        <v>0.25</v>
      </c>
      <c r="AC109" s="72"/>
      <c r="AD109" s="72"/>
      <c r="AE109" s="72"/>
      <c r="AF109" s="216">
        <v>5</v>
      </c>
      <c r="AG109" s="62">
        <f t="shared" si="87"/>
        <v>1.1983680000000001</v>
      </c>
      <c r="AH109" s="65"/>
      <c r="AI109" s="65">
        <v>2019</v>
      </c>
      <c r="AJ109" s="65">
        <v>38</v>
      </c>
      <c r="AL109" s="106"/>
      <c r="AM109" s="105" t="str">
        <f t="shared" si="88"/>
        <v>R-SW_Det_GAS_N2</v>
      </c>
      <c r="AN109" s="105" t="str">
        <f t="shared" si="89"/>
        <v>Residential Natural Gas Heating - New 3 SH + WH + Solar</v>
      </c>
      <c r="AO109" s="106" t="s">
        <v>13</v>
      </c>
      <c r="AP109" s="106" t="s">
        <v>180</v>
      </c>
      <c r="AQ109" s="106"/>
      <c r="AR109" s="106" t="s">
        <v>75</v>
      </c>
    </row>
    <row r="110" spans="3:44" ht="15" x14ac:dyDescent="0.25">
      <c r="C110" s="22" t="str">
        <f>"R-SW_Det"&amp;"_"&amp;RIGHT(E110,3)&amp;"_N3"</f>
        <v>R-SW_Det_GAS_N3</v>
      </c>
      <c r="D110" s="23" t="s">
        <v>101</v>
      </c>
      <c r="E110" s="24" t="s">
        <v>703</v>
      </c>
      <c r="F110" s="24"/>
      <c r="G110" s="57" t="s">
        <v>731</v>
      </c>
      <c r="H110" s="22">
        <v>1</v>
      </c>
      <c r="I110" s="23">
        <v>1.0249999999999999</v>
      </c>
      <c r="J110" s="23">
        <v>1.0249999999999999</v>
      </c>
      <c r="K110" s="57">
        <v>1.0249999999999999</v>
      </c>
      <c r="L110" s="44"/>
      <c r="M110" s="32"/>
      <c r="N110" s="32"/>
      <c r="O110" s="45"/>
      <c r="P110" s="22">
        <f>H110*0.7</f>
        <v>0.7</v>
      </c>
      <c r="Q110" s="23">
        <f t="shared" si="95"/>
        <v>0.71749999999999992</v>
      </c>
      <c r="R110" s="23">
        <f t="shared" si="96"/>
        <v>0.71749999999999992</v>
      </c>
      <c r="S110" s="57">
        <f t="shared" si="97"/>
        <v>0.71749999999999992</v>
      </c>
      <c r="T110" s="53">
        <v>20</v>
      </c>
      <c r="U110" s="25"/>
      <c r="V110" s="63">
        <f>((JRC_Data!BB9+JRC_Data!BB11)*0.8/1000)*($U$164/$U$161)</f>
        <v>9.9326446280991725</v>
      </c>
      <c r="W110" s="63">
        <f>((JRC_Data!BC9+JRC_Data!BC11)*0.8/1000)*($U$164/$U$161)</f>
        <v>9.9326446280991725</v>
      </c>
      <c r="X110" s="63">
        <f>((JRC_Data!BD9+JRC_Data!BD11)*0.8/1000)*($U$164/$U$161)</f>
        <v>10.625619834710744</v>
      </c>
      <c r="Y110" s="63">
        <f>((JRC_Data!BE9+JRC_Data!BE11)*0.8/1000)*($U$164/$U$161)</f>
        <v>10.625619834710744</v>
      </c>
      <c r="Z110" s="58">
        <f>((JRC_Data!BL9+JRC_Data!BL11)*0.8)/1000</f>
        <v>0.20880000000000001</v>
      </c>
      <c r="AA110" s="66"/>
      <c r="AB110" s="44"/>
      <c r="AC110" s="73">
        <v>0.47</v>
      </c>
      <c r="AD110" s="73"/>
      <c r="AE110" s="73"/>
      <c r="AF110" s="66">
        <v>5</v>
      </c>
      <c r="AG110" s="63">
        <f t="shared" si="87"/>
        <v>1.1983680000000001</v>
      </c>
      <c r="AH110" s="66"/>
      <c r="AI110" s="66">
        <v>2019</v>
      </c>
      <c r="AJ110" s="66">
        <v>38</v>
      </c>
      <c r="AL110" s="106"/>
      <c r="AM110" s="105" t="str">
        <f t="shared" si="88"/>
        <v>R-SW_Det_GAS_N3</v>
      </c>
      <c r="AN110" s="105" t="str">
        <f t="shared" si="89"/>
        <v>Residential Natural Gas Heating - New 4 SH + WH + Wood Stove</v>
      </c>
      <c r="AO110" s="106" t="s">
        <v>13</v>
      </c>
      <c r="AP110" s="106" t="s">
        <v>180</v>
      </c>
      <c r="AQ110" s="106"/>
      <c r="AR110" s="106" t="s">
        <v>75</v>
      </c>
    </row>
    <row r="111" spans="3:44" ht="15" x14ac:dyDescent="0.25">
      <c r="C111" s="40" t="str">
        <f>"R-SH_Det"&amp;"_"&amp;RIGHT(E111,3)&amp;"_N1"</f>
        <v>R-SH_Det_LPG_N1</v>
      </c>
      <c r="D111" s="29" t="s">
        <v>103</v>
      </c>
      <c r="E111" s="30" t="s">
        <v>265</v>
      </c>
      <c r="F111" s="30"/>
      <c r="G111" s="58" t="s">
        <v>730</v>
      </c>
      <c r="H111" s="40">
        <v>1</v>
      </c>
      <c r="I111" s="29">
        <v>1</v>
      </c>
      <c r="J111" s="29">
        <v>1</v>
      </c>
      <c r="K111" s="58">
        <v>1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379">
        <f t="shared" ref="V111:Y112" si="98">V107+0.3</f>
        <v>3.8249999999999997</v>
      </c>
      <c r="W111" s="379">
        <f t="shared" si="98"/>
        <v>3.8249999999999997</v>
      </c>
      <c r="X111" s="379">
        <f t="shared" si="98"/>
        <v>3.8249999999999997</v>
      </c>
      <c r="Y111" s="379">
        <f t="shared" si="98"/>
        <v>3.8249999999999997</v>
      </c>
      <c r="Z111" s="379">
        <f>SUM(0.12+0.15)</f>
        <v>0.27</v>
      </c>
      <c r="AA111" s="65"/>
      <c r="AB111" s="42"/>
      <c r="AC111" s="72"/>
      <c r="AD111" s="72"/>
      <c r="AE111" s="72"/>
      <c r="AF111" s="72"/>
      <c r="AG111" s="62">
        <f t="shared" si="87"/>
        <v>0.94608000000000003</v>
      </c>
      <c r="AH111" s="65"/>
      <c r="AI111" s="65">
        <v>2019</v>
      </c>
      <c r="AJ111" s="65">
        <v>30</v>
      </c>
      <c r="AL111" s="106"/>
      <c r="AM111" s="105" t="str">
        <f t="shared" si="88"/>
        <v>R-SH_Det_LPG_N1</v>
      </c>
      <c r="AN111" s="105" t="str">
        <f t="shared" si="89"/>
        <v>Residential Liquid Petroleum Gas- New 1 SH</v>
      </c>
      <c r="AO111" s="106" t="s">
        <v>13</v>
      </c>
      <c r="AP111" s="106" t="s">
        <v>180</v>
      </c>
      <c r="AQ111" s="106"/>
      <c r="AR111" s="106" t="s">
        <v>75</v>
      </c>
    </row>
    <row r="112" spans="3:44" ht="15" x14ac:dyDescent="0.25">
      <c r="C112" s="22" t="str">
        <f>"R-SW_Det"&amp;"_"&amp;RIGHT(E112,3)&amp;"_N1"</f>
        <v>R-SW_Det_LPG_N1</v>
      </c>
      <c r="D112" s="23" t="s">
        <v>104</v>
      </c>
      <c r="E112" s="24" t="s">
        <v>265</v>
      </c>
      <c r="F112" s="24"/>
      <c r="G112" s="57" t="s">
        <v>731</v>
      </c>
      <c r="H112" s="22">
        <v>1</v>
      </c>
      <c r="I112" s="23">
        <v>1</v>
      </c>
      <c r="J112" s="23">
        <v>1</v>
      </c>
      <c r="K112" s="57">
        <v>1</v>
      </c>
      <c r="L112" s="44"/>
      <c r="M112" s="32"/>
      <c r="N112" s="32"/>
      <c r="O112" s="45"/>
      <c r="P112" s="22">
        <f>H112*0.7</f>
        <v>0.7</v>
      </c>
      <c r="Q112" s="23">
        <f t="shared" ref="Q112" si="99">I112*0.7</f>
        <v>0.7</v>
      </c>
      <c r="R112" s="23">
        <f t="shared" ref="R112" si="100">J112*0.7</f>
        <v>0.7</v>
      </c>
      <c r="S112" s="57">
        <f t="shared" ref="S112" si="101">K112*0.7</f>
        <v>0.7</v>
      </c>
      <c r="T112" s="53">
        <v>20</v>
      </c>
      <c r="U112" s="25"/>
      <c r="V112" s="380">
        <f t="shared" si="98"/>
        <v>4.1040057915057915</v>
      </c>
      <c r="W112" s="380">
        <f t="shared" si="98"/>
        <v>4.1040057915057915</v>
      </c>
      <c r="X112" s="380">
        <f t="shared" si="98"/>
        <v>4.1040057915057915</v>
      </c>
      <c r="Y112" s="380">
        <f t="shared" si="98"/>
        <v>4.1040057915057915</v>
      </c>
      <c r="Z112" s="379">
        <f>SUM(0.12+0.15)</f>
        <v>0.27</v>
      </c>
      <c r="AA112" s="66"/>
      <c r="AB112" s="44"/>
      <c r="AC112" s="73"/>
      <c r="AD112" s="73"/>
      <c r="AE112" s="73"/>
      <c r="AF112" s="73"/>
      <c r="AG112" s="63">
        <f t="shared" si="87"/>
        <v>1.1983680000000001</v>
      </c>
      <c r="AH112" s="66"/>
      <c r="AI112" s="66">
        <v>2019</v>
      </c>
      <c r="AJ112" s="66">
        <v>38</v>
      </c>
      <c r="AL112" s="106"/>
      <c r="AM112" s="105" t="str">
        <f t="shared" si="88"/>
        <v>R-SW_Det_LPG_N1</v>
      </c>
      <c r="AN112" s="105" t="str">
        <f t="shared" si="89"/>
        <v>Residential Liquid Petroleum Gas- New 2 SH + WH</v>
      </c>
      <c r="AO112" s="106" t="s">
        <v>13</v>
      </c>
      <c r="AP112" s="106" t="s">
        <v>180</v>
      </c>
      <c r="AQ112" s="106"/>
      <c r="AR112" s="106" t="s">
        <v>75</v>
      </c>
    </row>
    <row r="113" spans="3:44" ht="15" x14ac:dyDescent="0.25">
      <c r="C113" s="40" t="str">
        <f>"R-SH_Det"&amp;"_"&amp;RIGHT(E113,3)&amp;"_N1"</f>
        <v>R-SH_Det_WOO_N1</v>
      </c>
      <c r="D113" s="29" t="s">
        <v>105</v>
      </c>
      <c r="E113" s="30" t="s">
        <v>268</v>
      </c>
      <c r="F113" s="30"/>
      <c r="G113" s="58" t="s">
        <v>730</v>
      </c>
      <c r="H113" s="40">
        <v>1</v>
      </c>
      <c r="I113" s="29">
        <v>1</v>
      </c>
      <c r="J113" s="29">
        <v>1</v>
      </c>
      <c r="K113" s="58">
        <v>1</v>
      </c>
      <c r="L113" s="42"/>
      <c r="M113" s="31"/>
      <c r="N113" s="31"/>
      <c r="O113" s="43"/>
      <c r="P113" s="40"/>
      <c r="Q113" s="29"/>
      <c r="R113" s="29"/>
      <c r="S113" s="58"/>
      <c r="T113" s="54">
        <v>20</v>
      </c>
      <c r="U113" s="41"/>
      <c r="V113" s="379">
        <v>22.5</v>
      </c>
      <c r="W113" s="379">
        <f>V113*0.96777</f>
        <v>21.774825</v>
      </c>
      <c r="X113" s="379">
        <f>V113*0.914844</f>
        <v>20.58399</v>
      </c>
      <c r="Y113" s="379">
        <f>V113*0.8181</f>
        <v>18.407250000000001</v>
      </c>
      <c r="Z113" s="379">
        <v>0.25</v>
      </c>
      <c r="AA113" s="65"/>
      <c r="AB113" s="42"/>
      <c r="AC113" s="72"/>
      <c r="AD113" s="72"/>
      <c r="AE113" s="72"/>
      <c r="AF113" s="72"/>
      <c r="AG113" s="62">
        <f t="shared" si="87"/>
        <v>0.94608000000000003</v>
      </c>
      <c r="AH113" s="65"/>
      <c r="AI113" s="65">
        <v>2019</v>
      </c>
      <c r="AJ113" s="65">
        <v>30</v>
      </c>
      <c r="AL113" s="106"/>
      <c r="AM113" s="105" t="str">
        <f t="shared" si="88"/>
        <v>R-SH_Det_WOO_N1</v>
      </c>
      <c r="AN113" s="105" t="str">
        <f t="shared" si="89"/>
        <v>Residential Biomass Boiler - New 1 SH</v>
      </c>
      <c r="AO113" s="106" t="s">
        <v>13</v>
      </c>
      <c r="AP113" s="106" t="s">
        <v>180</v>
      </c>
      <c r="AQ113" s="106"/>
      <c r="AR113" s="106" t="s">
        <v>75</v>
      </c>
    </row>
    <row r="114" spans="3:44" ht="15.75" thickBot="1" x14ac:dyDescent="0.3">
      <c r="C114" s="22" t="str">
        <f>"R-SW_Det"&amp;"_"&amp;RIGHT(E114,3)&amp;"_N1"</f>
        <v>R-SW_Det_WOO_N1</v>
      </c>
      <c r="D114" s="23" t="s">
        <v>106</v>
      </c>
      <c r="E114" s="24" t="s">
        <v>268</v>
      </c>
      <c r="F114" s="24"/>
      <c r="G114" s="57" t="s">
        <v>731</v>
      </c>
      <c r="H114" s="22">
        <v>1</v>
      </c>
      <c r="I114" s="23">
        <v>1</v>
      </c>
      <c r="J114" s="23">
        <v>1</v>
      </c>
      <c r="K114" s="57">
        <v>1</v>
      </c>
      <c r="L114" s="44"/>
      <c r="M114" s="32"/>
      <c r="N114" s="32"/>
      <c r="O114" s="45"/>
      <c r="P114" s="22">
        <f t="shared" ref="P114:S114" si="102">H114*0.7</f>
        <v>0.7</v>
      </c>
      <c r="Q114" s="23">
        <f t="shared" si="102"/>
        <v>0.7</v>
      </c>
      <c r="R114" s="23">
        <f t="shared" si="102"/>
        <v>0.7</v>
      </c>
      <c r="S114" s="57">
        <f t="shared" si="102"/>
        <v>0.7</v>
      </c>
      <c r="T114" s="53">
        <v>20</v>
      </c>
      <c r="U114" s="25"/>
      <c r="V114" s="380">
        <f>V113*($U$162/$U$161)</f>
        <v>22.778925619834713</v>
      </c>
      <c r="W114" s="380">
        <f t="shared" ref="W114" si="103">W113*($U$162/$U$161)</f>
        <v>22.04476084710744</v>
      </c>
      <c r="X114" s="380">
        <f t="shared" ref="X114" si="104">X113*($U$162/$U$161)</f>
        <v>20.839163429752066</v>
      </c>
      <c r="Y114" s="380">
        <f t="shared" ref="Y114" si="105">Y113*($U$162/$U$161)</f>
        <v>18.635439049586779</v>
      </c>
      <c r="Z114" s="380">
        <v>0.25</v>
      </c>
      <c r="AA114" s="66"/>
      <c r="AB114" s="44"/>
      <c r="AC114" s="73"/>
      <c r="AD114" s="73"/>
      <c r="AE114" s="73"/>
      <c r="AF114" s="73"/>
      <c r="AG114" s="63">
        <f t="shared" si="87"/>
        <v>1.1983680000000001</v>
      </c>
      <c r="AH114" s="66"/>
      <c r="AI114" s="66">
        <v>2019</v>
      </c>
      <c r="AJ114" s="66">
        <v>38</v>
      </c>
      <c r="AL114" s="109"/>
      <c r="AM114" s="108" t="str">
        <f t="shared" si="88"/>
        <v>R-SW_Det_WOO_N1</v>
      </c>
      <c r="AN114" s="108" t="str">
        <f t="shared" si="89"/>
        <v>Residential Biomass Boiler - New 2 SH + WH</v>
      </c>
      <c r="AO114" s="109" t="s">
        <v>13</v>
      </c>
      <c r="AP114" s="109" t="s">
        <v>180</v>
      </c>
      <c r="AQ114" s="109"/>
      <c r="AR114" s="109" t="s">
        <v>75</v>
      </c>
    </row>
    <row r="115" spans="3:44" ht="15.75" thickBot="1" x14ac:dyDescent="0.3">
      <c r="C115" s="40" t="str">
        <f>"R-SH_Det"&amp;"_"&amp;"FPL"&amp;"_N1"</f>
        <v>R-SH_Det_FPL_N1</v>
      </c>
      <c r="D115" s="29" t="s">
        <v>568</v>
      </c>
      <c r="E115" s="30" t="s">
        <v>565</v>
      </c>
      <c r="F115" s="30"/>
      <c r="G115" s="58" t="s">
        <v>730</v>
      </c>
      <c r="H115" s="40">
        <v>0.55000000000000004</v>
      </c>
      <c r="I115" s="40">
        <v>0.55000000000000004</v>
      </c>
      <c r="J115" s="40">
        <v>0.55000000000000004</v>
      </c>
      <c r="K115" s="40">
        <v>0.55000000000000004</v>
      </c>
      <c r="L115" s="44"/>
      <c r="M115" s="32"/>
      <c r="N115" s="32"/>
      <c r="O115" s="45"/>
      <c r="P115" s="22"/>
      <c r="Q115" s="23"/>
      <c r="R115" s="23"/>
      <c r="S115" s="57"/>
      <c r="T115" s="54">
        <v>20</v>
      </c>
      <c r="U115" s="25"/>
      <c r="V115" s="380">
        <f>((JRC_Data!BB13)/1000)*$U$163</f>
        <v>2.6</v>
      </c>
      <c r="W115" s="380">
        <f>((JRC_Data!BC13)/1000)*$U$163</f>
        <v>2.6</v>
      </c>
      <c r="X115" s="380">
        <f>((JRC_Data!BD13)/1000)*$U$163</f>
        <v>3.5</v>
      </c>
      <c r="Y115" s="380">
        <f>((JRC_Data!BE13)/1000)*$U$163</f>
        <v>3.5</v>
      </c>
      <c r="Z115" s="380">
        <v>0.12</v>
      </c>
      <c r="AA115" s="66"/>
      <c r="AB115" s="44"/>
      <c r="AC115" s="73"/>
      <c r="AD115" s="73"/>
      <c r="AE115" s="73"/>
      <c r="AF115" s="73"/>
      <c r="AG115" s="63">
        <f t="shared" si="87"/>
        <v>0.94608000000000003</v>
      </c>
      <c r="AH115" s="66"/>
      <c r="AI115" s="65">
        <v>2019</v>
      </c>
      <c r="AJ115" s="66">
        <v>30</v>
      </c>
      <c r="AL115" s="109"/>
      <c r="AM115" s="443" t="s">
        <v>574</v>
      </c>
      <c r="AN115" s="108" t="str">
        <f>D115</f>
        <v>Residential  Stove New 1 - SH</v>
      </c>
      <c r="AO115" s="106" t="s">
        <v>13</v>
      </c>
      <c r="AP115" s="106" t="s">
        <v>180</v>
      </c>
      <c r="AQ115" s="109"/>
      <c r="AR115" s="109"/>
    </row>
    <row r="116" spans="3:44" ht="15.75" thickBot="1" x14ac:dyDescent="0.3">
      <c r="C116" s="22" t="str">
        <f>"R-SW_Det"&amp;"_"&amp;"FPL"&amp;"_N1"</f>
        <v>R-SW_Det_FPL_N1</v>
      </c>
      <c r="D116" s="23" t="s">
        <v>569</v>
      </c>
      <c r="E116" s="24" t="s">
        <v>565</v>
      </c>
      <c r="F116" s="24"/>
      <c r="G116" s="57" t="s">
        <v>731</v>
      </c>
      <c r="H116" s="40">
        <v>0.55000000000000004</v>
      </c>
      <c r="I116" s="40">
        <v>0.55000000000000004</v>
      </c>
      <c r="J116" s="40">
        <v>0.55000000000000004</v>
      </c>
      <c r="K116" s="40">
        <v>0.55000000000000004</v>
      </c>
      <c r="L116" s="44"/>
      <c r="M116" s="32"/>
      <c r="N116" s="32"/>
      <c r="O116" s="45"/>
      <c r="P116" s="22">
        <f t="shared" ref="P116:P118" si="106">H116*0.7</f>
        <v>0.38500000000000001</v>
      </c>
      <c r="Q116" s="23">
        <f t="shared" ref="Q116:Q118" si="107">I116*0.7</f>
        <v>0.38500000000000001</v>
      </c>
      <c r="R116" s="23">
        <f t="shared" ref="R116:R118" si="108">J116*0.7</f>
        <v>0.38500000000000001</v>
      </c>
      <c r="S116" s="57">
        <f t="shared" ref="S116:S118" si="109">K116*0.7</f>
        <v>0.38500000000000001</v>
      </c>
      <c r="T116" s="53">
        <v>20</v>
      </c>
      <c r="U116" s="25"/>
      <c r="V116" s="380">
        <f>((JRC_Data!BB13)/1000)*$U$164</f>
        <v>2.8057915057915057</v>
      </c>
      <c r="W116" s="380">
        <f>((JRC_Data!BC13)/1000)*$U$164</f>
        <v>2.8057915057915057</v>
      </c>
      <c r="X116" s="380">
        <f>((JRC_Data!BD13)/1000)*$U$164</f>
        <v>3.7770270270270268</v>
      </c>
      <c r="Y116" s="380">
        <f>((JRC_Data!BE13)/1000)*$U$164</f>
        <v>3.7770270270270268</v>
      </c>
      <c r="Z116" s="442">
        <v>0.12</v>
      </c>
      <c r="AA116" s="66"/>
      <c r="AB116" s="44"/>
      <c r="AC116" s="73"/>
      <c r="AD116" s="73"/>
      <c r="AE116" s="73"/>
      <c r="AF116" s="73"/>
      <c r="AG116" s="63">
        <f t="shared" si="87"/>
        <v>1.1983680000000001</v>
      </c>
      <c r="AH116" s="66"/>
      <c r="AI116" s="66">
        <v>2019</v>
      </c>
      <c r="AJ116" s="66">
        <v>38</v>
      </c>
      <c r="AL116" s="109"/>
      <c r="AM116" s="443" t="s">
        <v>575</v>
      </c>
      <c r="AN116" s="108" t="str">
        <f>D116</f>
        <v>Residential  Stove with back boiler New 1 - SH +WH</v>
      </c>
      <c r="AO116" s="109" t="s">
        <v>13</v>
      </c>
      <c r="AP116" s="109" t="s">
        <v>180</v>
      </c>
      <c r="AQ116" s="109"/>
      <c r="AR116" s="109"/>
    </row>
    <row r="117" spans="3:44" ht="15.75" thickBot="1" x14ac:dyDescent="0.3">
      <c r="C117" s="40" t="s">
        <v>572</v>
      </c>
      <c r="D117" s="29" t="s">
        <v>261</v>
      </c>
      <c r="E117" s="30" t="s">
        <v>270</v>
      </c>
      <c r="F117" s="30"/>
      <c r="G117" s="58" t="s">
        <v>730</v>
      </c>
      <c r="H117" s="40">
        <v>0.82</v>
      </c>
      <c r="I117" s="40">
        <v>0.82</v>
      </c>
      <c r="J117" s="40">
        <v>0.82</v>
      </c>
      <c r="K117" s="40">
        <v>0.82</v>
      </c>
      <c r="L117" s="42"/>
      <c r="M117" s="31"/>
      <c r="N117" s="31"/>
      <c r="O117" s="43"/>
      <c r="P117" s="40"/>
      <c r="Q117" s="29"/>
      <c r="R117" s="29"/>
      <c r="S117" s="58"/>
      <c r="T117" s="54">
        <v>20</v>
      </c>
      <c r="U117" s="41"/>
      <c r="V117" s="62">
        <f>V103</f>
        <v>4.5825000000000005</v>
      </c>
      <c r="W117" s="62">
        <f t="shared" ref="W117:Z117" si="110">W103</f>
        <v>4.5825000000000005</v>
      </c>
      <c r="X117" s="62">
        <f t="shared" si="110"/>
        <v>4.5825000000000005</v>
      </c>
      <c r="Y117" s="62">
        <f t="shared" si="110"/>
        <v>4.5825000000000005</v>
      </c>
      <c r="Z117" s="62">
        <f t="shared" si="110"/>
        <v>0.12</v>
      </c>
      <c r="AA117" s="65"/>
      <c r="AB117" s="42"/>
      <c r="AC117" s="72"/>
      <c r="AD117" s="72"/>
      <c r="AE117" s="72"/>
      <c r="AF117" s="72"/>
      <c r="AG117" s="62">
        <f t="shared" si="87"/>
        <v>0.94608000000000003</v>
      </c>
      <c r="AH117" s="65"/>
      <c r="AI117" s="65">
        <v>2019</v>
      </c>
      <c r="AJ117" s="65">
        <v>30</v>
      </c>
      <c r="AL117" s="109"/>
      <c r="AM117" s="108" t="str">
        <f>C117</f>
        <v>R-SH_Det_HVO_N1</v>
      </c>
      <c r="AN117" s="108" t="str">
        <f>D117</f>
        <v>Residential  Hydrotreated vegetable oil - New 1 SH</v>
      </c>
      <c r="AO117" s="109" t="s">
        <v>13</v>
      </c>
      <c r="AP117" s="109" t="s">
        <v>180</v>
      </c>
      <c r="AQ117" s="109"/>
      <c r="AR117" s="109" t="s">
        <v>75</v>
      </c>
    </row>
    <row r="118" spans="3:44" ht="15.75" thickBot="1" x14ac:dyDescent="0.3">
      <c r="C118" s="22" t="s">
        <v>573</v>
      </c>
      <c r="D118" s="23" t="s">
        <v>531</v>
      </c>
      <c r="E118" s="24" t="s">
        <v>270</v>
      </c>
      <c r="F118" s="24"/>
      <c r="G118" s="57" t="s">
        <v>731</v>
      </c>
      <c r="H118" s="22">
        <v>0.82</v>
      </c>
      <c r="I118" s="22">
        <v>0.82</v>
      </c>
      <c r="J118" s="22">
        <v>0.82</v>
      </c>
      <c r="K118" s="22">
        <v>0.82</v>
      </c>
      <c r="L118" s="49"/>
      <c r="M118" s="50"/>
      <c r="N118" s="50"/>
      <c r="O118" s="51"/>
      <c r="P118" s="252">
        <f t="shared" si="106"/>
        <v>0.57399999999999995</v>
      </c>
      <c r="Q118" s="26">
        <f t="shared" si="107"/>
        <v>0.57399999999999995</v>
      </c>
      <c r="R118" s="26">
        <f t="shared" si="108"/>
        <v>0.57399999999999995</v>
      </c>
      <c r="S118" s="59">
        <f t="shared" si="109"/>
        <v>0.57399999999999995</v>
      </c>
      <c r="T118" s="55">
        <v>20</v>
      </c>
      <c r="U118" s="28"/>
      <c r="V118" s="62">
        <f>V104</f>
        <v>4.9452075289575284</v>
      </c>
      <c r="W118" s="62">
        <f t="shared" ref="W118:Z118" si="111">W104</f>
        <v>4.9452075289575284</v>
      </c>
      <c r="X118" s="62">
        <f t="shared" si="111"/>
        <v>4.9452075289575284</v>
      </c>
      <c r="Y118" s="62">
        <f t="shared" si="111"/>
        <v>4.9452075289575284</v>
      </c>
      <c r="Z118" s="62">
        <f t="shared" si="111"/>
        <v>0.12</v>
      </c>
      <c r="AA118" s="66"/>
      <c r="AB118" s="44"/>
      <c r="AC118" s="73"/>
      <c r="AD118" s="73"/>
      <c r="AE118" s="73"/>
      <c r="AF118" s="73"/>
      <c r="AG118" s="63">
        <f t="shared" si="87"/>
        <v>1.1983680000000001</v>
      </c>
      <c r="AH118" s="67"/>
      <c r="AI118" s="67">
        <v>2019</v>
      </c>
      <c r="AJ118" s="67">
        <v>38</v>
      </c>
      <c r="AL118" s="109"/>
      <c r="AM118" s="108" t="str">
        <f>C118</f>
        <v>R-SW_Det_HVO_N1</v>
      </c>
      <c r="AN118" s="108" t="str">
        <f>D118</f>
        <v>Residential  Hydrotreated vegetable oil - New 1 SH + WH</v>
      </c>
      <c r="AO118" s="109" t="s">
        <v>13</v>
      </c>
      <c r="AP118" s="109" t="s">
        <v>180</v>
      </c>
      <c r="AQ118" s="109"/>
      <c r="AR118" s="109" t="s">
        <v>75</v>
      </c>
    </row>
    <row r="119" spans="3:44" ht="15.75" thickBot="1" x14ac:dyDescent="0.3">
      <c r="C119" s="33" t="s">
        <v>275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110"/>
      <c r="AM119" s="111" t="str">
        <f>C120</f>
        <v>R-SH_Det_ELC_N1</v>
      </c>
      <c r="AN119" s="111" t="str">
        <f>D120</f>
        <v>Residential Electric Heater - New 1 SH</v>
      </c>
      <c r="AO119" s="110" t="s">
        <v>13</v>
      </c>
      <c r="AP119" s="110" t="s">
        <v>180</v>
      </c>
      <c r="AQ119" s="110"/>
      <c r="AR119" s="110" t="s">
        <v>75</v>
      </c>
    </row>
    <row r="120" spans="3:44" ht="15" x14ac:dyDescent="0.25">
      <c r="C120" s="96" t="str">
        <f>"R-SH_Det"&amp;"_"&amp;RIGHT(E120,3)&amp;"_N1"</f>
        <v>R-SH_Det_ELC_N1</v>
      </c>
      <c r="D120" s="80" t="s">
        <v>107</v>
      </c>
      <c r="E120" s="121" t="s">
        <v>153</v>
      </c>
      <c r="F120" s="121"/>
      <c r="G120" s="81" t="s">
        <v>730</v>
      </c>
      <c r="H120" s="249">
        <v>1</v>
      </c>
      <c r="I120" s="250">
        <v>1</v>
      </c>
      <c r="J120" s="250">
        <v>1</v>
      </c>
      <c r="K120" s="251">
        <v>1</v>
      </c>
      <c r="L120" s="74"/>
      <c r="M120" s="75"/>
      <c r="N120" s="75"/>
      <c r="O120" s="76"/>
      <c r="P120" s="74"/>
      <c r="Q120" s="75"/>
      <c r="R120" s="75"/>
      <c r="S120" s="76"/>
      <c r="T120" s="77">
        <v>20</v>
      </c>
      <c r="U120" s="78"/>
      <c r="V120" s="79">
        <f>(JRC_Data!BB48/1000)*($U$163/$U$161)</f>
        <v>4.2809917355371896</v>
      </c>
      <c r="W120" s="79">
        <f>(JRC_Data!BC48/1000)*($U$163/$U$161)</f>
        <v>4.2809917355371896</v>
      </c>
      <c r="X120" s="79">
        <f>(JRC_Data!BD48/1000)*($U$163/$U$161)</f>
        <v>4.2809917355371896</v>
      </c>
      <c r="Y120" s="79">
        <f>(JRC_Data!BE48/1000)*($U$163/$U$161)</f>
        <v>4.2809917355371896</v>
      </c>
      <c r="Z120" s="82">
        <f>JRC_Data!BL48/1000</f>
        <v>0.05</v>
      </c>
      <c r="AA120" s="83"/>
      <c r="AB120" s="84"/>
      <c r="AC120" s="84"/>
      <c r="AD120" s="84"/>
      <c r="AE120" s="84"/>
      <c r="AF120" s="84"/>
      <c r="AG120" s="82">
        <f t="shared" si="87"/>
        <v>0.94608000000000003</v>
      </c>
      <c r="AH120" s="83"/>
      <c r="AI120" s="83">
        <v>2019</v>
      </c>
      <c r="AJ120" s="83">
        <v>30</v>
      </c>
      <c r="AL120" s="104"/>
      <c r="AM120" s="103" t="str">
        <f t="shared" ref="AM120:AN126" si="112">C122</f>
        <v>R-SH_Det_ELC_HPN1</v>
      </c>
      <c r="AN120" s="103" t="str">
        <f t="shared" si="112"/>
        <v>Residential Electric Heat Pump - Air to Air - SH</v>
      </c>
      <c r="AO120" s="104" t="s">
        <v>13</v>
      </c>
      <c r="AP120" s="104" t="s">
        <v>180</v>
      </c>
      <c r="AQ120" s="104"/>
      <c r="AR120" s="104" t="s">
        <v>75</v>
      </c>
    </row>
    <row r="121" spans="3:44" ht="15" x14ac:dyDescent="0.25">
      <c r="C121" s="33" t="s">
        <v>276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106"/>
      <c r="AM121" s="105" t="str">
        <f t="shared" si="112"/>
        <v>R-HC_Det_ELC_HPN1</v>
      </c>
      <c r="AN121" s="105" t="str">
        <f t="shared" si="112"/>
        <v>Residential Electric Heat Pump - Air to Air - SH + SC</v>
      </c>
      <c r="AO121" s="106" t="s">
        <v>13</v>
      </c>
      <c r="AP121" s="106" t="s">
        <v>180</v>
      </c>
      <c r="AQ121" s="106"/>
      <c r="AR121" s="106" t="s">
        <v>75</v>
      </c>
    </row>
    <row r="122" spans="3:44" ht="15" x14ac:dyDescent="0.25">
      <c r="C122" s="19" t="str">
        <f>"R-SH_Det"&amp;"_"&amp;RIGHT(E122,3)&amp;"_HPN1"</f>
        <v>R-SH_Det_ELC_HPN1</v>
      </c>
      <c r="D122" s="20" t="s">
        <v>109</v>
      </c>
      <c r="E122" s="89" t="s">
        <v>153</v>
      </c>
      <c r="F122" s="89" t="s">
        <v>563</v>
      </c>
      <c r="G122" s="56" t="s">
        <v>730</v>
      </c>
      <c r="H122" s="19">
        <v>1</v>
      </c>
      <c r="I122" s="20">
        <v>1.0666666666666667</v>
      </c>
      <c r="J122" s="20">
        <v>1.2333333333333334</v>
      </c>
      <c r="K122" s="56">
        <v>1.3333333333333333</v>
      </c>
      <c r="L122" s="19"/>
      <c r="M122" s="20"/>
      <c r="N122" s="20"/>
      <c r="O122" s="56"/>
      <c r="P122" s="19"/>
      <c r="Q122" s="20"/>
      <c r="R122" s="20"/>
      <c r="S122" s="56"/>
      <c r="T122" s="52">
        <v>20</v>
      </c>
      <c r="U122" s="48"/>
      <c r="V122" s="19">
        <f>(JRC_Data!BB16/1000)*($U$163/$U$162)</f>
        <v>2.3257142857142861</v>
      </c>
      <c r="W122" s="19">
        <f>(JRC_Data!BC16/1000)*($U$163/$U$162)</f>
        <v>2.2200000000000002</v>
      </c>
      <c r="X122" s="19">
        <f>(JRC_Data!BD16/1000)*($U$163/$U$162)</f>
        <v>2.0085714285714285</v>
      </c>
      <c r="Y122" s="19">
        <f>(JRC_Data!BE16/1000)*($U$163/$U$162)</f>
        <v>1.902857142857143</v>
      </c>
      <c r="Z122" s="85">
        <f>JRC_Data!BL16/1000</f>
        <v>3.4000000000000002E-2</v>
      </c>
      <c r="AA122" s="85"/>
      <c r="AB122" s="85"/>
      <c r="AC122" s="85"/>
      <c r="AD122" s="85"/>
      <c r="AE122" s="85"/>
      <c r="AF122" s="85"/>
      <c r="AG122" s="85">
        <f t="shared" si="87"/>
        <v>0.31536000000000003</v>
      </c>
      <c r="AH122" s="88"/>
      <c r="AI122" s="88">
        <v>2100</v>
      </c>
      <c r="AJ122" s="88">
        <v>10</v>
      </c>
      <c r="AL122" s="106"/>
      <c r="AM122" s="105" t="str">
        <f t="shared" si="112"/>
        <v>R-SH_Det_ELC_HPN2</v>
      </c>
      <c r="AN122" s="105" t="str">
        <f t="shared" si="112"/>
        <v>Residential Electric Heat Pump - Air to Water - SH</v>
      </c>
      <c r="AO122" s="106" t="s">
        <v>13</v>
      </c>
      <c r="AP122" s="106" t="s">
        <v>180</v>
      </c>
      <c r="AQ122" s="106"/>
      <c r="AR122" s="106" t="s">
        <v>75</v>
      </c>
    </row>
    <row r="123" spans="3:44" ht="15" x14ac:dyDescent="0.25">
      <c r="C123" s="22" t="str">
        <f>"R-HC_Det"&amp;"_"&amp;RIGHT(E123,3)&amp;"_HPN1"</f>
        <v>R-HC_Det_ELC_HPN1</v>
      </c>
      <c r="D123" s="23" t="s">
        <v>110</v>
      </c>
      <c r="E123" s="24" t="s">
        <v>153</v>
      </c>
      <c r="F123" s="24" t="s">
        <v>563</v>
      </c>
      <c r="G123" s="57" t="s">
        <v>732</v>
      </c>
      <c r="H123" s="22">
        <v>1</v>
      </c>
      <c r="I123" s="23">
        <v>1.0666666666666667</v>
      </c>
      <c r="J123" s="23">
        <v>1.2333333333333334</v>
      </c>
      <c r="K123" s="57">
        <v>1.3333333333333333</v>
      </c>
      <c r="L123" s="22">
        <v>1</v>
      </c>
      <c r="M123" s="23">
        <v>1.0666666666666667</v>
      </c>
      <c r="N123" s="23">
        <v>1.2333333333333334</v>
      </c>
      <c r="O123" s="57">
        <v>1.3333333333333333</v>
      </c>
      <c r="P123" s="22"/>
      <c r="Q123" s="23"/>
      <c r="R123" s="23"/>
      <c r="S123" s="57"/>
      <c r="T123" s="53">
        <v>20</v>
      </c>
      <c r="U123" s="45"/>
      <c r="V123" s="22">
        <f>(JRC_Data!BB16/1000)*($U$164/$U$162)</f>
        <v>2.5097959183673471</v>
      </c>
      <c r="W123" s="22">
        <f>(JRC_Data!BC16/1000)*($U$164/$U$162)</f>
        <v>2.3957142857142855</v>
      </c>
      <c r="X123" s="22">
        <f>(JRC_Data!BD16/1000)*($U$164/$U$162)</f>
        <v>2.1675510204081632</v>
      </c>
      <c r="Y123" s="22">
        <f>(JRC_Data!BE16/1000)*($U$164/$U$162)</f>
        <v>2.053469387755102</v>
      </c>
      <c r="Z123" s="63">
        <f>JRC_Data!BL16/1000</f>
        <v>3.4000000000000002E-2</v>
      </c>
      <c r="AA123" s="63"/>
      <c r="AB123" s="63"/>
      <c r="AC123" s="63"/>
      <c r="AD123" s="63"/>
      <c r="AE123" s="63"/>
      <c r="AF123" s="63"/>
      <c r="AG123" s="63">
        <f t="shared" si="87"/>
        <v>0.37843200000000005</v>
      </c>
      <c r="AH123" s="66"/>
      <c r="AI123" s="66">
        <v>2100</v>
      </c>
      <c r="AJ123" s="66">
        <v>12</v>
      </c>
      <c r="AL123" s="106"/>
      <c r="AM123" s="105" t="str">
        <f t="shared" si="112"/>
        <v>R-SW_Det_ELC_HPN1</v>
      </c>
      <c r="AN123" s="105" t="str">
        <f t="shared" si="112"/>
        <v>Residential Electric Heat Pump - Air to Water - SH + WH</v>
      </c>
      <c r="AO123" s="106" t="s">
        <v>13</v>
      </c>
      <c r="AP123" s="106" t="s">
        <v>180</v>
      </c>
      <c r="AQ123" s="106"/>
      <c r="AR123" s="106" t="s">
        <v>75</v>
      </c>
    </row>
    <row r="124" spans="3:44" ht="15" x14ac:dyDescent="0.25">
      <c r="C124" s="40" t="str">
        <f>"R-SH_Det"&amp;"_"&amp;RIGHT(E124,3)&amp;"_HPN2"</f>
        <v>R-SH_Det_ELC_HPN2</v>
      </c>
      <c r="D124" s="29" t="s">
        <v>111</v>
      </c>
      <c r="E124" s="30" t="s">
        <v>153</v>
      </c>
      <c r="F124" s="30" t="s">
        <v>563</v>
      </c>
      <c r="G124" s="58" t="s">
        <v>730</v>
      </c>
      <c r="H124" s="40">
        <v>1</v>
      </c>
      <c r="I124" s="29">
        <v>1.0999999999999999</v>
      </c>
      <c r="J124" s="29">
        <v>1.2333333333333334</v>
      </c>
      <c r="K124" s="58">
        <v>1.3333333333333333</v>
      </c>
      <c r="L124" s="40"/>
      <c r="M124" s="29"/>
      <c r="N124" s="29"/>
      <c r="O124" s="58"/>
      <c r="P124" s="40"/>
      <c r="Q124" s="29"/>
      <c r="R124" s="29"/>
      <c r="S124" s="58"/>
      <c r="T124" s="54">
        <v>20</v>
      </c>
      <c r="U124" s="43"/>
      <c r="V124" s="379">
        <v>9.8469999999999995</v>
      </c>
      <c r="W124" s="379">
        <f>V124*0.91</f>
        <v>8.9607700000000001</v>
      </c>
      <c r="X124" s="379">
        <f>W124*0.91</f>
        <v>8.1543007000000003</v>
      </c>
      <c r="Y124" s="379">
        <f>V124*0.82</f>
        <v>8.0745399999999989</v>
      </c>
      <c r="Z124" s="379">
        <v>0.1</v>
      </c>
      <c r="AA124" s="62"/>
      <c r="AB124" s="62"/>
      <c r="AC124" s="62"/>
      <c r="AD124" s="62"/>
      <c r="AE124" s="62"/>
      <c r="AF124" s="62"/>
      <c r="AG124" s="62">
        <f t="shared" si="87"/>
        <v>0.31536000000000003</v>
      </c>
      <c r="AH124" s="65"/>
      <c r="AI124" s="65">
        <v>2019</v>
      </c>
      <c r="AJ124" s="65">
        <v>10</v>
      </c>
      <c r="AL124" s="212"/>
      <c r="AM124" s="105" t="str">
        <f t="shared" si="112"/>
        <v>R-SW_Det_ELC_HPN2</v>
      </c>
      <c r="AN124" s="105" t="str">
        <f t="shared" si="112"/>
        <v>Residential Electric Heat Pump - Air to Water - SH + WH + Solar</v>
      </c>
      <c r="AO124" s="106" t="s">
        <v>13</v>
      </c>
      <c r="AP124" s="106" t="s">
        <v>180</v>
      </c>
      <c r="AQ124" s="106"/>
      <c r="AR124" s="106" t="s">
        <v>75</v>
      </c>
    </row>
    <row r="125" spans="3:44" ht="15" x14ac:dyDescent="0.25">
      <c r="C125" s="22" t="str">
        <f>"R-SW_Det"&amp;"_"&amp;RIGHT(E125,3)&amp;"_HPN1"</f>
        <v>R-SW_Det_ELC_HPN1</v>
      </c>
      <c r="D125" s="23" t="s">
        <v>112</v>
      </c>
      <c r="E125" s="24" t="s">
        <v>153</v>
      </c>
      <c r="F125" s="24" t="s">
        <v>666</v>
      </c>
      <c r="G125" s="57" t="s">
        <v>731</v>
      </c>
      <c r="H125" s="22">
        <v>1</v>
      </c>
      <c r="I125" s="23">
        <v>1.0999999999999999</v>
      </c>
      <c r="J125" s="23">
        <v>1.2333333333333334</v>
      </c>
      <c r="K125" s="57">
        <v>1.3333333333333333</v>
      </c>
      <c r="L125" s="22"/>
      <c r="M125" s="23"/>
      <c r="N125" s="23"/>
      <c r="O125" s="57"/>
      <c r="P125" s="22">
        <f>H125*0.7</f>
        <v>0.7</v>
      </c>
      <c r="Q125" s="23">
        <f t="shared" ref="Q125:Q126" si="113">I125*0.7</f>
        <v>0.76999999999999991</v>
      </c>
      <c r="R125" s="23">
        <f t="shared" ref="R125:R126" si="114">J125*0.7</f>
        <v>0.86333333333333329</v>
      </c>
      <c r="S125" s="57">
        <f t="shared" ref="S125:S126" si="115">K125*0.7</f>
        <v>0.93333333333333324</v>
      </c>
      <c r="T125" s="53">
        <v>20</v>
      </c>
      <c r="U125" s="45"/>
      <c r="V125" s="380">
        <f>V124*($U$160/$U$159)</f>
        <v>9.9300970464135023</v>
      </c>
      <c r="W125" s="380">
        <f t="shared" ref="W125" si="116">W124*($U$160/$U$159)</f>
        <v>9.0363883122362889</v>
      </c>
      <c r="X125" s="380">
        <f t="shared" ref="X125" si="117">X124*($U$160/$U$159)</f>
        <v>8.2231133641350223</v>
      </c>
      <c r="Y125" s="380">
        <f t="shared" ref="Y125" si="118">Y124*($U$160/$U$159)</f>
        <v>8.1426795780590719</v>
      </c>
      <c r="Z125" s="380">
        <v>0.1</v>
      </c>
      <c r="AA125" s="63"/>
      <c r="AB125" s="63"/>
      <c r="AC125" s="63"/>
      <c r="AD125" s="63"/>
      <c r="AE125" s="63"/>
      <c r="AF125" s="63"/>
      <c r="AG125" s="63">
        <f t="shared" si="87"/>
        <v>0.37843200000000005</v>
      </c>
      <c r="AH125" s="66"/>
      <c r="AI125" s="66">
        <v>2019</v>
      </c>
      <c r="AJ125" s="66">
        <v>12</v>
      </c>
      <c r="AL125" s="212"/>
      <c r="AM125" s="105" t="str">
        <f t="shared" si="112"/>
        <v>R-SH_Det_ELC_HPN3</v>
      </c>
      <c r="AN125" s="105" t="str">
        <f t="shared" si="112"/>
        <v>Residential Electric Heat Pump - Ground to Water - SH</v>
      </c>
      <c r="AO125" s="106" t="s">
        <v>13</v>
      </c>
      <c r="AP125" s="106" t="s">
        <v>180</v>
      </c>
      <c r="AQ125" s="106"/>
      <c r="AR125" s="106" t="s">
        <v>75</v>
      </c>
    </row>
    <row r="126" spans="3:44" ht="15.75" thickBot="1" x14ac:dyDescent="0.3">
      <c r="C126" s="40" t="str">
        <f>"R-SW_Det"&amp;"_"&amp;RIGHT(E126,3)&amp;"_HPN2"</f>
        <v>R-SW_Det_ELC_HPN2</v>
      </c>
      <c r="D126" s="29" t="s">
        <v>113</v>
      </c>
      <c r="E126" s="30" t="s">
        <v>555</v>
      </c>
      <c r="F126" s="30" t="s">
        <v>666</v>
      </c>
      <c r="G126" s="58" t="s">
        <v>731</v>
      </c>
      <c r="H126" s="40">
        <v>1</v>
      </c>
      <c r="I126" s="29">
        <v>1.1100000000000001</v>
      </c>
      <c r="J126" s="29">
        <v>1.19</v>
      </c>
      <c r="K126" s="58">
        <v>1.19</v>
      </c>
      <c r="L126" s="40"/>
      <c r="M126" s="29"/>
      <c r="N126" s="29"/>
      <c r="O126" s="58"/>
      <c r="P126" s="40">
        <f>H126*0.7</f>
        <v>0.7</v>
      </c>
      <c r="Q126" s="29">
        <f t="shared" si="113"/>
        <v>0.77700000000000002</v>
      </c>
      <c r="R126" s="29">
        <f t="shared" si="114"/>
        <v>0.83299999999999996</v>
      </c>
      <c r="S126" s="58">
        <f t="shared" si="115"/>
        <v>0.83299999999999996</v>
      </c>
      <c r="T126" s="54">
        <v>20</v>
      </c>
      <c r="U126" s="43"/>
      <c r="V126" s="40">
        <f>((JRC_Data!BB18+JRC_Data!BB45)*0.8/1000)*($U$164/$U$161)</f>
        <v>15.153057851239668</v>
      </c>
      <c r="W126" s="40">
        <f>((JRC_Data!BC18+JRC_Data!BC45)*0.8/1000)*($U$164/$U$161)</f>
        <v>13.95190082644628</v>
      </c>
      <c r="X126" s="40">
        <f>((JRC_Data!BD18+JRC_Data!BD45)*0.8/1000)*($U$164/$U$161)</f>
        <v>13.489917355371901</v>
      </c>
      <c r="Y126" s="40">
        <f>((JRC_Data!BE18+JRC_Data!BE45)*0.8/1000)*($U$164/$U$161)</f>
        <v>11.734380165289256</v>
      </c>
      <c r="Z126" s="62">
        <f>((JRC_Data!BL18+JRC_Data!BL45)*0.8)/1000</f>
        <v>0.16960000000000003</v>
      </c>
      <c r="AA126" s="62"/>
      <c r="AB126" s="72">
        <v>0.66</v>
      </c>
      <c r="AC126" s="62"/>
      <c r="AD126" s="62"/>
      <c r="AE126" s="62"/>
      <c r="AF126" s="216">
        <v>5</v>
      </c>
      <c r="AG126" s="62">
        <f t="shared" si="87"/>
        <v>0.37843200000000005</v>
      </c>
      <c r="AH126" s="65"/>
      <c r="AI126" s="65">
        <v>2019</v>
      </c>
      <c r="AJ126" s="65">
        <v>12</v>
      </c>
      <c r="AL126" s="112"/>
      <c r="AM126" s="108" t="str">
        <f t="shared" si="112"/>
        <v>R-HC_Det_ELC_HPN2</v>
      </c>
      <c r="AN126" s="108" t="str">
        <f t="shared" si="112"/>
        <v>Residential Electric Heat Pump - Ground to Water - SH + SC</v>
      </c>
      <c r="AO126" s="109" t="s">
        <v>13</v>
      </c>
      <c r="AP126" s="109" t="s">
        <v>180</v>
      </c>
      <c r="AQ126" s="109"/>
      <c r="AR126" s="109" t="s">
        <v>75</v>
      </c>
    </row>
    <row r="127" spans="3:44" ht="15" x14ac:dyDescent="0.25">
      <c r="C127" s="22" t="str">
        <f>"R-SH_Det"&amp;"_"&amp;RIGHT(E127,3)&amp;"_HPN3"</f>
        <v>R-SH_Det_ELC_HPN3</v>
      </c>
      <c r="D127" s="23" t="s">
        <v>114</v>
      </c>
      <c r="E127" s="24" t="s">
        <v>153</v>
      </c>
      <c r="F127" s="24" t="s">
        <v>563</v>
      </c>
      <c r="G127" s="57" t="s">
        <v>730</v>
      </c>
      <c r="H127" s="22">
        <v>1.0999999999999999</v>
      </c>
      <c r="I127" s="23">
        <v>1.1666666666666667</v>
      </c>
      <c r="J127" s="23">
        <v>1.3333333333333333</v>
      </c>
      <c r="K127" s="57">
        <v>1.5</v>
      </c>
      <c r="L127" s="22"/>
      <c r="M127" s="23"/>
      <c r="N127" s="23"/>
      <c r="O127" s="57"/>
      <c r="P127" s="22"/>
      <c r="Q127" s="23"/>
      <c r="R127" s="23"/>
      <c r="S127" s="57"/>
      <c r="T127" s="53">
        <v>20</v>
      </c>
      <c r="U127" s="45"/>
      <c r="V127" s="22">
        <f>(JRC_Data!BB20/1000)*($U$163/$U$162)</f>
        <v>14.8</v>
      </c>
      <c r="W127" s="22">
        <f>(JRC_Data!BC20/1000)*($U$163/$U$162)</f>
        <v>13.742857142857144</v>
      </c>
      <c r="X127" s="22">
        <f>(JRC_Data!BD20/1000)*($U$163/$U$162)</f>
        <v>12.685714285714287</v>
      </c>
      <c r="Y127" s="22">
        <f>(JRC_Data!BE20/1000)*($U$163/$U$162)</f>
        <v>11.628571428571428</v>
      </c>
      <c r="Z127" s="63">
        <f>JRC_Data!BL20/1000</f>
        <v>0.2</v>
      </c>
      <c r="AA127" s="63"/>
      <c r="AB127" s="63"/>
      <c r="AC127" s="63"/>
      <c r="AD127" s="63"/>
      <c r="AE127" s="63"/>
      <c r="AF127" s="63"/>
      <c r="AG127" s="63">
        <f t="shared" si="87"/>
        <v>0.31536000000000003</v>
      </c>
      <c r="AH127" s="66"/>
      <c r="AI127" s="66">
        <v>2019</v>
      </c>
      <c r="AJ127" s="66">
        <v>10</v>
      </c>
      <c r="AL127" s="113"/>
      <c r="AM127" s="103" t="str">
        <f>C130</f>
        <v>R-SW_Det_GAS_HPN1</v>
      </c>
      <c r="AN127" s="103" t="str">
        <f>D130</f>
        <v>Residential Gas Absorption Heat Pump - Air to Water - SH + WH</v>
      </c>
      <c r="AO127" s="104" t="s">
        <v>13</v>
      </c>
      <c r="AP127" s="104" t="s">
        <v>180</v>
      </c>
      <c r="AQ127" s="104"/>
      <c r="AR127" s="104" t="s">
        <v>75</v>
      </c>
    </row>
    <row r="128" spans="3:44" ht="15.75" thickBot="1" x14ac:dyDescent="0.3">
      <c r="C128" s="94" t="str">
        <f>"R-HC_Det"&amp;"_"&amp;RIGHT(E128,3)&amp;"_HPN2"</f>
        <v>R-HC_Det_ELC_HPN2</v>
      </c>
      <c r="D128" s="90" t="s">
        <v>115</v>
      </c>
      <c r="E128" s="119" t="s">
        <v>153</v>
      </c>
      <c r="F128" s="119" t="s">
        <v>563</v>
      </c>
      <c r="G128" s="95" t="s">
        <v>732</v>
      </c>
      <c r="H128" s="94">
        <v>1.0999999999999999</v>
      </c>
      <c r="I128" s="90">
        <v>1.1666666666666667</v>
      </c>
      <c r="J128" s="90">
        <v>1.3333333333333333</v>
      </c>
      <c r="K128" s="95">
        <v>1.5</v>
      </c>
      <c r="L128" s="94">
        <v>1.0999999999999999</v>
      </c>
      <c r="M128" s="90">
        <v>1.1666666666666667</v>
      </c>
      <c r="N128" s="90">
        <v>1.3333333333333333</v>
      </c>
      <c r="O128" s="95">
        <v>1.5</v>
      </c>
      <c r="P128" s="94"/>
      <c r="Q128" s="90"/>
      <c r="R128" s="90"/>
      <c r="S128" s="95"/>
      <c r="T128" s="101">
        <v>20</v>
      </c>
      <c r="U128" s="102"/>
      <c r="V128" s="94">
        <f>(JRC_Data!BB20/1000)*($U$164/$U$162)</f>
        <v>15.97142857142857</v>
      </c>
      <c r="W128" s="94">
        <f>(JRC_Data!BC20/1000)*($U$164/$U$162)</f>
        <v>14.830612244897958</v>
      </c>
      <c r="X128" s="94">
        <f>(JRC_Data!BD20/1000)*($U$164/$U$162)</f>
        <v>13.689795918367345</v>
      </c>
      <c r="Y128" s="94">
        <f>(JRC_Data!BE20/1000)*($U$164/$U$162)</f>
        <v>12.548979591836734</v>
      </c>
      <c r="Z128" s="86">
        <f>JRC_Data!BL20/1000</f>
        <v>0.2</v>
      </c>
      <c r="AA128" s="86"/>
      <c r="AB128" s="86"/>
      <c r="AC128" s="86"/>
      <c r="AD128" s="86"/>
      <c r="AE128" s="86"/>
      <c r="AF128" s="86"/>
      <c r="AG128" s="86">
        <f t="shared" si="87"/>
        <v>0.37843200000000005</v>
      </c>
      <c r="AH128" s="91"/>
      <c r="AI128" s="91">
        <v>2019</v>
      </c>
      <c r="AJ128" s="91">
        <v>12</v>
      </c>
      <c r="AL128" s="213"/>
      <c r="AM128" s="108" t="str">
        <f>C131</f>
        <v>R-SW_Det_GAS_HPN2</v>
      </c>
      <c r="AN128" s="108" t="str">
        <f>D131</f>
        <v>Residential Gas Engine Heat Pump - Air to Water - SH + WH</v>
      </c>
      <c r="AO128" s="109" t="s">
        <v>13</v>
      </c>
      <c r="AP128" s="109" t="s">
        <v>180</v>
      </c>
      <c r="AQ128" s="109"/>
      <c r="AR128" s="109" t="s">
        <v>75</v>
      </c>
    </row>
    <row r="129" spans="3:44" ht="15.75" thickBot="1" x14ac:dyDescent="0.3">
      <c r="C129" s="33" t="s">
        <v>277</v>
      </c>
      <c r="D129" s="33"/>
      <c r="E129" s="34"/>
      <c r="F129" s="34"/>
      <c r="G129" s="34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4"/>
      <c r="U129" s="34"/>
      <c r="V129" s="33"/>
      <c r="W129" s="33"/>
      <c r="X129" s="33"/>
      <c r="Y129" s="33"/>
      <c r="Z129" s="33"/>
      <c r="AA129" s="87"/>
      <c r="AB129" s="36"/>
      <c r="AC129" s="36"/>
      <c r="AD129" s="36"/>
      <c r="AE129" s="36"/>
      <c r="AF129" s="36"/>
      <c r="AG129" s="33"/>
      <c r="AH129" s="34"/>
      <c r="AI129" s="34"/>
      <c r="AJ129" s="34"/>
      <c r="AL129" s="214"/>
      <c r="AM129" s="111" t="str">
        <f>C133</f>
        <v>R-SW_Det_GAS_HHPN1</v>
      </c>
      <c r="AN129" s="111" t="str">
        <f>D133</f>
        <v>Residential Gas Hybrid Heat Pump - Air to Water - SH + WH</v>
      </c>
      <c r="AO129" s="110" t="s">
        <v>13</v>
      </c>
      <c r="AP129" s="110" t="s">
        <v>180</v>
      </c>
      <c r="AQ129" s="110"/>
      <c r="AR129" s="110" t="s">
        <v>75</v>
      </c>
    </row>
    <row r="130" spans="3:44" ht="15" x14ac:dyDescent="0.25">
      <c r="C130" s="19" t="str">
        <f>"R-SW_Det"&amp;"_"&amp;RIGHT(E130,3)&amp;"_HPN1"</f>
        <v>R-SW_Det_GAS_HPN1</v>
      </c>
      <c r="D130" s="20" t="s">
        <v>116</v>
      </c>
      <c r="E130" s="89" t="s">
        <v>700</v>
      </c>
      <c r="F130" s="89" t="s">
        <v>666</v>
      </c>
      <c r="G130" s="89" t="s">
        <v>731</v>
      </c>
      <c r="H130" s="379">
        <f>JRC_Data!AC28/0.81</f>
        <v>1.6666666666666667</v>
      </c>
      <c r="I130" s="379">
        <f>JRC_Data!AD28/0.81</f>
        <v>1.7901234567901232</v>
      </c>
      <c r="J130" s="379">
        <f>JRC_Data!AE28/0.81</f>
        <v>2.0987654320987654</v>
      </c>
      <c r="K130" s="379">
        <f>JRC_Data!AF28/0.81</f>
        <v>2.0987654320987654</v>
      </c>
      <c r="L130" s="46"/>
      <c r="M130" s="47"/>
      <c r="N130" s="47"/>
      <c r="O130" s="48"/>
      <c r="P130" s="19">
        <f>H130*0.7</f>
        <v>1.1666666666666667</v>
      </c>
      <c r="Q130" s="20">
        <f t="shared" ref="Q130:Q131" si="119">I130*0.7</f>
        <v>1.2530864197530862</v>
      </c>
      <c r="R130" s="20">
        <f t="shared" ref="R130:R131" si="120">J130*0.7</f>
        <v>1.4691358024691357</v>
      </c>
      <c r="S130" s="56">
        <f t="shared" ref="S130:S131" si="121">K130*0.7</f>
        <v>1.4691358024691357</v>
      </c>
      <c r="T130" s="89">
        <v>20</v>
      </c>
      <c r="U130" s="48"/>
      <c r="V130" s="19">
        <f>(JRC_Data!BB28/1000)*($U$164/$U$163)</f>
        <v>16.834749034749034</v>
      </c>
      <c r="W130" s="19">
        <f>(JRC_Data!BC28/1000)*($U$164/$U$163)</f>
        <v>15.755598455598454</v>
      </c>
      <c r="X130" s="19">
        <f>(JRC_Data!BD28/1000)*($U$164/$U$163)</f>
        <v>13.597297297297297</v>
      </c>
      <c r="Y130" s="19">
        <f>(JRC_Data!BE28/1000)*($U$164/$U$163)</f>
        <v>13.597297297297297</v>
      </c>
      <c r="Z130" s="85">
        <f>JRC_Data!BL28/1000</f>
        <v>0.23499999999999999</v>
      </c>
      <c r="AA130" s="85"/>
      <c r="AB130" s="56"/>
      <c r="AC130" s="85"/>
      <c r="AD130" s="85"/>
      <c r="AE130" s="85"/>
      <c r="AF130" s="85"/>
      <c r="AG130" s="85">
        <f t="shared" si="87"/>
        <v>1.1983680000000001</v>
      </c>
      <c r="AH130" s="88"/>
      <c r="AI130" s="65">
        <v>2019</v>
      </c>
      <c r="AJ130" s="88">
        <v>38</v>
      </c>
      <c r="AL130" s="215"/>
      <c r="AM130" s="103" t="str">
        <f>C135</f>
        <v>R-SW_Det_HET_N1</v>
      </c>
      <c r="AN130" s="103" t="str">
        <f>D135</f>
        <v>Residential District Heating Centralized - SH + WH</v>
      </c>
      <c r="AO130" s="104" t="s">
        <v>13</v>
      </c>
      <c r="AP130" s="104" t="s">
        <v>180</v>
      </c>
      <c r="AQ130" s="104"/>
      <c r="AR130" s="104" t="s">
        <v>75</v>
      </c>
    </row>
    <row r="131" spans="3:44" ht="15.75" thickBot="1" x14ac:dyDescent="0.3">
      <c r="C131" s="252" t="str">
        <f>"R-SW_Det"&amp;"_"&amp;RIGHT(E131,3)&amp;"_HPN2"</f>
        <v>R-SW_Det_GAS_HPN2</v>
      </c>
      <c r="D131" s="26" t="s">
        <v>117</v>
      </c>
      <c r="E131" s="27" t="s">
        <v>700</v>
      </c>
      <c r="F131" s="27" t="s">
        <v>666</v>
      </c>
      <c r="G131" s="27" t="s">
        <v>731</v>
      </c>
      <c r="H131" s="380">
        <f>JRC_Data!AC30/0.9</f>
        <v>1.6666666666666665</v>
      </c>
      <c r="I131" s="380">
        <f>JRC_Data!AD30/0.9</f>
        <v>1.7222222222222223</v>
      </c>
      <c r="J131" s="380">
        <f>JRC_Data!AE30/0.9</f>
        <v>1.7222222222222223</v>
      </c>
      <c r="K131" s="380">
        <f>JRC_Data!AF30/0.9</f>
        <v>1.7777777777777779</v>
      </c>
      <c r="L131" s="49"/>
      <c r="M131" s="50"/>
      <c r="N131" s="50"/>
      <c r="O131" s="51"/>
      <c r="P131" s="252">
        <f>H131*0.7</f>
        <v>1.1666666666666665</v>
      </c>
      <c r="Q131" s="26">
        <f t="shared" si="119"/>
        <v>1.2055555555555555</v>
      </c>
      <c r="R131" s="26">
        <f t="shared" si="120"/>
        <v>1.2055555555555555</v>
      </c>
      <c r="S131" s="59">
        <f t="shared" si="121"/>
        <v>1.2444444444444445</v>
      </c>
      <c r="T131" s="27">
        <v>15</v>
      </c>
      <c r="U131" s="51"/>
      <c r="V131" s="252">
        <f>(JRC_Data!BB30/1000)*($U$164/$U$163)</f>
        <v>51.259652509652504</v>
      </c>
      <c r="W131" s="252">
        <f>(JRC_Data!BC30/1000)*($U$164/$U$163)</f>
        <v>51.259652509652504</v>
      </c>
      <c r="X131" s="252">
        <f>(JRC_Data!BD30/1000)*($U$164/$U$163)</f>
        <v>51.259652509652504</v>
      </c>
      <c r="Y131" s="252">
        <f>(JRC_Data!BE30/1000)*($U$164/$U$163)</f>
        <v>51.259652509652504</v>
      </c>
      <c r="Z131" s="64">
        <f>JRC_Data!BL28/1000</f>
        <v>0.23499999999999999</v>
      </c>
      <c r="AA131" s="64"/>
      <c r="AB131" s="59"/>
      <c r="AC131" s="64"/>
      <c r="AD131" s="64"/>
      <c r="AE131" s="64"/>
      <c r="AF131" s="64"/>
      <c r="AG131" s="64">
        <f t="shared" si="87"/>
        <v>1.1983680000000001</v>
      </c>
      <c r="AH131" s="67"/>
      <c r="AI131" s="66">
        <v>2019</v>
      </c>
      <c r="AJ131" s="67">
        <v>38</v>
      </c>
      <c r="AL131" s="114"/>
      <c r="AM131" s="108" t="str">
        <f>C136</f>
        <v>R-SW_Det_HET_N2</v>
      </c>
      <c r="AN131" s="108" t="str">
        <f>D136</f>
        <v>Residential District Heating Decentralized - SH + WH</v>
      </c>
      <c r="AO131" s="109" t="s">
        <v>13</v>
      </c>
      <c r="AP131" s="109" t="s">
        <v>180</v>
      </c>
      <c r="AQ131" s="109"/>
      <c r="AR131" s="109" t="s">
        <v>75</v>
      </c>
    </row>
    <row r="132" spans="3:44" ht="15" x14ac:dyDescent="0.25">
      <c r="C132" s="33" t="s">
        <v>108</v>
      </c>
      <c r="D132" s="33"/>
      <c r="E132" s="34"/>
      <c r="F132" s="34"/>
      <c r="G132" s="34"/>
      <c r="H132" s="34"/>
      <c r="I132" s="34"/>
      <c r="J132" s="34"/>
      <c r="K132" s="34"/>
      <c r="L132" s="35"/>
      <c r="M132" s="35"/>
      <c r="N132" s="35"/>
      <c r="O132" s="35"/>
      <c r="P132" s="33"/>
      <c r="Q132" s="33"/>
      <c r="R132" s="33"/>
      <c r="S132" s="33"/>
      <c r="T132" s="34"/>
      <c r="U132" s="34"/>
      <c r="V132" s="33"/>
      <c r="W132" s="33"/>
      <c r="X132" s="33"/>
      <c r="Y132" s="33"/>
      <c r="Z132" s="33"/>
      <c r="AA132" s="34"/>
      <c r="AB132" s="36"/>
      <c r="AC132" s="36"/>
      <c r="AD132" s="36"/>
      <c r="AE132" s="36"/>
      <c r="AF132" s="36"/>
      <c r="AG132" s="33"/>
      <c r="AH132" s="34"/>
      <c r="AI132" s="34"/>
      <c r="AJ132" s="34"/>
      <c r="AL132" s="215"/>
      <c r="AM132" s="103" t="str">
        <f>C138</f>
        <v>R-WH_Det_ELC_N1</v>
      </c>
      <c r="AN132" s="103" t="str">
        <f>D138</f>
        <v xml:space="preserve">Residential Electric Water Heater </v>
      </c>
      <c r="AO132" s="104" t="s">
        <v>13</v>
      </c>
      <c r="AP132" s="104" t="s">
        <v>180</v>
      </c>
      <c r="AQ132" s="104"/>
      <c r="AR132" s="104" t="s">
        <v>75</v>
      </c>
    </row>
    <row r="133" spans="3:44" ht="15.75" thickBot="1" x14ac:dyDescent="0.3">
      <c r="C133" s="96" t="str">
        <f>"R-SW_Det"&amp;"_"&amp;RIGHT(E133,3)&amp;"_HHPN1"</f>
        <v>R-SW_Det_GAS_HHPN1</v>
      </c>
      <c r="D133" s="80" t="s">
        <v>125</v>
      </c>
      <c r="E133" s="121" t="s">
        <v>701</v>
      </c>
      <c r="F133" s="121" t="s">
        <v>666</v>
      </c>
      <c r="G133" s="98" t="s">
        <v>731</v>
      </c>
      <c r="H133" s="379">
        <f>1*$AD$38+JRC_Data!AD18*(1.2-$AD$38)</f>
        <v>3.1549999999999998</v>
      </c>
      <c r="I133" s="379">
        <f>1*$AD$38+JRC_Data!AE18*(1.2-$AD$38)</f>
        <v>3.4950000000000001</v>
      </c>
      <c r="J133" s="379">
        <f>1*$AD$38+JRC_Data!AF18*(1.2-$AD$38)</f>
        <v>3.75</v>
      </c>
      <c r="K133" s="379">
        <f>1*$AD$38+JRC_Data!AG18*(1.2-$AD$38)</f>
        <v>3.75</v>
      </c>
      <c r="L133" s="49"/>
      <c r="M133" s="50"/>
      <c r="N133" s="50"/>
      <c r="O133" s="51"/>
      <c r="P133" s="252">
        <f>H133*0.7</f>
        <v>2.2084999999999999</v>
      </c>
      <c r="Q133" s="26">
        <f t="shared" ref="Q133" si="122">I133*0.7</f>
        <v>2.4464999999999999</v>
      </c>
      <c r="R133" s="26">
        <f t="shared" ref="R133" si="123">J133*0.7</f>
        <v>2.625</v>
      </c>
      <c r="S133" s="59">
        <f t="shared" ref="S133" si="124">K133*0.7</f>
        <v>2.625</v>
      </c>
      <c r="T133" s="3">
        <v>20</v>
      </c>
      <c r="V133" s="79">
        <f>(V125+V108)*0.8</f>
        <v>10.987282270335434</v>
      </c>
      <c r="W133" s="79">
        <f t="shared" ref="W133:Y133" si="125">(W125+W108)*0.8</f>
        <v>10.272315282993665</v>
      </c>
      <c r="X133" s="79">
        <f t="shared" si="125"/>
        <v>9.6216953245126504</v>
      </c>
      <c r="Y133" s="79">
        <f t="shared" si="125"/>
        <v>9.5573482956518898</v>
      </c>
      <c r="Z133" s="371">
        <f>(JRC_Data!BL9+JRC_Data!BL18)*0.8/1000</f>
        <v>0.308</v>
      </c>
      <c r="AA133" s="83"/>
      <c r="AB133" s="84"/>
      <c r="AC133" s="84"/>
      <c r="AD133" s="84">
        <v>0.35</v>
      </c>
      <c r="AE133" s="73">
        <f>AD133</f>
        <v>0.35</v>
      </c>
      <c r="AF133" s="83">
        <v>5</v>
      </c>
      <c r="AG133" s="82">
        <f t="shared" si="87"/>
        <v>0.66540960000000005</v>
      </c>
      <c r="AH133" s="83"/>
      <c r="AI133" s="83">
        <v>2019</v>
      </c>
      <c r="AJ133" s="83">
        <f>AJ108*AD133+AJ126*(1-AD133)</f>
        <v>21.1</v>
      </c>
      <c r="AL133" s="2"/>
      <c r="AM133" s="105" t="str">
        <f>C139</f>
        <v>R-WH_Det_SOL_N1</v>
      </c>
      <c r="AN133" s="105" t="str">
        <f>D139</f>
        <v xml:space="preserve">Residential Solar Water Heater </v>
      </c>
      <c r="AO133" s="106" t="s">
        <v>13</v>
      </c>
      <c r="AP133" s="106" t="s">
        <v>180</v>
      </c>
      <c r="AQ133" s="106"/>
      <c r="AR133" s="106" t="s">
        <v>75</v>
      </c>
    </row>
    <row r="134" spans="3:44" ht="15" x14ac:dyDescent="0.25">
      <c r="C134" s="33" t="s">
        <v>118</v>
      </c>
      <c r="D134" s="33"/>
      <c r="E134" s="34"/>
      <c r="F134" s="34"/>
      <c r="G134" s="34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4"/>
      <c r="U134" s="34"/>
      <c r="V134" s="33"/>
      <c r="W134" s="33"/>
      <c r="X134" s="33"/>
      <c r="Y134" s="33"/>
      <c r="Z134" s="33"/>
      <c r="AA134" s="34"/>
      <c r="AB134" s="36"/>
      <c r="AC134" s="36"/>
      <c r="AD134" s="36"/>
      <c r="AE134" s="36"/>
      <c r="AF134" s="36"/>
      <c r="AG134" s="33"/>
      <c r="AH134" s="34"/>
      <c r="AI134" s="34"/>
      <c r="AJ134" s="34"/>
      <c r="AL134" s="2"/>
      <c r="AM134" s="105" t="str">
        <f>C141</f>
        <v>R-SC_Det_ELC_N1</v>
      </c>
      <c r="AN134" s="105" t="str">
        <f>D141</f>
        <v>Residential Electric Air Conditioning</v>
      </c>
      <c r="AO134" s="104" t="s">
        <v>13</v>
      </c>
      <c r="AP134" s="104" t="s">
        <v>180</v>
      </c>
      <c r="AQ134" s="104"/>
      <c r="AR134" s="104" t="s">
        <v>75</v>
      </c>
    </row>
    <row r="135" spans="3:44" x14ac:dyDescent="0.2">
      <c r="C135" s="19" t="str">
        <f>"R-SW_Det"&amp;"_"&amp;RIGHT(E135,3)&amp;"_N1"</f>
        <v>R-SW_Det_HET_N1</v>
      </c>
      <c r="D135" s="20" t="s">
        <v>119</v>
      </c>
      <c r="E135" s="89" t="s">
        <v>262</v>
      </c>
      <c r="F135" s="89"/>
      <c r="G135" s="89" t="s">
        <v>731</v>
      </c>
      <c r="H135" s="19">
        <v>1</v>
      </c>
      <c r="I135" s="20">
        <v>1</v>
      </c>
      <c r="J135" s="20">
        <v>1</v>
      </c>
      <c r="K135" s="56">
        <v>1</v>
      </c>
      <c r="L135" s="46"/>
      <c r="M135" s="47"/>
      <c r="N135" s="47"/>
      <c r="O135" s="48"/>
      <c r="P135" s="246">
        <v>1</v>
      </c>
      <c r="Q135" s="247">
        <v>1</v>
      </c>
      <c r="R135" s="247">
        <v>1</v>
      </c>
      <c r="S135" s="248">
        <v>1</v>
      </c>
      <c r="T135" s="52">
        <v>20</v>
      </c>
      <c r="U135" s="48"/>
      <c r="V135" s="19">
        <f>(JRC_Data!BB62/1000)*($U$164/$U$158)*1.5</f>
        <v>4.6583333333333332</v>
      </c>
      <c r="W135" s="19">
        <f>(JRC_Data!BC62/1000)*($U$164/$U$158)*1.5</f>
        <v>4.6583333333333332</v>
      </c>
      <c r="X135" s="19">
        <f>(JRC_Data!BD62/1000)*($U$164/$U$158)*1.5</f>
        <v>4.6583333333333332</v>
      </c>
      <c r="Y135" s="19">
        <f>(JRC_Data!BE62/1000)*($U$164/$U$158)*1.5</f>
        <v>4.6583333333333332</v>
      </c>
      <c r="Z135" s="85">
        <f>JRC_Data!BL62/1000</f>
        <v>0.15</v>
      </c>
      <c r="AA135" s="85"/>
      <c r="AB135" s="85"/>
      <c r="AC135" s="85"/>
      <c r="AD135" s="85"/>
      <c r="AE135" s="85"/>
      <c r="AF135" s="85"/>
      <c r="AG135" s="85">
        <f t="shared" si="87"/>
        <v>1.1983680000000001</v>
      </c>
      <c r="AH135" s="88"/>
      <c r="AI135" s="65">
        <v>2035</v>
      </c>
      <c r="AJ135" s="88">
        <v>38</v>
      </c>
    </row>
    <row r="136" spans="3:44" ht="30" customHeight="1" x14ac:dyDescent="0.2">
      <c r="C136" s="252" t="str">
        <f>"R-SW_Det"&amp;"_"&amp;RIGHT(E136,3)&amp;"_N2"</f>
        <v>R-SW_Det_HET_N2</v>
      </c>
      <c r="D136" s="26" t="s">
        <v>120</v>
      </c>
      <c r="E136" s="27" t="s">
        <v>262</v>
      </c>
      <c r="F136" s="27"/>
      <c r="G136" s="27" t="s">
        <v>731</v>
      </c>
      <c r="H136" s="252">
        <v>1</v>
      </c>
      <c r="I136" s="26">
        <v>1</v>
      </c>
      <c r="J136" s="26">
        <v>1</v>
      </c>
      <c r="K136" s="59">
        <v>1</v>
      </c>
      <c r="L136" s="49"/>
      <c r="M136" s="50"/>
      <c r="N136" s="50"/>
      <c r="O136" s="51"/>
      <c r="P136" s="253">
        <v>1</v>
      </c>
      <c r="Q136" s="254">
        <v>1</v>
      </c>
      <c r="R136" s="254">
        <v>1</v>
      </c>
      <c r="S136" s="255">
        <v>1</v>
      </c>
      <c r="T136" s="55">
        <v>20</v>
      </c>
      <c r="U136" s="51"/>
      <c r="V136" s="252">
        <f>(JRC_Data!BB62/1000)*($U$164/$U$158)*1.5</f>
        <v>4.6583333333333332</v>
      </c>
      <c r="W136" s="252">
        <f>(JRC_Data!BC62/1000)*($U$164/$U$158)*1.5</f>
        <v>4.6583333333333332</v>
      </c>
      <c r="X136" s="252">
        <f>(JRC_Data!BD62/1000)*($U$164/$U$158)*1.5</f>
        <v>4.6583333333333332</v>
      </c>
      <c r="Y136" s="252">
        <f>(JRC_Data!BE62/1000)*($U$164/$U$158)*1.5</f>
        <v>4.6583333333333332</v>
      </c>
      <c r="Z136" s="64">
        <f>JRC_Data!BL62/1000</f>
        <v>0.15</v>
      </c>
      <c r="AA136" s="64"/>
      <c r="AB136" s="64"/>
      <c r="AC136" s="64"/>
      <c r="AD136" s="64"/>
      <c r="AE136" s="64"/>
      <c r="AF136" s="64"/>
      <c r="AG136" s="64">
        <f t="shared" si="87"/>
        <v>1.1983680000000001</v>
      </c>
      <c r="AH136" s="67"/>
      <c r="AI136" s="66">
        <v>2035</v>
      </c>
      <c r="AJ136" s="67">
        <v>38</v>
      </c>
    </row>
    <row r="137" spans="3:44" x14ac:dyDescent="0.2">
      <c r="C137" s="33" t="s">
        <v>121</v>
      </c>
      <c r="D137" s="33"/>
      <c r="E137" s="34"/>
      <c r="F137" s="34"/>
      <c r="G137" s="34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4"/>
      <c r="U137" s="34"/>
      <c r="V137" s="33"/>
      <c r="W137" s="33"/>
      <c r="X137" s="33"/>
      <c r="Y137" s="33"/>
      <c r="Z137" s="33"/>
      <c r="AA137" s="34"/>
      <c r="AB137" s="36"/>
      <c r="AC137" s="36"/>
      <c r="AD137" s="36"/>
      <c r="AE137" s="36"/>
      <c r="AF137" s="36"/>
      <c r="AG137" s="33"/>
      <c r="AH137" s="34"/>
      <c r="AI137" s="34"/>
      <c r="AJ137" s="34"/>
    </row>
    <row r="138" spans="3:44" x14ac:dyDescent="0.2">
      <c r="C138" s="19" t="str">
        <f>"R-WH_Det"&amp;"_"&amp;RIGHT(E138,3)&amp;"_N1"</f>
        <v>R-WH_Det_ELC_N1</v>
      </c>
      <c r="D138" s="20" t="s">
        <v>122</v>
      </c>
      <c r="E138" s="89" t="s">
        <v>153</v>
      </c>
      <c r="F138" s="89"/>
      <c r="G138" s="56" t="s">
        <v>150</v>
      </c>
      <c r="H138" s="46"/>
      <c r="I138" s="47"/>
      <c r="J138" s="47"/>
      <c r="K138" s="48"/>
      <c r="L138" s="46"/>
      <c r="M138" s="47"/>
      <c r="N138" s="47"/>
      <c r="O138" s="48"/>
      <c r="P138" s="246">
        <v>1</v>
      </c>
      <c r="Q138" s="247">
        <v>1</v>
      </c>
      <c r="R138" s="247">
        <v>1</v>
      </c>
      <c r="S138" s="248">
        <v>1</v>
      </c>
      <c r="T138" s="52">
        <v>20</v>
      </c>
      <c r="U138" s="48"/>
      <c r="V138" s="19">
        <f>(JRC_Data!BB48/1000)*($U$157/$U$156)</f>
        <v>4.3022222222222215</v>
      </c>
      <c r="W138" s="19">
        <f>(JRC_Data!BC48/1000)*($U$157/$U$156)</f>
        <v>4.3022222222222215</v>
      </c>
      <c r="X138" s="19">
        <f>(JRC_Data!BD48/1000)*($U$157/$U$156)</f>
        <v>4.3022222222222215</v>
      </c>
      <c r="Y138" s="19">
        <f>(JRC_Data!BE48/1000)*($U$157/$U$156)</f>
        <v>4.3022222222222215</v>
      </c>
      <c r="Z138" s="85">
        <f>JRC_Data!BL48/1000</f>
        <v>0.05</v>
      </c>
      <c r="AA138" s="85"/>
      <c r="AB138" s="85"/>
      <c r="AC138" s="85"/>
      <c r="AD138" s="85"/>
      <c r="AE138" s="85"/>
      <c r="AF138" s="85"/>
      <c r="AG138" s="85">
        <f t="shared" si="87"/>
        <v>0.25228800000000001</v>
      </c>
      <c r="AH138" s="88"/>
      <c r="AI138" s="88">
        <v>2019</v>
      </c>
      <c r="AJ138" s="88">
        <v>8</v>
      </c>
    </row>
    <row r="139" spans="3:44" x14ac:dyDescent="0.2">
      <c r="C139" s="252" t="str">
        <f>"R-WH_Det"&amp;"_"&amp;RIGHT(E139,3)&amp;"_N1"</f>
        <v>R-WH_Det_SOL_N1</v>
      </c>
      <c r="D139" s="26" t="s">
        <v>123</v>
      </c>
      <c r="E139" s="27" t="s">
        <v>271</v>
      </c>
      <c r="F139" s="27"/>
      <c r="G139" s="59" t="s">
        <v>150</v>
      </c>
      <c r="H139" s="49"/>
      <c r="I139" s="50"/>
      <c r="J139" s="50"/>
      <c r="K139" s="51"/>
      <c r="L139" s="49"/>
      <c r="M139" s="50"/>
      <c r="N139" s="50"/>
      <c r="O139" s="51"/>
      <c r="P139" s="243">
        <v>1</v>
      </c>
      <c r="Q139" s="244">
        <v>1</v>
      </c>
      <c r="R139" s="244">
        <v>1</v>
      </c>
      <c r="S139" s="245">
        <v>1</v>
      </c>
      <c r="T139" s="53">
        <v>25</v>
      </c>
      <c r="U139" s="22">
        <v>30</v>
      </c>
      <c r="V139" s="22">
        <f>(JRC_Data!BB45/1000)*($U$157/$U$156)</f>
        <v>5.8079999999999998</v>
      </c>
      <c r="W139" s="22">
        <f>(JRC_Data!BC45/1000)*($U$157/$U$156)</f>
        <v>5.4853333333333323</v>
      </c>
      <c r="X139" s="22">
        <f>(JRC_Data!BD45/1000)*($U$157/$U$156)</f>
        <v>4.9475555555555539</v>
      </c>
      <c r="Y139" s="22">
        <f>(JRC_Data!BE45/1000)*($U$157/$U$156)</f>
        <v>3.9795555555555553</v>
      </c>
      <c r="Z139" s="63">
        <f>JRC_Data!BL45/1000</f>
        <v>6.2E-2</v>
      </c>
      <c r="AA139" s="63"/>
      <c r="AB139" s="63"/>
      <c r="AC139" s="63"/>
      <c r="AD139" s="63"/>
      <c r="AE139" s="63"/>
      <c r="AF139" s="63"/>
      <c r="AG139" s="63">
        <f t="shared" si="87"/>
        <v>0.25228800000000001</v>
      </c>
      <c r="AH139" s="67"/>
      <c r="AI139" s="66">
        <v>2019</v>
      </c>
      <c r="AJ139" s="66">
        <v>8</v>
      </c>
    </row>
    <row r="140" spans="3:44" x14ac:dyDescent="0.2">
      <c r="C140" s="33" t="s">
        <v>281</v>
      </c>
      <c r="D140" s="33"/>
      <c r="E140" s="34"/>
      <c r="F140" s="34"/>
      <c r="G140" s="34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4"/>
      <c r="U140" s="34"/>
      <c r="V140" s="33"/>
      <c r="W140" s="33"/>
      <c r="X140" s="33"/>
      <c r="Y140" s="33"/>
      <c r="Z140" s="33"/>
      <c r="AA140" s="34"/>
      <c r="AB140" s="36"/>
      <c r="AC140" s="36"/>
      <c r="AD140" s="36"/>
      <c r="AE140" s="36"/>
      <c r="AF140" s="36"/>
      <c r="AG140" s="33"/>
      <c r="AH140" s="34"/>
      <c r="AI140" s="34"/>
      <c r="AJ140" s="34"/>
    </row>
    <row r="141" spans="3:44" x14ac:dyDescent="0.2">
      <c r="C141" s="29" t="str">
        <f>"R-SC_Det"&amp;"_"&amp;RIGHT(E141,3)&amp;"_N1"</f>
        <v>R-SC_Det_ELC_N1</v>
      </c>
      <c r="D141" s="97" t="s">
        <v>124</v>
      </c>
      <c r="E141" s="117" t="s">
        <v>153</v>
      </c>
      <c r="F141" s="117"/>
      <c r="G141" s="118" t="s">
        <v>149</v>
      </c>
      <c r="H141" s="115"/>
      <c r="I141" s="116"/>
      <c r="J141" s="116"/>
      <c r="K141" s="116"/>
      <c r="L141" s="258">
        <v>1</v>
      </c>
      <c r="M141" s="259">
        <v>1.0666666666666667</v>
      </c>
      <c r="N141" s="259">
        <v>1.2333333333333334</v>
      </c>
      <c r="O141" s="259">
        <v>1.3333333333333333</v>
      </c>
      <c r="P141" s="116"/>
      <c r="Q141" s="116"/>
      <c r="R141" s="116"/>
      <c r="S141" s="100"/>
      <c r="T141" s="99">
        <v>20</v>
      </c>
      <c r="U141" s="100"/>
      <c r="V141" s="96">
        <f>(JRC_Data!BB16/1000)*($U$158/$U$162)</f>
        <v>2.0204081632653064</v>
      </c>
      <c r="W141" s="96">
        <f>(JRC_Data!BC16/1000)*($U$158/$U$162)</f>
        <v>1.9285714285714286</v>
      </c>
      <c r="X141" s="96">
        <f>(JRC_Data!BD16/1000)*($U$158/$U$162)</f>
        <v>1.7448979591836735</v>
      </c>
      <c r="Y141" s="96">
        <f>(JRC_Data!BE16/1000)*($U$158/$U$162)</f>
        <v>1.653061224489796</v>
      </c>
      <c r="Z141" s="93">
        <f>JRC_Data!BL16/1000</f>
        <v>3.4000000000000002E-2</v>
      </c>
      <c r="AA141" s="93"/>
      <c r="AB141" s="93"/>
      <c r="AC141" s="93"/>
      <c r="AD141" s="93"/>
      <c r="AE141" s="93"/>
      <c r="AF141" s="93"/>
      <c r="AG141" s="93">
        <f t="shared" si="87"/>
        <v>0.25228800000000001</v>
      </c>
      <c r="AH141" s="92"/>
      <c r="AI141" s="92">
        <v>2019</v>
      </c>
      <c r="AJ141" s="92">
        <v>8</v>
      </c>
    </row>
    <row r="143" spans="3:44" ht="15" x14ac:dyDescent="0.25">
      <c r="C143" s="4"/>
      <c r="I143" s="6"/>
      <c r="J143" s="6"/>
      <c r="K143" s="6"/>
      <c r="L143" s="6"/>
      <c r="M143" s="1"/>
      <c r="N143" s="1"/>
      <c r="O143" s="9"/>
      <c r="P143" s="8"/>
      <c r="Q143" s="9"/>
      <c r="R143" s="9"/>
      <c r="S143" s="7"/>
      <c r="T143" s="9"/>
      <c r="U143" s="9"/>
      <c r="V143" s="7"/>
      <c r="W143" s="7"/>
      <c r="Z143" s="6"/>
    </row>
    <row r="144" spans="3:44" ht="15" x14ac:dyDescent="0.25">
      <c r="I144" s="6"/>
      <c r="J144" s="6"/>
      <c r="K144" s="6"/>
      <c r="L144" s="6"/>
      <c r="M144" s="1"/>
      <c r="N144" s="1"/>
      <c r="O144" s="9"/>
      <c r="P144" s="8"/>
      <c r="Q144" s="9"/>
      <c r="R144" s="9"/>
      <c r="S144" s="7"/>
      <c r="T144" s="9"/>
      <c r="U144" s="9"/>
      <c r="V144" s="7"/>
      <c r="W144" s="7"/>
      <c r="Z144" s="6"/>
    </row>
    <row r="146" spans="1:22" x14ac:dyDescent="0.2">
      <c r="J146" s="11"/>
    </row>
    <row r="148" spans="1:22" x14ac:dyDescent="0.2">
      <c r="A148" s="2"/>
    </row>
    <row r="149" spans="1:22" x14ac:dyDescent="0.2">
      <c r="A149" s="2"/>
      <c r="J149" s="11"/>
    </row>
    <row r="152" spans="1:22" x14ac:dyDescent="0.2">
      <c r="J152" s="11"/>
    </row>
    <row r="153" spans="1:22" x14ac:dyDescent="0.2">
      <c r="J153" s="11"/>
      <c r="T153" s="3" t="s">
        <v>524</v>
      </c>
    </row>
    <row r="154" spans="1:22" x14ac:dyDescent="0.2">
      <c r="J154" s="11"/>
      <c r="T154" s="3" t="s">
        <v>215</v>
      </c>
      <c r="U154" s="3" t="s">
        <v>526</v>
      </c>
      <c r="V154" s="3" t="s">
        <v>521</v>
      </c>
    </row>
    <row r="155" spans="1:22" x14ac:dyDescent="0.2">
      <c r="J155" s="11"/>
      <c r="T155" s="376">
        <v>3</v>
      </c>
      <c r="U155" s="377">
        <f t="shared" ref="U155:U164" si="126">V155/$V$163</f>
        <v>0.72929037751472525</v>
      </c>
      <c r="V155" s="378">
        <f>(V156/V160)*V157</f>
        <v>1888.8620777631384</v>
      </c>
    </row>
    <row r="156" spans="1:22" x14ac:dyDescent="0.2">
      <c r="J156" s="11"/>
      <c r="T156" s="376">
        <v>5</v>
      </c>
      <c r="U156" s="377">
        <f t="shared" si="126"/>
        <v>0.79101166159768732</v>
      </c>
      <c r="V156" s="378">
        <f>(V157/V161)*V158</f>
        <v>2048.7202035380101</v>
      </c>
    </row>
    <row r="157" spans="1:22" x14ac:dyDescent="0.2">
      <c r="T157" s="376">
        <v>8</v>
      </c>
      <c r="U157" s="377">
        <f t="shared" si="126"/>
        <v>0.85077698714062355</v>
      </c>
      <c r="V157" s="378">
        <f>(V158/V161)*V159</f>
        <v>2203.5123966942151</v>
      </c>
    </row>
    <row r="158" spans="1:22" x14ac:dyDescent="0.2">
      <c r="T158" s="376">
        <v>10</v>
      </c>
      <c r="U158" s="377">
        <f t="shared" si="126"/>
        <v>0.86872586872586877</v>
      </c>
      <c r="V158" s="376">
        <f>V161-(V163-V161)</f>
        <v>2250</v>
      </c>
    </row>
    <row r="159" spans="1:22" x14ac:dyDescent="0.2">
      <c r="M159" s="34" t="s">
        <v>509</v>
      </c>
      <c r="N159" s="34"/>
      <c r="O159" s="34"/>
      <c r="P159" s="34"/>
      <c r="Q159" s="34"/>
      <c r="T159" s="3">
        <v>15</v>
      </c>
      <c r="U159" s="367">
        <f t="shared" si="126"/>
        <v>0.91505791505791501</v>
      </c>
      <c r="V159" s="3">
        <v>2370</v>
      </c>
    </row>
    <row r="160" spans="1:22" x14ac:dyDescent="0.2">
      <c r="M160" s="3" t="s">
        <v>517</v>
      </c>
      <c r="N160" s="3" t="s">
        <v>518</v>
      </c>
      <c r="O160" s="4" t="s">
        <v>515</v>
      </c>
      <c r="P160" s="366" t="s">
        <v>519</v>
      </c>
      <c r="Q160" s="4" t="s">
        <v>514</v>
      </c>
      <c r="T160" s="3">
        <v>18</v>
      </c>
      <c r="U160" s="367">
        <f t="shared" si="126"/>
        <v>0.92277992277992282</v>
      </c>
      <c r="V160" s="3">
        <v>2390</v>
      </c>
    </row>
    <row r="161" spans="13:22" x14ac:dyDescent="0.2">
      <c r="M161" s="4">
        <v>111</v>
      </c>
      <c r="N161" s="4" t="s">
        <v>259</v>
      </c>
      <c r="O161" s="4">
        <v>24</v>
      </c>
      <c r="P161" s="4">
        <f>O161/M161</f>
        <v>0.21621621621621623</v>
      </c>
      <c r="Q161" s="4">
        <f>O161*1.25</f>
        <v>30</v>
      </c>
      <c r="T161" s="376">
        <v>20</v>
      </c>
      <c r="U161" s="377">
        <f t="shared" si="126"/>
        <v>0.93436293436293438</v>
      </c>
      <c r="V161" s="376">
        <f>AVERAGE(V160,V162)</f>
        <v>2420</v>
      </c>
    </row>
    <row r="162" spans="13:22" x14ac:dyDescent="0.2">
      <c r="M162" s="4">
        <v>70</v>
      </c>
      <c r="N162" s="4" t="s">
        <v>510</v>
      </c>
      <c r="O162" s="4">
        <v>15</v>
      </c>
      <c r="P162" s="4">
        <f>O162/M162</f>
        <v>0.21428571428571427</v>
      </c>
      <c r="Q162" s="4">
        <f>O162*1.25</f>
        <v>18.75</v>
      </c>
      <c r="T162" s="3">
        <v>24</v>
      </c>
      <c r="U162" s="367">
        <f t="shared" si="126"/>
        <v>0.94594594594594594</v>
      </c>
      <c r="V162" s="3">
        <v>2450</v>
      </c>
    </row>
    <row r="163" spans="13:22" x14ac:dyDescent="0.2">
      <c r="M163" s="4">
        <v>99</v>
      </c>
      <c r="N163" s="4" t="s">
        <v>511</v>
      </c>
      <c r="O163" s="4">
        <v>20</v>
      </c>
      <c r="P163" s="4">
        <f>O163/M163</f>
        <v>0.20202020202020202</v>
      </c>
      <c r="Q163" s="4">
        <f>O163*1.25</f>
        <v>25</v>
      </c>
      <c r="T163" s="3">
        <v>30</v>
      </c>
      <c r="U163" s="367">
        <f t="shared" si="126"/>
        <v>1</v>
      </c>
      <c r="V163" s="3">
        <v>2590</v>
      </c>
    </row>
    <row r="164" spans="13:22" x14ac:dyDescent="0.2">
      <c r="M164" s="4">
        <v>150</v>
      </c>
      <c r="N164" s="4" t="s">
        <v>512</v>
      </c>
      <c r="O164" s="4">
        <v>30</v>
      </c>
      <c r="P164" s="4">
        <f>O164/M164</f>
        <v>0.2</v>
      </c>
      <c r="Q164" s="4">
        <f>O164*1.25</f>
        <v>37.5</v>
      </c>
      <c r="T164" s="3">
        <v>35</v>
      </c>
      <c r="U164" s="367">
        <f t="shared" si="126"/>
        <v>1.0791505791505791</v>
      </c>
      <c r="V164" s="3">
        <v>2795</v>
      </c>
    </row>
    <row r="165" spans="13:22" x14ac:dyDescent="0.2">
      <c r="M165" s="4"/>
      <c r="N165" s="4"/>
      <c r="O165" s="4"/>
      <c r="P165" s="4"/>
      <c r="Q165" s="4"/>
    </row>
    <row r="166" spans="13:22" ht="14.25" customHeight="1" x14ac:dyDescent="0.2">
      <c r="M166" s="4" t="s">
        <v>513</v>
      </c>
      <c r="N166" s="4"/>
      <c r="O166" s="4"/>
      <c r="P166" s="4"/>
      <c r="Q166" s="4"/>
    </row>
    <row r="167" spans="13:22" x14ac:dyDescent="0.2">
      <c r="M167" s="4" t="s">
        <v>516</v>
      </c>
      <c r="N167" s="4"/>
      <c r="O167" s="4"/>
      <c r="P167" s="4"/>
      <c r="Q167" s="4"/>
    </row>
    <row r="168" spans="13:22" x14ac:dyDescent="0.2">
      <c r="M168" s="207" t="s">
        <v>522</v>
      </c>
    </row>
    <row r="169" spans="13:22" x14ac:dyDescent="0.2">
      <c r="M169" s="3" t="s">
        <v>523</v>
      </c>
    </row>
  </sheetData>
  <mergeCells count="30">
    <mergeCell ref="H102:K102"/>
    <mergeCell ref="L102:O102"/>
    <mergeCell ref="P102:S102"/>
    <mergeCell ref="T102:U102"/>
    <mergeCell ref="V102:Y102"/>
    <mergeCell ref="H100:K100"/>
    <mergeCell ref="L100:O100"/>
    <mergeCell ref="P100:S100"/>
    <mergeCell ref="T100:U100"/>
    <mergeCell ref="V100:Y100"/>
    <mergeCell ref="H54:K54"/>
    <mergeCell ref="L54:O54"/>
    <mergeCell ref="P54:S54"/>
    <mergeCell ref="T54:U54"/>
    <mergeCell ref="V54:Y54"/>
    <mergeCell ref="H52:K52"/>
    <mergeCell ref="L52:O52"/>
    <mergeCell ref="P52:S52"/>
    <mergeCell ref="T52:U52"/>
    <mergeCell ref="V52:Y5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16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557</v>
      </c>
      <c r="L4" s="17" t="s">
        <v>241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272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31" t="s">
        <v>86</v>
      </c>
      <c r="M5" s="532"/>
      <c r="N5" s="532"/>
      <c r="O5" s="533"/>
      <c r="P5" s="60"/>
      <c r="Q5" s="60" t="s">
        <v>87</v>
      </c>
      <c r="R5" s="60" t="s">
        <v>66</v>
      </c>
      <c r="S5" s="60"/>
      <c r="U5" s="60" t="s">
        <v>214</v>
      </c>
      <c r="V5" s="60"/>
      <c r="W5" s="60" t="s">
        <v>217</v>
      </c>
    </row>
    <row r="6" spans="3:27" x14ac:dyDescent="0.2">
      <c r="C6" s="37" t="s">
        <v>138</v>
      </c>
      <c r="D6" s="38"/>
      <c r="E6" s="38"/>
      <c r="F6" s="39"/>
      <c r="G6" s="37" t="s">
        <v>68</v>
      </c>
      <c r="H6" s="37"/>
      <c r="I6" s="37"/>
      <c r="J6" s="37"/>
      <c r="K6" s="37"/>
      <c r="L6" s="540" t="s">
        <v>508</v>
      </c>
      <c r="M6" s="542"/>
      <c r="N6" s="542"/>
      <c r="O6" s="541"/>
      <c r="P6" s="373" t="s">
        <v>520</v>
      </c>
      <c r="Q6" s="61" t="s">
        <v>34</v>
      </c>
      <c r="R6" s="373" t="s">
        <v>296</v>
      </c>
      <c r="S6" s="61" t="s">
        <v>94</v>
      </c>
      <c r="U6" s="61" t="s">
        <v>215</v>
      </c>
      <c r="V6" s="70" t="s">
        <v>218</v>
      </c>
      <c r="W6" s="61" t="s">
        <v>216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153</v>
      </c>
      <c r="F7" s="144" t="s">
        <v>154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153</v>
      </c>
      <c r="F8" s="142" t="s">
        <v>155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269</v>
      </c>
      <c r="F9" s="144" t="s">
        <v>155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265</v>
      </c>
      <c r="F10" s="142" t="s">
        <v>155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153</v>
      </c>
      <c r="F11" s="144" t="s">
        <v>156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153</v>
      </c>
      <c r="F12" s="142" t="s">
        <v>157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153</v>
      </c>
      <c r="F13" s="144" t="s">
        <v>158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153</v>
      </c>
      <c r="F14" s="142" t="s">
        <v>159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153</v>
      </c>
      <c r="F15" s="144" t="s">
        <v>160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213</v>
      </c>
      <c r="V15" s="207" t="s">
        <v>211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139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289</v>
      </c>
      <c r="E20" s="123" t="s">
        <v>161</v>
      </c>
      <c r="F20" s="123" t="s">
        <v>13</v>
      </c>
      <c r="G20" s="123" t="s">
        <v>126</v>
      </c>
      <c r="H20" s="123"/>
      <c r="I20" s="123"/>
      <c r="J20" s="124" t="s">
        <v>558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532</v>
      </c>
      <c r="F21" s="123" t="s">
        <v>13</v>
      </c>
      <c r="G21" s="123" t="s">
        <v>126</v>
      </c>
      <c r="H21" s="123"/>
      <c r="I21" s="123"/>
      <c r="J21" s="124" t="s">
        <v>558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533</v>
      </c>
      <c r="F22" s="123" t="s">
        <v>13</v>
      </c>
      <c r="G22" s="123" t="s">
        <v>126</v>
      </c>
      <c r="H22" s="123"/>
      <c r="I22" s="123"/>
      <c r="J22" s="124" t="s">
        <v>558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534</v>
      </c>
      <c r="F23" s="123" t="s">
        <v>13</v>
      </c>
      <c r="G23" s="123" t="s">
        <v>126</v>
      </c>
      <c r="H23" s="123"/>
      <c r="I23" s="123"/>
      <c r="J23" s="124" t="s">
        <v>558</v>
      </c>
    </row>
    <row r="24" spans="3:17" x14ac:dyDescent="0.2">
      <c r="C24" s="122" t="s">
        <v>31</v>
      </c>
      <c r="D24" s="123" t="s">
        <v>291</v>
      </c>
      <c r="E24" s="123" t="s">
        <v>163</v>
      </c>
      <c r="F24" s="123" t="s">
        <v>13</v>
      </c>
      <c r="G24" s="123" t="s">
        <v>126</v>
      </c>
      <c r="H24" s="123"/>
      <c r="I24" s="123"/>
      <c r="J24" s="124" t="s">
        <v>558</v>
      </c>
    </row>
    <row r="25" spans="3:17" x14ac:dyDescent="0.2">
      <c r="C25" s="122" t="s">
        <v>31</v>
      </c>
      <c r="D25" s="123" t="s">
        <v>292</v>
      </c>
      <c r="E25" s="123" t="s">
        <v>164</v>
      </c>
      <c r="F25" s="123" t="s">
        <v>13</v>
      </c>
      <c r="G25" s="123" t="s">
        <v>126</v>
      </c>
      <c r="H25" s="123"/>
      <c r="I25" s="123"/>
      <c r="J25" s="124" t="s">
        <v>558</v>
      </c>
    </row>
    <row r="26" spans="3:17" x14ac:dyDescent="0.2">
      <c r="C26" s="122" t="s">
        <v>31</v>
      </c>
      <c r="D26" s="123" t="s">
        <v>293</v>
      </c>
      <c r="E26" s="123" t="s">
        <v>165</v>
      </c>
      <c r="F26" s="123" t="s">
        <v>13</v>
      </c>
      <c r="G26" s="123" t="s">
        <v>126</v>
      </c>
      <c r="H26" s="123"/>
      <c r="I26" s="123"/>
      <c r="J26" s="124" t="s">
        <v>558</v>
      </c>
      <c r="Q26" s="130"/>
    </row>
    <row r="27" spans="3:17" x14ac:dyDescent="0.2">
      <c r="C27" s="122" t="s">
        <v>31</v>
      </c>
      <c r="D27" s="123" t="s">
        <v>294</v>
      </c>
      <c r="E27" s="123" t="s">
        <v>166</v>
      </c>
      <c r="F27" s="123" t="s">
        <v>13</v>
      </c>
      <c r="G27" s="123" t="s">
        <v>126</v>
      </c>
      <c r="H27" s="123"/>
      <c r="I27" s="123"/>
      <c r="J27" s="124" t="s">
        <v>558</v>
      </c>
    </row>
    <row r="28" spans="3:17" x14ac:dyDescent="0.2">
      <c r="C28" s="122" t="s">
        <v>31</v>
      </c>
      <c r="D28" s="125" t="s">
        <v>295</v>
      </c>
      <c r="E28" s="125" t="s">
        <v>167</v>
      </c>
      <c r="F28" s="125" t="s">
        <v>13</v>
      </c>
      <c r="G28" s="123" t="s">
        <v>126</v>
      </c>
      <c r="H28" s="125"/>
      <c r="I28" s="125"/>
      <c r="J28" s="126" t="s">
        <v>558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241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1" t="s">
        <v>86</v>
      </c>
      <c r="M33" s="532"/>
      <c r="N33" s="532"/>
      <c r="O33" s="533"/>
    </row>
    <row r="34" spans="8:15" x14ac:dyDescent="0.2">
      <c r="H34" s="3" t="s">
        <v>138</v>
      </c>
      <c r="L34" s="540" t="s">
        <v>91</v>
      </c>
      <c r="M34" s="542"/>
      <c r="N34" s="542"/>
      <c r="O34" s="541"/>
    </row>
    <row r="35" spans="8:15" ht="14.25" customHeight="1" x14ac:dyDescent="0.2">
      <c r="H35" s="3" t="s">
        <v>289</v>
      </c>
      <c r="I35" s="3" t="s">
        <v>161</v>
      </c>
      <c r="J35" s="3" t="s">
        <v>153</v>
      </c>
      <c r="K35" s="3" t="s">
        <v>154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290</v>
      </c>
      <c r="I36" s="3" t="s">
        <v>162</v>
      </c>
      <c r="J36" s="3" t="s">
        <v>153</v>
      </c>
      <c r="K36" s="3" t="s">
        <v>155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269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265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291</v>
      </c>
      <c r="I39" s="3" t="s">
        <v>163</v>
      </c>
      <c r="J39" s="3" t="s">
        <v>153</v>
      </c>
      <c r="K39" s="3" t="s">
        <v>156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292</v>
      </c>
      <c r="I40" s="3" t="s">
        <v>164</v>
      </c>
      <c r="J40" s="3" t="s">
        <v>153</v>
      </c>
      <c r="K40" s="3" t="s">
        <v>157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293</v>
      </c>
      <c r="I41" s="3" t="s">
        <v>165</v>
      </c>
      <c r="J41" s="3" t="s">
        <v>153</v>
      </c>
      <c r="K41" s="3" t="s">
        <v>158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294</v>
      </c>
      <c r="I42" s="3" t="s">
        <v>166</v>
      </c>
      <c r="J42" s="3" t="s">
        <v>153</v>
      </c>
      <c r="K42" s="3" t="s">
        <v>159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295</v>
      </c>
      <c r="I43" s="3" t="s">
        <v>167</v>
      </c>
      <c r="J43" s="3" t="s">
        <v>153</v>
      </c>
      <c r="K43" s="3" t="s">
        <v>160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557</v>
      </c>
      <c r="K3" s="17" t="s">
        <v>241</v>
      </c>
      <c r="L3" s="17" t="s">
        <v>88</v>
      </c>
      <c r="M3" s="17" t="s">
        <v>90</v>
      </c>
      <c r="N3" s="17" t="s">
        <v>61</v>
      </c>
      <c r="O3" s="17" t="s">
        <v>272</v>
      </c>
      <c r="P3" s="17" t="s">
        <v>77</v>
      </c>
      <c r="Q3" s="17" t="s">
        <v>78</v>
      </c>
      <c r="AA3" s="207" t="s">
        <v>544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31" t="s">
        <v>86</v>
      </c>
      <c r="L4" s="532"/>
      <c r="M4" s="533"/>
      <c r="N4" s="60"/>
      <c r="O4" s="60" t="s">
        <v>87</v>
      </c>
      <c r="P4" s="60" t="s">
        <v>66</v>
      </c>
      <c r="Q4" s="60"/>
      <c r="X4" s="60" t="s">
        <v>214</v>
      </c>
      <c r="AA4" s="207" t="s">
        <v>545</v>
      </c>
    </row>
    <row r="5" spans="3:37" ht="13.5" thickBot="1" x14ac:dyDescent="0.25">
      <c r="C5" s="37" t="s">
        <v>138</v>
      </c>
      <c r="D5" s="38"/>
      <c r="E5" s="38"/>
      <c r="F5" s="39"/>
      <c r="G5" s="381" t="s">
        <v>68</v>
      </c>
      <c r="H5" s="543" t="s">
        <v>34</v>
      </c>
      <c r="I5" s="544"/>
      <c r="J5" s="545"/>
      <c r="K5" s="543" t="s">
        <v>297</v>
      </c>
      <c r="L5" s="544"/>
      <c r="M5" s="545"/>
      <c r="N5" s="382" t="s">
        <v>92</v>
      </c>
      <c r="O5" s="382" t="s">
        <v>34</v>
      </c>
      <c r="P5" s="383" t="s">
        <v>296</v>
      </c>
      <c r="Q5" s="382" t="s">
        <v>94</v>
      </c>
      <c r="X5" s="61" t="s">
        <v>215</v>
      </c>
      <c r="AA5" s="207"/>
      <c r="AB5" s="546" t="s">
        <v>546</v>
      </c>
      <c r="AC5" s="546"/>
      <c r="AD5" s="384"/>
      <c r="AE5" s="547" t="s">
        <v>65</v>
      </c>
      <c r="AF5" s="547"/>
      <c r="AG5" s="547" t="s">
        <v>547</v>
      </c>
      <c r="AH5" s="547"/>
      <c r="AI5" s="548" t="s">
        <v>548</v>
      </c>
      <c r="AJ5" s="548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153</v>
      </c>
      <c r="F6" s="431" t="s">
        <v>135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219</v>
      </c>
      <c r="U6" s="210" t="s">
        <v>222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153</v>
      </c>
      <c r="F7" s="441" t="s">
        <v>136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220</v>
      </c>
      <c r="X7" s="208">
        <v>0.05</v>
      </c>
      <c r="AA7" s="3" t="s">
        <v>549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153</v>
      </c>
      <c r="F8" s="439" t="s">
        <v>144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221</v>
      </c>
      <c r="X8" s="208">
        <v>6.4999999999999997E-3</v>
      </c>
      <c r="AA8" s="3" t="s">
        <v>550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153</v>
      </c>
      <c r="F9" s="441" t="s">
        <v>145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551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153</v>
      </c>
      <c r="F10" s="439" t="s">
        <v>151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552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153</v>
      </c>
      <c r="F11" s="438" t="s">
        <v>152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553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554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548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139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168</v>
      </c>
      <c r="E16" s="3" t="s">
        <v>169</v>
      </c>
      <c r="F16" s="3" t="s">
        <v>13</v>
      </c>
      <c r="G16" s="3" t="s">
        <v>126</v>
      </c>
      <c r="H16" s="123"/>
      <c r="I16" s="124"/>
      <c r="J16" s="124" t="s">
        <v>558</v>
      </c>
    </row>
    <row r="17" spans="3:21" x14ac:dyDescent="0.2">
      <c r="C17" s="122" t="s">
        <v>31</v>
      </c>
      <c r="D17" s="3" t="s">
        <v>170</v>
      </c>
      <c r="E17" s="3" t="s">
        <v>171</v>
      </c>
      <c r="F17" s="3" t="s">
        <v>13</v>
      </c>
      <c r="G17" s="123" t="s">
        <v>126</v>
      </c>
      <c r="H17" s="123"/>
      <c r="I17" s="124"/>
      <c r="J17" s="124" t="s">
        <v>558</v>
      </c>
    </row>
    <row r="18" spans="3:21" x14ac:dyDescent="0.2">
      <c r="C18" s="122" t="s">
        <v>31</v>
      </c>
      <c r="D18" s="3" t="s">
        <v>172</v>
      </c>
      <c r="E18" s="3" t="s">
        <v>173</v>
      </c>
      <c r="F18" s="3" t="s">
        <v>13</v>
      </c>
      <c r="G18" s="3" t="s">
        <v>126</v>
      </c>
      <c r="H18" s="125"/>
      <c r="I18" s="126"/>
      <c r="J18" s="124" t="s">
        <v>558</v>
      </c>
    </row>
    <row r="19" spans="3:21" x14ac:dyDescent="0.2">
      <c r="C19" s="122" t="s">
        <v>31</v>
      </c>
      <c r="D19" s="3" t="s">
        <v>174</v>
      </c>
      <c r="E19" s="3" t="s">
        <v>175</v>
      </c>
      <c r="F19" s="3" t="s">
        <v>13</v>
      </c>
      <c r="G19" s="123" t="s">
        <v>126</v>
      </c>
      <c r="H19" s="123"/>
      <c r="I19" s="124"/>
      <c r="J19" s="124" t="s">
        <v>558</v>
      </c>
      <c r="T19" s="209"/>
      <c r="U19" s="209"/>
    </row>
    <row r="20" spans="3:21" x14ac:dyDescent="0.2">
      <c r="C20" s="122" t="s">
        <v>31</v>
      </c>
      <c r="D20" s="3" t="s">
        <v>176</v>
      </c>
      <c r="E20" s="3" t="s">
        <v>177</v>
      </c>
      <c r="F20" s="3" t="s">
        <v>13</v>
      </c>
      <c r="G20" s="3" t="s">
        <v>126</v>
      </c>
      <c r="H20" s="123"/>
      <c r="I20" s="124"/>
      <c r="J20" s="124" t="s">
        <v>558</v>
      </c>
      <c r="T20" s="209"/>
      <c r="U20" s="209"/>
    </row>
    <row r="21" spans="3:21" x14ac:dyDescent="0.2">
      <c r="C21" s="122" t="s">
        <v>31</v>
      </c>
      <c r="D21" s="3" t="s">
        <v>178</v>
      </c>
      <c r="E21" s="3" t="s">
        <v>179</v>
      </c>
      <c r="F21" s="3" t="s">
        <v>13</v>
      </c>
      <c r="G21" s="123" t="s">
        <v>126</v>
      </c>
      <c r="H21" s="125"/>
      <c r="I21" s="126"/>
      <c r="J21" s="124" t="s">
        <v>558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241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31" t="s">
        <v>86</v>
      </c>
      <c r="M27" s="532"/>
      <c r="N27" s="532"/>
      <c r="O27" s="533"/>
      <c r="T27" s="209"/>
      <c r="U27" s="209"/>
    </row>
    <row r="28" spans="3:21" x14ac:dyDescent="0.2">
      <c r="J28" s="3" t="s">
        <v>138</v>
      </c>
      <c r="L28" s="534" t="s">
        <v>91</v>
      </c>
      <c r="M28" s="535"/>
      <c r="N28" s="535"/>
      <c r="O28" s="536"/>
      <c r="T28" s="209"/>
      <c r="U28" s="209"/>
    </row>
    <row r="29" spans="3:21" x14ac:dyDescent="0.2">
      <c r="J29" s="3" t="s">
        <v>168</v>
      </c>
      <c r="K29" s="3" t="s">
        <v>169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170</v>
      </c>
      <c r="K30" s="3" t="s">
        <v>171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172</v>
      </c>
      <c r="K31" s="3" t="s">
        <v>173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174</v>
      </c>
      <c r="K32" s="3" t="s">
        <v>175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176</v>
      </c>
      <c r="K33" s="3" t="s">
        <v>177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178</v>
      </c>
      <c r="K34" s="3" t="s">
        <v>179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298</v>
      </c>
      <c r="AC1" s="270">
        <v>100</v>
      </c>
      <c r="BB1" s="271" t="s">
        <v>299</v>
      </c>
      <c r="BC1" s="272"/>
      <c r="BD1" s="272" t="s">
        <v>300</v>
      </c>
      <c r="BE1" s="272" t="s">
        <v>301</v>
      </c>
      <c r="BF1" s="272" t="s">
        <v>302</v>
      </c>
    </row>
    <row r="2" spans="1:89" x14ac:dyDescent="0.2">
      <c r="A2" s="269" t="s">
        <v>564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303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507</v>
      </c>
      <c r="B3" s="273" t="s">
        <v>248</v>
      </c>
      <c r="C3" s="273"/>
      <c r="D3" s="274" t="s">
        <v>248</v>
      </c>
      <c r="E3" s="274" t="s">
        <v>249</v>
      </c>
      <c r="F3" s="274" t="s">
        <v>250</v>
      </c>
      <c r="G3" s="274" t="s">
        <v>251</v>
      </c>
      <c r="H3" s="274" t="s">
        <v>252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304</v>
      </c>
      <c r="B4" s="278" t="s">
        <v>305</v>
      </c>
      <c r="C4" s="279" t="s">
        <v>306</v>
      </c>
      <c r="D4" s="549" t="s">
        <v>307</v>
      </c>
      <c r="E4" s="550"/>
      <c r="F4" s="550"/>
      <c r="G4" s="550"/>
      <c r="H4" s="551"/>
      <c r="I4" s="550" t="s">
        <v>308</v>
      </c>
      <c r="J4" s="550"/>
      <c r="K4" s="550"/>
      <c r="L4" s="550"/>
      <c r="M4" s="551"/>
      <c r="N4" s="550" t="s">
        <v>309</v>
      </c>
      <c r="O4" s="550"/>
      <c r="P4" s="550"/>
      <c r="Q4" s="550"/>
      <c r="R4" s="551"/>
      <c r="S4" s="550" t="s">
        <v>310</v>
      </c>
      <c r="T4" s="550"/>
      <c r="U4" s="550"/>
      <c r="V4" s="550"/>
      <c r="W4" s="551"/>
      <c r="X4" s="550" t="s">
        <v>311</v>
      </c>
      <c r="Y4" s="550"/>
      <c r="Z4" s="550"/>
      <c r="AA4" s="550"/>
      <c r="AB4" s="551"/>
      <c r="AC4" s="550" t="s">
        <v>312</v>
      </c>
      <c r="AD4" s="550"/>
      <c r="AE4" s="550"/>
      <c r="AF4" s="550"/>
      <c r="AG4" s="551"/>
      <c r="AH4" s="550" t="s">
        <v>313</v>
      </c>
      <c r="AI4" s="550"/>
      <c r="AJ4" s="550"/>
      <c r="AK4" s="550"/>
      <c r="AL4" s="551"/>
      <c r="AM4" s="550" t="s">
        <v>314</v>
      </c>
      <c r="AN4" s="550"/>
      <c r="AO4" s="550"/>
      <c r="AP4" s="550"/>
      <c r="AQ4" s="551"/>
      <c r="AR4" s="550" t="s">
        <v>315</v>
      </c>
      <c r="AS4" s="550"/>
      <c r="AT4" s="550"/>
      <c r="AU4" s="550"/>
      <c r="AV4" s="551"/>
      <c r="AW4" s="550" t="s">
        <v>316</v>
      </c>
      <c r="AX4" s="550"/>
      <c r="AY4" s="550"/>
      <c r="AZ4" s="550"/>
      <c r="BA4" s="550"/>
      <c r="BB4" s="549" t="s">
        <v>317</v>
      </c>
      <c r="BC4" s="550"/>
      <c r="BD4" s="550"/>
      <c r="BE4" s="550"/>
      <c r="BF4" s="551"/>
      <c r="BG4" s="550" t="s">
        <v>318</v>
      </c>
      <c r="BH4" s="550"/>
      <c r="BI4" s="550"/>
      <c r="BJ4" s="550"/>
      <c r="BK4" s="550"/>
      <c r="BL4" s="549" t="s">
        <v>319</v>
      </c>
      <c r="BM4" s="550"/>
      <c r="BN4" s="550"/>
      <c r="BO4" s="550"/>
      <c r="BP4" s="550"/>
      <c r="BQ4" s="549" t="s">
        <v>320</v>
      </c>
      <c r="BR4" s="550"/>
      <c r="BS4" s="550"/>
      <c r="BT4" s="550"/>
      <c r="BU4" s="551"/>
      <c r="BV4" s="280" t="s">
        <v>321</v>
      </c>
      <c r="BW4" s="552" t="s">
        <v>322</v>
      </c>
      <c r="BX4" s="553"/>
      <c r="BY4" s="553"/>
      <c r="BZ4" s="553"/>
      <c r="CA4" s="554"/>
      <c r="CB4" s="552" t="s">
        <v>323</v>
      </c>
      <c r="CC4" s="553"/>
      <c r="CD4" s="553"/>
      <c r="CE4" s="553"/>
      <c r="CF4" s="554"/>
      <c r="CG4" s="552" t="s">
        <v>324</v>
      </c>
      <c r="CH4" s="553"/>
      <c r="CI4" s="553"/>
      <c r="CJ4" s="553"/>
      <c r="CK4" s="554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325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326</v>
      </c>
      <c r="B7" s="301" t="s">
        <v>428</v>
      </c>
      <c r="C7" s="302" t="s">
        <v>327</v>
      </c>
      <c r="D7" s="303" t="s">
        <v>429</v>
      </c>
      <c r="E7" s="304" t="s">
        <v>429</v>
      </c>
      <c r="F7" s="304" t="s">
        <v>429</v>
      </c>
      <c r="G7" s="304" t="s">
        <v>429</v>
      </c>
      <c r="H7" s="305" t="s">
        <v>429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328</v>
      </c>
      <c r="B8" s="301" t="s">
        <v>327</v>
      </c>
      <c r="C8" s="302" t="s">
        <v>329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330</v>
      </c>
      <c r="B9" s="301" t="s">
        <v>331</v>
      </c>
      <c r="C9" s="302" t="s">
        <v>331</v>
      </c>
      <c r="D9" s="303" t="s">
        <v>430</v>
      </c>
      <c r="E9" s="304" t="s">
        <v>431</v>
      </c>
      <c r="F9" s="304" t="s">
        <v>432</v>
      </c>
      <c r="G9" s="304" t="s">
        <v>432</v>
      </c>
      <c r="H9" s="305" t="s">
        <v>433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434</v>
      </c>
      <c r="AS9" s="304" t="s">
        <v>435</v>
      </c>
      <c r="AT9" s="304" t="s">
        <v>436</v>
      </c>
      <c r="AU9" s="304" t="s">
        <v>437</v>
      </c>
      <c r="AV9" s="305" t="s">
        <v>437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332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333</v>
      </c>
      <c r="B10" s="301" t="s">
        <v>438</v>
      </c>
      <c r="C10" s="302" t="s">
        <v>334</v>
      </c>
      <c r="D10" s="303" t="s">
        <v>439</v>
      </c>
      <c r="E10" s="304" t="s">
        <v>439</v>
      </c>
      <c r="F10" s="304" t="s">
        <v>439</v>
      </c>
      <c r="G10" s="304" t="s">
        <v>439</v>
      </c>
      <c r="H10" s="305" t="s">
        <v>439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332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335</v>
      </c>
      <c r="B11" s="301" t="s">
        <v>440</v>
      </c>
      <c r="C11" s="302" t="s">
        <v>336</v>
      </c>
      <c r="D11" s="303" t="s">
        <v>441</v>
      </c>
      <c r="E11" s="304" t="s">
        <v>430</v>
      </c>
      <c r="F11" s="304" t="s">
        <v>442</v>
      </c>
      <c r="G11" s="304" t="s">
        <v>442</v>
      </c>
      <c r="H11" s="305" t="s">
        <v>442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337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338</v>
      </c>
      <c r="B12" s="301" t="s">
        <v>443</v>
      </c>
      <c r="C12" s="302" t="s">
        <v>339</v>
      </c>
      <c r="D12" s="303" t="s">
        <v>444</v>
      </c>
      <c r="E12" s="304" t="s">
        <v>444</v>
      </c>
      <c r="F12" s="304" t="s">
        <v>444</v>
      </c>
      <c r="G12" s="304" t="s">
        <v>444</v>
      </c>
      <c r="H12" s="305" t="s">
        <v>444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340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341</v>
      </c>
      <c r="B13" s="301" t="s">
        <v>445</v>
      </c>
      <c r="C13" s="302" t="s">
        <v>342</v>
      </c>
      <c r="D13" s="303" t="s">
        <v>446</v>
      </c>
      <c r="E13" s="304" t="s">
        <v>447</v>
      </c>
      <c r="F13" s="304" t="s">
        <v>448</v>
      </c>
      <c r="G13" s="304" t="s">
        <v>449</v>
      </c>
      <c r="H13" s="305" t="s">
        <v>449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343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344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345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346</v>
      </c>
      <c r="B16" s="301" t="s">
        <v>450</v>
      </c>
      <c r="C16" s="302" t="s">
        <v>347</v>
      </c>
      <c r="D16" s="303" t="s">
        <v>451</v>
      </c>
      <c r="E16" s="304" t="s">
        <v>451</v>
      </c>
      <c r="F16" s="304" t="s">
        <v>451</v>
      </c>
      <c r="G16" s="304" t="s">
        <v>451</v>
      </c>
      <c r="H16" s="305" t="s">
        <v>451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348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349</v>
      </c>
      <c r="B18" s="301" t="s">
        <v>452</v>
      </c>
      <c r="C18" s="302" t="s">
        <v>350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351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352</v>
      </c>
      <c r="B19" s="301" t="s">
        <v>453</v>
      </c>
      <c r="C19" s="302" t="s">
        <v>353</v>
      </c>
      <c r="D19" s="303" t="s">
        <v>454</v>
      </c>
      <c r="E19" s="304" t="s">
        <v>454</v>
      </c>
      <c r="F19" s="304" t="s">
        <v>454</v>
      </c>
      <c r="G19" s="304" t="s">
        <v>454</v>
      </c>
      <c r="H19" s="305" t="s">
        <v>454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455</v>
      </c>
      <c r="CC19" s="308" t="s">
        <v>455</v>
      </c>
      <c r="CD19" s="308" t="s">
        <v>455</v>
      </c>
      <c r="CE19" s="308" t="s">
        <v>455</v>
      </c>
      <c r="CF19" s="309" t="s">
        <v>455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354</v>
      </c>
      <c r="B20" s="301" t="s">
        <v>456</v>
      </c>
      <c r="C20" s="302" t="s">
        <v>355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356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357</v>
      </c>
      <c r="B21" s="301" t="s">
        <v>457</v>
      </c>
      <c r="C21" s="302" t="s">
        <v>358</v>
      </c>
      <c r="D21" s="303" t="s">
        <v>454</v>
      </c>
      <c r="E21" s="304" t="s">
        <v>454</v>
      </c>
      <c r="F21" s="304" t="s">
        <v>454</v>
      </c>
      <c r="G21" s="304" t="s">
        <v>454</v>
      </c>
      <c r="H21" s="305" t="s">
        <v>454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356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359</v>
      </c>
      <c r="B22" s="301" t="s">
        <v>458</v>
      </c>
      <c r="C22" s="302" t="s">
        <v>359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360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361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362</v>
      </c>
      <c r="B24" s="301" t="s">
        <v>459</v>
      </c>
      <c r="C24" s="302" t="s">
        <v>363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364</v>
      </c>
      <c r="B25" s="301" t="s">
        <v>460</v>
      </c>
      <c r="C25" s="302" t="s">
        <v>365</v>
      </c>
      <c r="D25" s="303" t="s">
        <v>461</v>
      </c>
      <c r="E25" s="304" t="s">
        <v>461</v>
      </c>
      <c r="F25" s="304" t="s">
        <v>461</v>
      </c>
      <c r="G25" s="304" t="s">
        <v>461</v>
      </c>
      <c r="H25" s="305" t="s">
        <v>461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455</v>
      </c>
      <c r="CC25" s="308" t="s">
        <v>455</v>
      </c>
      <c r="CD25" s="308" t="s">
        <v>455</v>
      </c>
      <c r="CE25" s="308" t="s">
        <v>455</v>
      </c>
      <c r="CF25" s="309" t="s">
        <v>455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529</v>
      </c>
      <c r="B26" s="301" t="s">
        <v>530</v>
      </c>
      <c r="C26" s="301" t="s">
        <v>363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366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367</v>
      </c>
      <c r="B28" s="301" t="s">
        <v>462</v>
      </c>
      <c r="C28" s="302" t="s">
        <v>368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369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370</v>
      </c>
      <c r="B29" s="301" t="s">
        <v>463</v>
      </c>
      <c r="C29" s="302" t="s">
        <v>371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369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372</v>
      </c>
      <c r="B30" s="301" t="s">
        <v>464</v>
      </c>
      <c r="C30" s="302" t="s">
        <v>373</v>
      </c>
      <c r="D30" s="303" t="s">
        <v>436</v>
      </c>
      <c r="E30" s="304" t="s">
        <v>436</v>
      </c>
      <c r="F30" s="304" t="s">
        <v>436</v>
      </c>
      <c r="G30" s="304" t="s">
        <v>436</v>
      </c>
      <c r="H30" s="305" t="s">
        <v>436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465</v>
      </c>
      <c r="AX30" s="304" t="s">
        <v>466</v>
      </c>
      <c r="AY30" s="304" t="s">
        <v>466</v>
      </c>
      <c r="AZ30" s="304" t="s">
        <v>466</v>
      </c>
      <c r="BA30" s="305" t="s">
        <v>466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374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375</v>
      </c>
      <c r="B31" s="301" t="s">
        <v>467</v>
      </c>
      <c r="C31" s="328" t="s">
        <v>376</v>
      </c>
      <c r="D31" s="303" t="s">
        <v>468</v>
      </c>
      <c r="E31" s="304" t="s">
        <v>468</v>
      </c>
      <c r="F31" s="304" t="s">
        <v>468</v>
      </c>
      <c r="G31" s="304" t="s">
        <v>468</v>
      </c>
      <c r="H31" s="305" t="s">
        <v>468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377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378</v>
      </c>
      <c r="B32" s="301" t="s">
        <v>458</v>
      </c>
      <c r="C32" s="302" t="s">
        <v>379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455</v>
      </c>
      <c r="BX32" s="308" t="s">
        <v>455</v>
      </c>
      <c r="BY32" s="308" t="s">
        <v>455</v>
      </c>
      <c r="BZ32" s="308" t="s">
        <v>455</v>
      </c>
      <c r="CA32" s="309" t="s">
        <v>455</v>
      </c>
      <c r="CB32" s="308" t="s">
        <v>455</v>
      </c>
      <c r="CC32" s="308" t="s">
        <v>455</v>
      </c>
      <c r="CD32" s="308" t="s">
        <v>455</v>
      </c>
      <c r="CE32" s="308" t="s">
        <v>455</v>
      </c>
      <c r="CF32" s="309" t="s">
        <v>455</v>
      </c>
      <c r="CG32" s="310" t="s">
        <v>455</v>
      </c>
      <c r="CH32" s="308" t="s">
        <v>455</v>
      </c>
      <c r="CI32" s="308" t="s">
        <v>455</v>
      </c>
      <c r="CJ32" s="308" t="s">
        <v>455</v>
      </c>
      <c r="CK32" s="309" t="s">
        <v>455</v>
      </c>
    </row>
    <row r="33" spans="1:89" s="299" customFormat="1" x14ac:dyDescent="0.2">
      <c r="A33" s="292" t="s">
        <v>380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381</v>
      </c>
      <c r="B34" s="301" t="s">
        <v>458</v>
      </c>
      <c r="C34" s="302" t="s">
        <v>382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360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383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384</v>
      </c>
      <c r="B36" s="301" t="s">
        <v>469</v>
      </c>
      <c r="C36" s="302" t="s">
        <v>385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470</v>
      </c>
      <c r="O36" s="304" t="s">
        <v>471</v>
      </c>
      <c r="P36" s="304" t="s">
        <v>471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472</v>
      </c>
      <c r="Y36" s="304" t="s">
        <v>472</v>
      </c>
      <c r="Z36" s="304" t="s">
        <v>473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474</v>
      </c>
      <c r="AY36" s="304" t="s">
        <v>474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386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455</v>
      </c>
      <c r="CF36" s="336" t="s">
        <v>455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387</v>
      </c>
      <c r="B37" s="301" t="s">
        <v>475</v>
      </c>
      <c r="C37" s="302" t="s">
        <v>388</v>
      </c>
      <c r="D37" s="303" t="s">
        <v>476</v>
      </c>
      <c r="E37" s="304" t="s">
        <v>476</v>
      </c>
      <c r="F37" s="304" t="s">
        <v>476</v>
      </c>
      <c r="G37" s="304">
        <v>0</v>
      </c>
      <c r="H37" s="305">
        <v>0</v>
      </c>
      <c r="I37" s="304" t="s">
        <v>477</v>
      </c>
      <c r="J37" s="304" t="s">
        <v>478</v>
      </c>
      <c r="K37" s="304" t="s">
        <v>479</v>
      </c>
      <c r="L37" s="304">
        <v>0</v>
      </c>
      <c r="M37" s="305">
        <v>0</v>
      </c>
      <c r="N37" s="304" t="s">
        <v>480</v>
      </c>
      <c r="O37" s="304" t="s">
        <v>480</v>
      </c>
      <c r="P37" s="304" t="s">
        <v>480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481</v>
      </c>
      <c r="Y37" s="304" t="s">
        <v>481</v>
      </c>
      <c r="Z37" s="304" t="s">
        <v>481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465</v>
      </c>
      <c r="AX37" s="304" t="s">
        <v>465</v>
      </c>
      <c r="AY37" s="304" t="s">
        <v>465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386</v>
      </c>
      <c r="BW37" s="312">
        <v>446.15384615384613</v>
      </c>
      <c r="BX37" s="312">
        <v>446.15384615384613</v>
      </c>
      <c r="BY37" s="312">
        <v>446.15384615384613</v>
      </c>
      <c r="BZ37" s="312" t="s">
        <v>455</v>
      </c>
      <c r="CA37" s="313" t="s">
        <v>455</v>
      </c>
      <c r="CB37" s="326">
        <v>1.2307692307692308</v>
      </c>
      <c r="CC37" s="337">
        <v>1.2307692307692308</v>
      </c>
      <c r="CD37" s="337">
        <v>1.2307692307692308</v>
      </c>
      <c r="CE37" s="337" t="s">
        <v>455</v>
      </c>
      <c r="CF37" s="338" t="s">
        <v>455</v>
      </c>
      <c r="CG37" s="310">
        <v>0</v>
      </c>
      <c r="CH37" s="308">
        <v>0</v>
      </c>
      <c r="CI37" s="308">
        <v>0</v>
      </c>
      <c r="CJ37" s="308" t="s">
        <v>455</v>
      </c>
      <c r="CK37" s="309" t="s">
        <v>455</v>
      </c>
    </row>
    <row r="38" spans="1:89" s="299" customFormat="1" x14ac:dyDescent="0.2">
      <c r="A38" s="300" t="s">
        <v>389</v>
      </c>
      <c r="B38" s="301" t="s">
        <v>458</v>
      </c>
      <c r="C38" s="302" t="s">
        <v>390</v>
      </c>
      <c r="D38" s="323" t="s">
        <v>391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360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392</v>
      </c>
      <c r="B39" s="301" t="s">
        <v>482</v>
      </c>
      <c r="C39" s="302" t="s">
        <v>393</v>
      </c>
      <c r="D39" s="303" t="s">
        <v>483</v>
      </c>
      <c r="E39" s="304" t="s">
        <v>484</v>
      </c>
      <c r="F39" s="304" t="s">
        <v>485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486</v>
      </c>
      <c r="O39" s="304" t="s">
        <v>486</v>
      </c>
      <c r="P39" s="304" t="s">
        <v>486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481</v>
      </c>
      <c r="Y39" s="304" t="s">
        <v>481</v>
      </c>
      <c r="Z39" s="304" t="s">
        <v>481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474</v>
      </c>
      <c r="AY39" s="304" t="s">
        <v>474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394</v>
      </c>
      <c r="BW39" s="312">
        <v>1263.1578947368421</v>
      </c>
      <c r="BX39" s="312">
        <v>875</v>
      </c>
      <c r="BY39" s="312">
        <v>909.09090909090912</v>
      </c>
      <c r="BZ39" s="312" t="s">
        <v>455</v>
      </c>
      <c r="CA39" s="313" t="s">
        <v>455</v>
      </c>
      <c r="CB39" s="312">
        <v>263.15789473684208</v>
      </c>
      <c r="CC39" s="312">
        <v>312.5</v>
      </c>
      <c r="CD39" s="312">
        <v>454.54545454545456</v>
      </c>
      <c r="CE39" s="312" t="s">
        <v>455</v>
      </c>
      <c r="CF39" s="313" t="s">
        <v>455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395</v>
      </c>
      <c r="B40" s="301" t="s">
        <v>487</v>
      </c>
      <c r="C40" s="302" t="s">
        <v>396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486</v>
      </c>
      <c r="O40" s="304" t="s">
        <v>486</v>
      </c>
      <c r="P40" s="304" t="s">
        <v>486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488</v>
      </c>
      <c r="Y40" s="304" t="s">
        <v>488</v>
      </c>
      <c r="Z40" s="304" t="s">
        <v>488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474</v>
      </c>
      <c r="AY40" s="304" t="s">
        <v>474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394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397</v>
      </c>
      <c r="B41" s="301" t="s">
        <v>489</v>
      </c>
      <c r="C41" s="302" t="s">
        <v>398</v>
      </c>
      <c r="D41" s="303" t="s">
        <v>490</v>
      </c>
      <c r="E41" s="304" t="s">
        <v>490</v>
      </c>
      <c r="F41" s="304" t="s">
        <v>490</v>
      </c>
      <c r="G41" s="304" t="s">
        <v>455</v>
      </c>
      <c r="H41" s="305" t="s">
        <v>455</v>
      </c>
      <c r="I41" s="304" t="s">
        <v>491</v>
      </c>
      <c r="J41" s="304" t="s">
        <v>491</v>
      </c>
      <c r="K41" s="304" t="s">
        <v>491</v>
      </c>
      <c r="L41" s="304">
        <v>0</v>
      </c>
      <c r="M41" s="305">
        <v>0</v>
      </c>
      <c r="N41" s="304" t="s">
        <v>492</v>
      </c>
      <c r="O41" s="304" t="s">
        <v>492</v>
      </c>
      <c r="P41" s="304" t="s">
        <v>492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493</v>
      </c>
      <c r="Y41" s="304" t="s">
        <v>493</v>
      </c>
      <c r="Z41" s="304" t="s">
        <v>493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494</v>
      </c>
      <c r="AX41" s="304" t="s">
        <v>495</v>
      </c>
      <c r="AY41" s="304" t="s">
        <v>495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394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399</v>
      </c>
      <c r="B42" s="301" t="s">
        <v>496</v>
      </c>
      <c r="C42" s="302" t="s">
        <v>400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481</v>
      </c>
      <c r="O42" s="304" t="s">
        <v>481</v>
      </c>
      <c r="P42" s="304" t="s">
        <v>481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481</v>
      </c>
      <c r="Y42" s="304" t="s">
        <v>481</v>
      </c>
      <c r="Z42" s="304" t="s">
        <v>481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474</v>
      </c>
      <c r="AY42" s="304" t="s">
        <v>474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394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401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402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403</v>
      </c>
      <c r="B45" s="301" t="s">
        <v>497</v>
      </c>
      <c r="C45" s="302" t="s">
        <v>404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405</v>
      </c>
      <c r="B46" s="301" t="s">
        <v>498</v>
      </c>
      <c r="C46" s="302" t="s">
        <v>406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407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408</v>
      </c>
      <c r="B48" s="301" t="s">
        <v>499</v>
      </c>
      <c r="C48" s="302" t="s">
        <v>409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410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411</v>
      </c>
      <c r="B49" s="301" t="s">
        <v>500</v>
      </c>
      <c r="C49" s="302" t="s">
        <v>412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410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413</v>
      </c>
      <c r="B50" s="301" t="s">
        <v>458</v>
      </c>
      <c r="C50" s="302" t="s">
        <v>413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360</v>
      </c>
      <c r="BW50" s="308" t="s">
        <v>455</v>
      </c>
      <c r="BX50" s="308" t="s">
        <v>455</v>
      </c>
      <c r="BY50" s="308" t="s">
        <v>455</v>
      </c>
      <c r="BZ50" s="308" t="s">
        <v>455</v>
      </c>
      <c r="CA50" s="309" t="s">
        <v>455</v>
      </c>
      <c r="CB50" s="308" t="s">
        <v>455</v>
      </c>
      <c r="CC50" s="308" t="s">
        <v>455</v>
      </c>
      <c r="CD50" s="308" t="s">
        <v>455</v>
      </c>
      <c r="CE50" s="308" t="s">
        <v>455</v>
      </c>
      <c r="CF50" s="309" t="s">
        <v>455</v>
      </c>
      <c r="CG50" s="310" t="s">
        <v>455</v>
      </c>
      <c r="CH50" s="308" t="s">
        <v>455</v>
      </c>
      <c r="CI50" s="308" t="s">
        <v>455</v>
      </c>
      <c r="CJ50" s="308" t="s">
        <v>455</v>
      </c>
      <c r="CK50" s="309" t="s">
        <v>455</v>
      </c>
    </row>
    <row r="51" spans="1:89" s="299" customFormat="1" x14ac:dyDescent="0.2">
      <c r="A51" s="300"/>
      <c r="B51" s="301"/>
      <c r="C51" s="302" t="s">
        <v>414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415</v>
      </c>
      <c r="B52" s="343" t="s">
        <v>458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360</v>
      </c>
      <c r="BW52" s="351" t="s">
        <v>455</v>
      </c>
      <c r="BX52" s="351" t="s">
        <v>455</v>
      </c>
      <c r="BY52" s="351" t="s">
        <v>455</v>
      </c>
      <c r="BZ52" s="351" t="s">
        <v>455</v>
      </c>
      <c r="CA52" s="352" t="s">
        <v>455</v>
      </c>
      <c r="CB52" s="351" t="s">
        <v>455</v>
      </c>
      <c r="CC52" s="351" t="s">
        <v>455</v>
      </c>
      <c r="CD52" s="351" t="s">
        <v>455</v>
      </c>
      <c r="CE52" s="351" t="s">
        <v>455</v>
      </c>
      <c r="CF52" s="352" t="s">
        <v>455</v>
      </c>
      <c r="CG52" s="351" t="s">
        <v>455</v>
      </c>
      <c r="CH52" s="351" t="s">
        <v>455</v>
      </c>
      <c r="CI52" s="351" t="s">
        <v>455</v>
      </c>
      <c r="CJ52" s="351" t="s">
        <v>455</v>
      </c>
      <c r="CK52" s="352" t="s">
        <v>455</v>
      </c>
    </row>
    <row r="53" spans="1:89" s="299" customFormat="1" x14ac:dyDescent="0.2">
      <c r="A53" s="342" t="s">
        <v>416</v>
      </c>
      <c r="B53" s="343" t="s">
        <v>458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360</v>
      </c>
      <c r="BW53" s="351" t="s">
        <v>455</v>
      </c>
      <c r="BX53" s="351" t="s">
        <v>455</v>
      </c>
      <c r="BY53" s="351" t="s">
        <v>455</v>
      </c>
      <c r="BZ53" s="351" t="s">
        <v>455</v>
      </c>
      <c r="CA53" s="352" t="s">
        <v>455</v>
      </c>
      <c r="CB53" s="351" t="s">
        <v>455</v>
      </c>
      <c r="CC53" s="351" t="s">
        <v>455</v>
      </c>
      <c r="CD53" s="351" t="s">
        <v>455</v>
      </c>
      <c r="CE53" s="351" t="s">
        <v>455</v>
      </c>
      <c r="CF53" s="352" t="s">
        <v>455</v>
      </c>
      <c r="CG53" s="351" t="s">
        <v>455</v>
      </c>
      <c r="CH53" s="351" t="s">
        <v>455</v>
      </c>
      <c r="CI53" s="351" t="s">
        <v>455</v>
      </c>
      <c r="CJ53" s="351" t="s">
        <v>455</v>
      </c>
      <c r="CK53" s="352" t="s">
        <v>455</v>
      </c>
    </row>
    <row r="54" spans="1:89" s="299" customFormat="1" x14ac:dyDescent="0.2">
      <c r="A54" s="342" t="s">
        <v>417</v>
      </c>
      <c r="B54" s="343" t="s">
        <v>458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360</v>
      </c>
      <c r="BW54" s="351" t="s">
        <v>455</v>
      </c>
      <c r="BX54" s="351" t="s">
        <v>455</v>
      </c>
      <c r="BY54" s="351" t="s">
        <v>455</v>
      </c>
      <c r="BZ54" s="351" t="s">
        <v>455</v>
      </c>
      <c r="CA54" s="352" t="s">
        <v>455</v>
      </c>
      <c r="CB54" s="351" t="s">
        <v>455</v>
      </c>
      <c r="CC54" s="351" t="s">
        <v>455</v>
      </c>
      <c r="CD54" s="351" t="s">
        <v>455</v>
      </c>
      <c r="CE54" s="351" t="s">
        <v>455</v>
      </c>
      <c r="CF54" s="352" t="s">
        <v>455</v>
      </c>
      <c r="CG54" s="351" t="s">
        <v>455</v>
      </c>
      <c r="CH54" s="351" t="s">
        <v>455</v>
      </c>
      <c r="CI54" s="351" t="s">
        <v>455</v>
      </c>
      <c r="CJ54" s="351" t="s">
        <v>455</v>
      </c>
      <c r="CK54" s="352" t="s">
        <v>455</v>
      </c>
    </row>
    <row r="55" spans="1:89" s="299" customFormat="1" x14ac:dyDescent="0.2">
      <c r="A55" s="342" t="s">
        <v>418</v>
      </c>
      <c r="B55" s="343" t="s">
        <v>458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360</v>
      </c>
      <c r="BW55" s="351" t="s">
        <v>455</v>
      </c>
      <c r="BX55" s="351" t="s">
        <v>455</v>
      </c>
      <c r="BY55" s="351" t="s">
        <v>455</v>
      </c>
      <c r="BZ55" s="351" t="s">
        <v>455</v>
      </c>
      <c r="CA55" s="352" t="s">
        <v>455</v>
      </c>
      <c r="CB55" s="351" t="s">
        <v>455</v>
      </c>
      <c r="CC55" s="351" t="s">
        <v>455</v>
      </c>
      <c r="CD55" s="351" t="s">
        <v>455</v>
      </c>
      <c r="CE55" s="351" t="s">
        <v>455</v>
      </c>
      <c r="CF55" s="352" t="s">
        <v>455</v>
      </c>
      <c r="CG55" s="351" t="s">
        <v>455</v>
      </c>
      <c r="CH55" s="351" t="s">
        <v>455</v>
      </c>
      <c r="CI55" s="351" t="s">
        <v>455</v>
      </c>
      <c r="CJ55" s="351" t="s">
        <v>455</v>
      </c>
      <c r="CK55" s="352" t="s">
        <v>455</v>
      </c>
    </row>
    <row r="56" spans="1:89" s="299" customFormat="1" x14ac:dyDescent="0.2">
      <c r="A56" s="342" t="s">
        <v>419</v>
      </c>
      <c r="B56" s="343" t="s">
        <v>458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360</v>
      </c>
      <c r="BW56" s="351" t="s">
        <v>455</v>
      </c>
      <c r="BX56" s="351" t="s">
        <v>455</v>
      </c>
      <c r="BY56" s="351" t="s">
        <v>455</v>
      </c>
      <c r="BZ56" s="351" t="s">
        <v>455</v>
      </c>
      <c r="CA56" s="352" t="s">
        <v>455</v>
      </c>
      <c r="CB56" s="351" t="s">
        <v>455</v>
      </c>
      <c r="CC56" s="351" t="s">
        <v>455</v>
      </c>
      <c r="CD56" s="351" t="s">
        <v>455</v>
      </c>
      <c r="CE56" s="351" t="s">
        <v>455</v>
      </c>
      <c r="CF56" s="352" t="s">
        <v>455</v>
      </c>
      <c r="CG56" s="351" t="s">
        <v>455</v>
      </c>
      <c r="CH56" s="351" t="s">
        <v>455</v>
      </c>
      <c r="CI56" s="351" t="s">
        <v>455</v>
      </c>
      <c r="CJ56" s="351" t="s">
        <v>455</v>
      </c>
      <c r="CK56" s="352" t="s">
        <v>455</v>
      </c>
    </row>
    <row r="57" spans="1:89" s="299" customFormat="1" x14ac:dyDescent="0.2">
      <c r="A57" s="342" t="s">
        <v>420</v>
      </c>
      <c r="B57" s="343" t="s">
        <v>458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360</v>
      </c>
      <c r="BW57" s="351" t="s">
        <v>455</v>
      </c>
      <c r="BX57" s="351" t="s">
        <v>455</v>
      </c>
      <c r="BY57" s="351" t="s">
        <v>455</v>
      </c>
      <c r="BZ57" s="351" t="s">
        <v>455</v>
      </c>
      <c r="CA57" s="352" t="s">
        <v>455</v>
      </c>
      <c r="CB57" s="351" t="s">
        <v>455</v>
      </c>
      <c r="CC57" s="351" t="s">
        <v>455</v>
      </c>
      <c r="CD57" s="351" t="s">
        <v>455</v>
      </c>
      <c r="CE57" s="351" t="s">
        <v>455</v>
      </c>
      <c r="CF57" s="352" t="s">
        <v>455</v>
      </c>
      <c r="CG57" s="351" t="s">
        <v>455</v>
      </c>
      <c r="CH57" s="351" t="s">
        <v>455</v>
      </c>
      <c r="CI57" s="351" t="s">
        <v>455</v>
      </c>
      <c r="CJ57" s="351" t="s">
        <v>455</v>
      </c>
      <c r="CK57" s="352" t="s">
        <v>455</v>
      </c>
    </row>
    <row r="58" spans="1:89" s="299" customFormat="1" x14ac:dyDescent="0.2">
      <c r="A58" s="342" t="s">
        <v>421</v>
      </c>
      <c r="B58" s="343" t="s">
        <v>458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360</v>
      </c>
      <c r="BW58" s="351" t="s">
        <v>455</v>
      </c>
      <c r="BX58" s="351" t="s">
        <v>455</v>
      </c>
      <c r="BY58" s="351" t="s">
        <v>455</v>
      </c>
      <c r="BZ58" s="351" t="s">
        <v>455</v>
      </c>
      <c r="CA58" s="352" t="s">
        <v>455</v>
      </c>
      <c r="CB58" s="351" t="s">
        <v>455</v>
      </c>
      <c r="CC58" s="351" t="s">
        <v>455</v>
      </c>
      <c r="CD58" s="351" t="s">
        <v>455</v>
      </c>
      <c r="CE58" s="351" t="s">
        <v>455</v>
      </c>
      <c r="CF58" s="352" t="s">
        <v>455</v>
      </c>
      <c r="CG58" s="351" t="s">
        <v>455</v>
      </c>
      <c r="CH58" s="351" t="s">
        <v>455</v>
      </c>
      <c r="CI58" s="351" t="s">
        <v>455</v>
      </c>
      <c r="CJ58" s="351" t="s">
        <v>455</v>
      </c>
      <c r="CK58" s="352" t="s">
        <v>455</v>
      </c>
    </row>
    <row r="59" spans="1:89" s="299" customFormat="1" x14ac:dyDescent="0.2">
      <c r="A59" s="342" t="s">
        <v>422</v>
      </c>
      <c r="B59" s="343" t="s">
        <v>458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360</v>
      </c>
      <c r="BW59" s="351" t="s">
        <v>455</v>
      </c>
      <c r="BX59" s="351" t="s">
        <v>455</v>
      </c>
      <c r="BY59" s="351" t="s">
        <v>455</v>
      </c>
      <c r="BZ59" s="351" t="s">
        <v>455</v>
      </c>
      <c r="CA59" s="352" t="s">
        <v>455</v>
      </c>
      <c r="CB59" s="351" t="s">
        <v>455</v>
      </c>
      <c r="CC59" s="351" t="s">
        <v>455</v>
      </c>
      <c r="CD59" s="351" t="s">
        <v>455</v>
      </c>
      <c r="CE59" s="351" t="s">
        <v>455</v>
      </c>
      <c r="CF59" s="352" t="s">
        <v>455</v>
      </c>
      <c r="CG59" s="351" t="s">
        <v>455</v>
      </c>
      <c r="CH59" s="351" t="s">
        <v>455</v>
      </c>
      <c r="CI59" s="351" t="s">
        <v>455</v>
      </c>
      <c r="CJ59" s="351" t="s">
        <v>455</v>
      </c>
      <c r="CK59" s="352" t="s">
        <v>455</v>
      </c>
    </row>
    <row r="60" spans="1:89" s="299" customFormat="1" x14ac:dyDescent="0.2">
      <c r="A60" s="342" t="s">
        <v>423</v>
      </c>
      <c r="B60" s="343" t="s">
        <v>501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488</v>
      </c>
      <c r="AX60" s="346" t="s">
        <v>488</v>
      </c>
      <c r="AY60" s="346" t="s">
        <v>488</v>
      </c>
      <c r="AZ60" s="346" t="s">
        <v>488</v>
      </c>
      <c r="BA60" s="347" t="s">
        <v>488</v>
      </c>
      <c r="BB60" s="345" t="s">
        <v>502</v>
      </c>
      <c r="BC60" s="346" t="s">
        <v>502</v>
      </c>
      <c r="BD60" s="346" t="s">
        <v>502</v>
      </c>
      <c r="BE60" s="346" t="s">
        <v>502</v>
      </c>
      <c r="BF60" s="347" t="s">
        <v>502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455</v>
      </c>
      <c r="BX60" s="351" t="s">
        <v>455</v>
      </c>
      <c r="BY60" s="351" t="s">
        <v>455</v>
      </c>
      <c r="BZ60" s="351" t="s">
        <v>455</v>
      </c>
      <c r="CA60" s="352" t="s">
        <v>455</v>
      </c>
      <c r="CB60" s="351" t="s">
        <v>455</v>
      </c>
      <c r="CC60" s="351" t="s">
        <v>455</v>
      </c>
      <c r="CD60" s="351" t="s">
        <v>455</v>
      </c>
      <c r="CE60" s="351" t="s">
        <v>455</v>
      </c>
      <c r="CF60" s="352" t="s">
        <v>455</v>
      </c>
      <c r="CG60" s="351" t="s">
        <v>455</v>
      </c>
      <c r="CH60" s="351" t="s">
        <v>455</v>
      </c>
      <c r="CI60" s="351" t="s">
        <v>455</v>
      </c>
      <c r="CJ60" s="351" t="s">
        <v>455</v>
      </c>
      <c r="CK60" s="352" t="s">
        <v>455</v>
      </c>
    </row>
    <row r="61" spans="1:89" s="299" customFormat="1" x14ac:dyDescent="0.2">
      <c r="A61" s="342" t="s">
        <v>424</v>
      </c>
      <c r="B61" s="343" t="s">
        <v>503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488</v>
      </c>
      <c r="AX61" s="346" t="s">
        <v>488</v>
      </c>
      <c r="AY61" s="346" t="s">
        <v>488</v>
      </c>
      <c r="AZ61" s="346" t="s">
        <v>488</v>
      </c>
      <c r="BA61" s="347" t="s">
        <v>488</v>
      </c>
      <c r="BB61" s="345" t="s">
        <v>504</v>
      </c>
      <c r="BC61" s="346" t="s">
        <v>504</v>
      </c>
      <c r="BD61" s="346" t="s">
        <v>504</v>
      </c>
      <c r="BE61" s="346" t="s">
        <v>504</v>
      </c>
      <c r="BF61" s="347" t="s">
        <v>504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505</v>
      </c>
      <c r="BM61" s="346" t="s">
        <v>505</v>
      </c>
      <c r="BN61" s="346" t="s">
        <v>505</v>
      </c>
      <c r="BO61" s="346" t="s">
        <v>505</v>
      </c>
      <c r="BP61" s="347" t="s">
        <v>505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455</v>
      </c>
      <c r="BX61" s="351" t="s">
        <v>455</v>
      </c>
      <c r="BY61" s="351" t="s">
        <v>455</v>
      </c>
      <c r="BZ61" s="351" t="s">
        <v>455</v>
      </c>
      <c r="CA61" s="352" t="s">
        <v>455</v>
      </c>
      <c r="CB61" s="351" t="s">
        <v>455</v>
      </c>
      <c r="CC61" s="351" t="s">
        <v>455</v>
      </c>
      <c r="CD61" s="351" t="s">
        <v>455</v>
      </c>
      <c r="CE61" s="351" t="s">
        <v>455</v>
      </c>
      <c r="CF61" s="352" t="s">
        <v>455</v>
      </c>
      <c r="CG61" s="351" t="s">
        <v>455</v>
      </c>
      <c r="CH61" s="351" t="s">
        <v>455</v>
      </c>
      <c r="CI61" s="351" t="s">
        <v>455</v>
      </c>
      <c r="CJ61" s="351" t="s">
        <v>455</v>
      </c>
      <c r="CK61" s="352" t="s">
        <v>455</v>
      </c>
    </row>
    <row r="62" spans="1:89" s="299" customFormat="1" x14ac:dyDescent="0.2">
      <c r="A62" s="300" t="s">
        <v>425</v>
      </c>
      <c r="B62" s="301" t="s">
        <v>506</v>
      </c>
      <c r="C62" s="302" t="s">
        <v>426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427</v>
      </c>
      <c r="B63" s="355" t="s">
        <v>458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360</v>
      </c>
      <c r="BW63" s="363" t="s">
        <v>455</v>
      </c>
      <c r="BX63" s="363" t="s">
        <v>455</v>
      </c>
      <c r="BY63" s="363" t="s">
        <v>455</v>
      </c>
      <c r="BZ63" s="363" t="s">
        <v>455</v>
      </c>
      <c r="CA63" s="364" t="s">
        <v>455</v>
      </c>
      <c r="CB63" s="363" t="s">
        <v>455</v>
      </c>
      <c r="CC63" s="363" t="s">
        <v>455</v>
      </c>
      <c r="CD63" s="363" t="s">
        <v>455</v>
      </c>
      <c r="CE63" s="363" t="s">
        <v>455</v>
      </c>
      <c r="CF63" s="364" t="s">
        <v>455</v>
      </c>
      <c r="CG63" s="363" t="s">
        <v>455</v>
      </c>
      <c r="CH63" s="363" t="s">
        <v>455</v>
      </c>
      <c r="CI63" s="363" t="s">
        <v>455</v>
      </c>
      <c r="CJ63" s="363" t="s">
        <v>455</v>
      </c>
      <c r="CK63" s="364" t="s">
        <v>455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6" t="s">
        <v>590</v>
      </c>
      <c r="B1" s="558" t="s">
        <v>591</v>
      </c>
      <c r="C1" s="559"/>
      <c r="D1" s="559"/>
      <c r="E1" s="559"/>
      <c r="F1" s="560"/>
      <c r="G1" s="558" t="s">
        <v>592</v>
      </c>
      <c r="H1" s="559"/>
      <c r="I1" s="559"/>
      <c r="J1" s="559"/>
      <c r="K1" s="560"/>
      <c r="L1" s="3"/>
      <c r="M1" s="3"/>
      <c r="N1" s="3"/>
      <c r="O1" s="3"/>
      <c r="P1" s="3"/>
      <c r="Q1" s="3"/>
      <c r="R1" s="3"/>
    </row>
    <row r="2" spans="1:18" ht="13.5" thickBot="1" x14ac:dyDescent="0.25">
      <c r="A2" s="557"/>
      <c r="B2" s="450" t="s">
        <v>259</v>
      </c>
      <c r="C2" s="451" t="s">
        <v>593</v>
      </c>
      <c r="D2" s="451" t="s">
        <v>594</v>
      </c>
      <c r="E2" s="451" t="s">
        <v>595</v>
      </c>
      <c r="F2" s="452" t="s">
        <v>596</v>
      </c>
      <c r="G2" s="450" t="s">
        <v>259</v>
      </c>
      <c r="H2" s="451" t="s">
        <v>593</v>
      </c>
      <c r="I2" s="451" t="s">
        <v>594</v>
      </c>
      <c r="J2" s="451" t="s">
        <v>595</v>
      </c>
      <c r="K2" s="452" t="s">
        <v>596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597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593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598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600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601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602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603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604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606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607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598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609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610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611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612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613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614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615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598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576</v>
      </c>
      <c r="W29" s="446" t="s">
        <v>577</v>
      </c>
      <c r="X29" s="446" t="s">
        <v>578</v>
      </c>
      <c r="Y29" s="446" t="s">
        <v>579</v>
      </c>
    </row>
    <row r="30" spans="1:30" x14ac:dyDescent="0.2">
      <c r="A30" s="3" t="s">
        <v>616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580</v>
      </c>
      <c r="V30" s="444" t="s">
        <v>581</v>
      </c>
      <c r="W30" s="444" t="s">
        <v>582</v>
      </c>
      <c r="X30" s="444" t="s">
        <v>583</v>
      </c>
      <c r="Y30" s="444" t="s">
        <v>584</v>
      </c>
    </row>
    <row r="31" spans="1:30" ht="15" x14ac:dyDescent="0.25">
      <c r="A31" s="3" t="s">
        <v>617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585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618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586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647</v>
      </c>
    </row>
    <row r="33" spans="1:30" ht="15" x14ac:dyDescent="0.25">
      <c r="A33" s="3" t="s">
        <v>619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620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587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621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588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592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622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589</v>
      </c>
      <c r="U37" s="449"/>
      <c r="V37" s="449"/>
      <c r="W37" s="449"/>
      <c r="X37" s="449"/>
      <c r="Y37" s="449"/>
    </row>
    <row r="38" spans="1:30" x14ac:dyDescent="0.2">
      <c r="A38" s="3" t="s">
        <v>591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634</v>
      </c>
      <c r="Z39">
        <v>2018</v>
      </c>
    </row>
    <row r="40" spans="1:30" ht="15" x14ac:dyDescent="0.25">
      <c r="A40" s="555" t="s">
        <v>596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635</v>
      </c>
      <c r="V40">
        <v>101.7</v>
      </c>
      <c r="W40" s="3" t="s">
        <v>13</v>
      </c>
      <c r="Y40" t="s">
        <v>638</v>
      </c>
      <c r="Z40">
        <v>4.6900000000000004</v>
      </c>
      <c r="AA40" t="s">
        <v>13</v>
      </c>
    </row>
    <row r="41" spans="1:30" ht="15" x14ac:dyDescent="0.25">
      <c r="A41" s="463" t="s">
        <v>598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637</v>
      </c>
      <c r="T41" s="3" t="s">
        <v>636</v>
      </c>
      <c r="U41" s="3"/>
      <c r="V41">
        <v>26.74</v>
      </c>
      <c r="W41" s="3" t="s">
        <v>13</v>
      </c>
      <c r="Y41" t="s">
        <v>639</v>
      </c>
      <c r="Z41">
        <v>37.79</v>
      </c>
      <c r="AA41" t="s">
        <v>13</v>
      </c>
    </row>
    <row r="42" spans="1:30" ht="15" x14ac:dyDescent="0.25">
      <c r="A42" s="3" t="s">
        <v>623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640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624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598</v>
      </c>
      <c r="B46" s="463">
        <v>2018</v>
      </c>
      <c r="C46" s="463">
        <v>2020</v>
      </c>
      <c r="D46" s="463">
        <v>2030</v>
      </c>
      <c r="E46" s="3"/>
      <c r="F46" s="463" t="s">
        <v>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642</v>
      </c>
    </row>
    <row r="48" spans="1:30" ht="30" customHeight="1" x14ac:dyDescent="0.25">
      <c r="A48" s="467" t="s">
        <v>627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641</v>
      </c>
      <c r="Z48" s="561" t="s">
        <v>579</v>
      </c>
      <c r="AA48" s="562"/>
      <c r="AB48" s="562"/>
    </row>
    <row r="49" spans="1:28" x14ac:dyDescent="0.2">
      <c r="A49" s="3" t="s">
        <v>628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638</v>
      </c>
      <c r="Z49" s="3">
        <v>0.35792764326805798</v>
      </c>
    </row>
    <row r="50" spans="1:28" x14ac:dyDescent="0.2">
      <c r="A50" s="3" t="s">
        <v>629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639</v>
      </c>
      <c r="Z50" s="3">
        <v>0.5922178577259587</v>
      </c>
    </row>
    <row r="51" spans="1:28" x14ac:dyDescent="0.2">
      <c r="A51" s="3" t="s">
        <v>630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640</v>
      </c>
      <c r="Z51" s="3">
        <v>5.2470383697893502E-2</v>
      </c>
    </row>
    <row r="52" spans="1:28" x14ac:dyDescent="0.2">
      <c r="A52" s="3" t="s">
        <v>631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646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632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643</v>
      </c>
      <c r="Z53" s="561" t="s">
        <v>578</v>
      </c>
      <c r="AA53" s="562"/>
      <c r="AB53" s="562"/>
    </row>
    <row r="54" spans="1:28" x14ac:dyDescent="0.2">
      <c r="A54" s="3" t="s">
        <v>633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640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646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644</v>
      </c>
      <c r="Z59" s="561" t="s">
        <v>645</v>
      </c>
      <c r="AA59" s="562"/>
      <c r="AB59" s="562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638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639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640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646</v>
      </c>
    </row>
    <row r="64" spans="1:28" ht="15.75" thickTop="1" x14ac:dyDescent="0.25">
      <c r="A64" s="475" t="s">
        <v>259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2022-01-14T16:35:46Z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948218941688537</vt:r8>
  </property>
</Properties>
</file>