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4DD1C0A5-039B-4D33-9970-6AE8717F2B4E}" xr6:coauthVersionLast="45" xr6:coauthVersionMax="47" xr10:uidLastSave="{00000000-0000-0000-0000-000000000000}"/>
  <bookViews>
    <workbookView xWindow="-120" yWindow="-120" windowWidth="29040" windowHeight="15840" activeTab="3" xr2:uid="{2CC7CA6E-3559-4BC7-B5C1-253B80EF543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externalReferences>
    <externalReference r:id="rId9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83" i="55" l="1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M110" i="55"/>
  <c r="N110" i="55"/>
  <c r="O110" i="55"/>
  <c r="M111" i="55"/>
  <c r="N111" i="55"/>
  <c r="O111" i="55"/>
  <c r="M112" i="55"/>
  <c r="N112" i="55"/>
  <c r="O112" i="55"/>
  <c r="M113" i="55"/>
  <c r="N113" i="55"/>
  <c r="O113" i="55"/>
  <c r="M114" i="55"/>
  <c r="N114" i="55"/>
  <c r="O114" i="55"/>
  <c r="M115" i="55"/>
  <c r="N115" i="55"/>
  <c r="O115" i="55"/>
  <c r="L111" i="55"/>
  <c r="L112" i="55"/>
  <c r="L113" i="55"/>
  <c r="L114" i="55"/>
  <c r="L115" i="55"/>
  <c r="L110" i="55"/>
  <c r="M85" i="55"/>
  <c r="N85" i="55"/>
  <c r="O85" i="55"/>
  <c r="L85" i="55"/>
  <c r="M19" i="55"/>
  <c r="N19" i="55"/>
  <c r="O19" i="55"/>
  <c r="L19" i="55"/>
  <c r="M38" i="55"/>
  <c r="N38" i="55"/>
  <c r="O38" i="55"/>
  <c r="M39" i="55"/>
  <c r="N39" i="55"/>
  <c r="O39" i="55"/>
  <c r="M40" i="55"/>
  <c r="N40" i="55"/>
  <c r="O40" i="55"/>
  <c r="M41" i="55"/>
  <c r="N41" i="55"/>
  <c r="O41" i="55"/>
  <c r="M42" i="55"/>
  <c r="N42" i="55"/>
  <c r="O42" i="55"/>
  <c r="M43" i="55"/>
  <c r="N43" i="55"/>
  <c r="O43" i="55"/>
  <c r="L39" i="55"/>
  <c r="L40" i="55"/>
  <c r="L41" i="55"/>
  <c r="L42" i="55"/>
  <c r="L43" i="55"/>
  <c r="L38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W38" i="55" l="1"/>
  <c r="X38" i="55"/>
  <c r="Y38" i="55"/>
  <c r="W39" i="55"/>
  <c r="X39" i="55"/>
  <c r="Y39" i="55"/>
  <c r="W40" i="55"/>
  <c r="X40" i="55"/>
  <c r="Y40" i="55"/>
  <c r="W41" i="55"/>
  <c r="X41" i="55"/>
  <c r="Y41" i="55"/>
  <c r="W42" i="55"/>
  <c r="X42" i="55"/>
  <c r="Y42" i="55"/>
  <c r="W43" i="55"/>
  <c r="X43" i="55"/>
  <c r="Y43" i="55"/>
  <c r="V39" i="55"/>
  <c r="V40" i="55"/>
  <c r="V41" i="55"/>
  <c r="V42" i="55"/>
  <c r="V43" i="55"/>
  <c r="V38" i="55"/>
  <c r="V32" i="55"/>
  <c r="W36" i="55"/>
  <c r="X36" i="55"/>
  <c r="Y36" i="55"/>
  <c r="W37" i="55"/>
  <c r="X37" i="55"/>
  <c r="Y37" i="55"/>
  <c r="V37" i="55"/>
  <c r="V36" i="55"/>
  <c r="V35" i="55"/>
  <c r="W35" i="55"/>
  <c r="X35" i="55"/>
  <c r="Y35" i="55"/>
  <c r="V29" i="55"/>
  <c r="V34" i="55"/>
  <c r="W33" i="55"/>
  <c r="X33" i="55"/>
  <c r="Y33" i="55"/>
  <c r="W34" i="55"/>
  <c r="X34" i="55"/>
  <c r="Y34" i="55"/>
  <c r="V33" i="55"/>
  <c r="W32" i="55"/>
  <c r="X32" i="55"/>
  <c r="Y32" i="55"/>
  <c r="V26" i="55"/>
  <c r="W29" i="55"/>
  <c r="X29" i="55"/>
  <c r="Y29" i="55"/>
  <c r="W30" i="55"/>
  <c r="X30" i="55"/>
  <c r="Y30" i="55"/>
  <c r="W31" i="55"/>
  <c r="X31" i="55"/>
  <c r="Y31" i="55"/>
  <c r="V31" i="55"/>
  <c r="V30" i="55"/>
  <c r="V24" i="55"/>
  <c r="V23" i="55"/>
  <c r="W28" i="55"/>
  <c r="X28" i="55"/>
  <c r="Y28" i="55"/>
  <c r="W27" i="55"/>
  <c r="X27" i="55"/>
  <c r="Y27" i="55"/>
  <c r="V28" i="55"/>
  <c r="V27" i="55"/>
  <c r="W26" i="55"/>
  <c r="X26" i="55"/>
  <c r="Y26" i="55"/>
  <c r="V20" i="55"/>
  <c r="Z27" i="55"/>
  <c r="Z28" i="55"/>
  <c r="Z29" i="55"/>
  <c r="Z30" i="55"/>
  <c r="Z31" i="55"/>
  <c r="Z26" i="55"/>
  <c r="Z20" i="55"/>
  <c r="W25" i="55"/>
  <c r="X25" i="55"/>
  <c r="Y25" i="55"/>
  <c r="V25" i="55"/>
  <c r="W24" i="55"/>
  <c r="X24" i="55"/>
  <c r="Y24" i="55"/>
  <c r="W23" i="55"/>
  <c r="W22" i="55"/>
  <c r="X23" i="55"/>
  <c r="Y23" i="55"/>
  <c r="X22" i="55"/>
  <c r="Y22" i="55"/>
  <c r="V22" i="55"/>
  <c r="V21" i="55"/>
  <c r="W21" i="55"/>
  <c r="X21" i="55"/>
  <c r="Y21" i="55"/>
  <c r="Z21" i="55"/>
  <c r="Z22" i="55"/>
  <c r="Z23" i="55"/>
  <c r="Z24" i="55"/>
  <c r="Z25" i="55"/>
  <c r="X20" i="55"/>
  <c r="Y20" i="55"/>
  <c r="W20" i="55"/>
  <c r="V16" i="55"/>
  <c r="H42" i="55"/>
  <c r="I42" i="55"/>
  <c r="J42" i="55"/>
  <c r="K42" i="55"/>
  <c r="H43" i="55"/>
  <c r="I43" i="55"/>
  <c r="J43" i="55"/>
  <c r="K43" i="55"/>
  <c r="K41" i="55"/>
  <c r="K35" i="55"/>
  <c r="J41" i="55"/>
  <c r="J35" i="55"/>
  <c r="I41" i="55"/>
  <c r="I35" i="55"/>
  <c r="H41" i="55"/>
  <c r="H35" i="55"/>
  <c r="H36" i="55"/>
  <c r="I36" i="55"/>
  <c r="J36" i="55"/>
  <c r="K36" i="55"/>
  <c r="H37" i="55"/>
  <c r="I37" i="55"/>
  <c r="J37" i="55"/>
  <c r="K37" i="55"/>
  <c r="K29" i="55"/>
  <c r="J29" i="55"/>
  <c r="I29" i="55"/>
  <c r="H29" i="55"/>
  <c r="H24" i="55"/>
  <c r="I24" i="55"/>
  <c r="J24" i="55"/>
  <c r="K24" i="55"/>
  <c r="H25" i="55"/>
  <c r="I25" i="55"/>
  <c r="J25" i="55"/>
  <c r="K25" i="55"/>
  <c r="K23" i="55"/>
  <c r="J23" i="55"/>
  <c r="I23" i="55"/>
  <c r="H23" i="55"/>
  <c r="J31" i="55"/>
  <c r="K31" i="55"/>
  <c r="I31" i="55"/>
  <c r="K30" i="55"/>
  <c r="J30" i="55"/>
  <c r="I30" i="55"/>
  <c r="H31" i="55"/>
  <c r="H30" i="55"/>
  <c r="AL247" i="55"/>
  <c r="AK247" i="55"/>
  <c r="AJ247" i="55"/>
  <c r="AJ246" i="55"/>
  <c r="AK245" i="55"/>
  <c r="AK246" i="55" s="1"/>
  <c r="AJ245" i="55"/>
  <c r="AK244" i="55"/>
  <c r="AL243" i="55"/>
  <c r="AL244" i="55" s="1"/>
  <c r="AL245" i="55" s="1"/>
  <c r="AL246" i="55" s="1"/>
  <c r="AI246" i="55"/>
  <c r="AI245" i="55"/>
  <c r="AI244" i="55"/>
  <c r="AH245" i="55"/>
  <c r="AI247" i="55"/>
  <c r="AI243" i="55"/>
  <c r="AH246" i="55"/>
  <c r="AH247" i="55" l="1"/>
  <c r="AH244" i="55"/>
  <c r="AG246" i="55"/>
  <c r="AG247" i="55"/>
  <c r="AG245" i="55"/>
  <c r="AG235" i="55"/>
  <c r="AH222" i="55"/>
  <c r="AH220" i="55"/>
  <c r="AL237" i="55" l="1"/>
  <c r="AL236" i="55"/>
  <c r="AL235" i="55"/>
  <c r="AK236" i="55"/>
  <c r="AL234" i="55"/>
  <c r="AL233" i="55"/>
  <c r="AK234" i="55"/>
  <c r="AK237" i="55"/>
  <c r="AJ237" i="55"/>
  <c r="AK235" i="55"/>
  <c r="AJ235" i="55"/>
  <c r="AJ236" i="55"/>
  <c r="AG237" i="55"/>
  <c r="AG236" i="55"/>
  <c r="AI220" i="55" l="1"/>
  <c r="AJ220" i="55"/>
  <c r="AJ224" i="55"/>
  <c r="AJ223" i="55"/>
  <c r="AJ222" i="55"/>
  <c r="AJ221" i="55"/>
  <c r="AI224" i="55"/>
  <c r="AI223" i="55"/>
  <c r="AI222" i="55"/>
  <c r="AI221" i="55"/>
  <c r="AH224" i="55"/>
  <c r="AH223" i="55"/>
  <c r="AH221" i="55"/>
  <c r="AI235" i="55" l="1"/>
  <c r="AI234" i="55"/>
  <c r="AI233" i="55"/>
  <c r="AI237" i="55"/>
  <c r="AI236" i="55"/>
  <c r="AH237" i="55"/>
  <c r="AH236" i="55"/>
  <c r="AH235" i="55"/>
  <c r="AH23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Z115" i="55" l="1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K40" i="55"/>
  <c r="K39" i="55"/>
  <c r="K38" i="55"/>
  <c r="J40" i="55"/>
  <c r="J39" i="55"/>
  <c r="J38" i="55"/>
  <c r="I40" i="55"/>
  <c r="I39" i="55"/>
  <c r="I38" i="55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H39" i="55"/>
  <c r="H38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87" i="55" l="1"/>
  <c r="AG21" i="55"/>
  <c r="AG22" i="55"/>
  <c r="AG23" i="55"/>
  <c r="AG24" i="55"/>
  <c r="J21" i="55"/>
  <c r="K21" i="55"/>
  <c r="J22" i="55"/>
  <c r="K22" i="55"/>
  <c r="K20" i="55"/>
  <c r="J20" i="55"/>
  <c r="I21" i="55"/>
  <c r="I22" i="55"/>
  <c r="I20" i="55"/>
  <c r="H21" i="55"/>
  <c r="H22" i="55"/>
  <c r="H20" i="55"/>
  <c r="V160" i="55" l="1"/>
  <c r="V161" i="55"/>
  <c r="V162" i="55"/>
  <c r="V163" i="55"/>
  <c r="V88" i="55"/>
  <c r="V89" i="55"/>
  <c r="V90" i="55"/>
  <c r="I22" i="56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W11" i="55" l="1"/>
  <c r="X11" i="55"/>
  <c r="Y11" i="55"/>
  <c r="V11" i="55"/>
  <c r="AE193" i="55" l="1"/>
  <c r="AE120" i="55"/>
  <c r="AE48" i="55"/>
  <c r="I19" i="56" l="1"/>
  <c r="L19" i="56" s="1"/>
  <c r="I13" i="56"/>
  <c r="L13" i="56" s="1"/>
  <c r="I7" i="56"/>
  <c r="L7" i="56" s="1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164" i="55" l="1"/>
  <c r="W164" i="55"/>
  <c r="W91" i="55"/>
  <c r="Y91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55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165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W155" i="55"/>
  <c r="X155" i="55"/>
  <c r="V177" i="55"/>
  <c r="Y155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82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Y82" i="55"/>
  <c r="X118" i="55"/>
  <c r="V110" i="55"/>
  <c r="W85" i="55"/>
  <c r="Y118" i="55"/>
  <c r="X85" i="55"/>
  <c r="Y85" i="55"/>
  <c r="W82" i="55"/>
  <c r="X82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Y16" i="55"/>
  <c r="X16" i="55"/>
  <c r="W16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Y193" i="55"/>
  <c r="Y48" i="55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X199" i="55" s="1"/>
  <c r="V126" i="55" l="1"/>
  <c r="V125" i="55"/>
  <c r="W199" i="55"/>
  <c r="Y198" i="55"/>
  <c r="X198" i="55"/>
  <c r="V198" i="55"/>
  <c r="W198" i="55"/>
  <c r="Y199" i="55"/>
  <c r="V199" i="55"/>
  <c r="Y126" i="55"/>
  <c r="X126" i="55"/>
  <c r="W125" i="55"/>
  <c r="X125" i="55"/>
  <c r="W126" i="55"/>
  <c r="V56" i="55"/>
  <c r="Y125" i="55"/>
  <c r="V54" i="55"/>
  <c r="V53" i="55"/>
  <c r="X56" i="55"/>
  <c r="Y56" i="55"/>
  <c r="W56" i="55"/>
  <c r="W53" i="55"/>
  <c r="X53" i="55"/>
  <c r="Y53" i="55"/>
  <c r="W54" i="55"/>
  <c r="X54" i="55"/>
  <c r="Y54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<sst xmlns="http://schemas.openxmlformats.org/spreadsheetml/2006/main" count="2647" uniqueCount="823">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</sst>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  <numFmt numFmtId="175" formatCode="_-&quot;€&quot;* #,##0_-;\-&quot;€&quot;* #,##0_-;_-&quot;€&quot;* &quot;-&quot;??_-;_-@_-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44" fontId="58" fillId="0" borderId="0" applyFont="0" applyFill="0" applyBorder="0" applyAlignment="0" applyProtection="0"/>
  </cellStyleXfs>
  <cellXfs count="645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4" fillId="0" borderId="87" xfId="0" applyFont="1" applyBorder="1"/>
    <xf numFmtId="0" fontId="4" fillId="0" borderId="0" xfId="0" applyFont="1" applyBorder="1"/>
    <xf numFmtId="9" fontId="0" fillId="0" borderId="80" xfId="0" applyNumberFormat="1" applyBorder="1"/>
    <xf numFmtId="0" fontId="4" fillId="38" borderId="87" xfId="0" applyFont="1" applyFill="1" applyBorder="1"/>
    <xf numFmtId="0" fontId="4" fillId="38" borderId="0" xfId="0" applyFont="1" applyFill="1" applyBorder="1"/>
    <xf numFmtId="0" fontId="0" fillId="38" borderId="0" xfId="0" applyFill="1" applyBorder="1"/>
    <xf numFmtId="9" fontId="0" fillId="38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4" fillId="0" borderId="0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5" fontId="0" fillId="0" borderId="0" xfId="8" applyNumberFormat="1" applyFont="1" applyFill="1" applyBorder="1"/>
    <xf numFmtId="9" fontId="4" fillId="0" borderId="85" xfId="0" applyNumberFormat="1" applyFont="1" applyBorder="1"/>
    <xf numFmtId="0" fontId="0" fillId="37" borderId="87" xfId="0" applyFill="1" applyBorder="1"/>
    <xf numFmtId="0" fontId="0" fillId="37" borderId="0" xfId="0" applyFill="1" applyBorder="1"/>
    <xf numFmtId="0" fontId="0" fillId="37" borderId="80" xfId="0" applyFill="1" applyBorder="1"/>
    <xf numFmtId="164" fontId="0" fillId="15" borderId="80" xfId="2" applyFont="1" applyFill="1" applyBorder="1"/>
    <xf numFmtId="164" fontId="0" fillId="15" borderId="0" xfId="2" applyFont="1" applyFill="1" applyBorder="1"/>
    <xf numFmtId="164" fontId="0" fillId="34" borderId="2" xfId="2" applyFont="1" applyFill="1" applyBorder="1"/>
    <xf numFmtId="164" fontId="0" fillId="34" borderId="85" xfId="2" applyFont="1" applyFill="1" applyBorder="1"/>
    <xf numFmtId="175" fontId="0" fillId="34" borderId="88" xfId="0" applyNumberFormat="1" applyFill="1" applyBorder="1"/>
    <xf numFmtId="175" fontId="0" fillId="34" borderId="2" xfId="0" applyNumberFormat="1" applyFill="1" applyBorder="1"/>
    <xf numFmtId="175" fontId="0" fillId="34" borderId="85" xfId="0" applyNumberFormat="1" applyFill="1" applyBorder="1"/>
    <xf numFmtId="175" fontId="0" fillId="15" borderId="87" xfId="0" applyNumberFormat="1" applyFill="1" applyBorder="1"/>
    <xf numFmtId="175" fontId="0" fillId="15" borderId="0" xfId="0" applyNumberFormat="1" applyFill="1" applyBorder="1"/>
    <xf numFmtId="175" fontId="0" fillId="15" borderId="80" xfId="0" applyNumberFormat="1" applyFill="1" applyBorder="1"/>
    <xf numFmtId="175" fontId="0" fillId="39" borderId="0" xfId="0" applyNumberFormat="1" applyFill="1" applyBorder="1"/>
    <xf numFmtId="175" fontId="0" fillId="39" borderId="80" xfId="0" applyNumberFormat="1" applyFill="1" applyBorder="1"/>
    <xf numFmtId="164" fontId="0" fillId="39" borderId="0" xfId="2" applyFont="1" applyFill="1" applyBorder="1"/>
    <xf numFmtId="164" fontId="0" fillId="39" borderId="80" xfId="2" applyFont="1" applyFill="1" applyBorder="1"/>
    <xf numFmtId="0" fontId="59" fillId="0" borderId="88" xfId="0" applyFont="1" applyBorder="1"/>
    <xf numFmtId="0" fontId="59" fillId="0" borderId="2" xfId="0" applyFont="1" applyFill="1" applyBorder="1"/>
    <xf numFmtId="0" fontId="59" fillId="0" borderId="85" xfId="0" applyFont="1" applyFill="1" applyBorder="1"/>
    <xf numFmtId="0" fontId="59" fillId="0" borderId="2" xfId="0" applyFont="1" applyBorder="1"/>
    <xf numFmtId="175" fontId="0" fillId="34" borderId="87" xfId="0" applyNumberFormat="1" applyFill="1" applyBorder="1"/>
    <xf numFmtId="9" fontId="0" fillId="37" borderId="87" xfId="3" applyFont="1" applyFill="1" applyBorder="1"/>
    <xf numFmtId="9" fontId="0" fillId="37" borderId="0" xfId="3" applyFont="1" applyFill="1" applyBorder="1"/>
    <xf numFmtId="9" fontId="0" fillId="37" borderId="80" xfId="3" applyFont="1" applyFill="1" applyBorder="1"/>
    <xf numFmtId="9" fontId="0" fillId="15" borderId="80" xfId="3" applyFont="1" applyFill="1" applyBorder="1"/>
    <xf numFmtId="9" fontId="0" fillId="15" borderId="0" xfId="3" applyFont="1" applyFill="1" applyBorder="1"/>
    <xf numFmtId="9" fontId="0" fillId="15" borderId="87" xfId="3" applyFont="1" applyFill="1" applyBorder="1"/>
    <xf numFmtId="9" fontId="0" fillId="39" borderId="80" xfId="3" applyFont="1" applyFill="1" applyBorder="1"/>
    <xf numFmtId="9" fontId="0" fillId="39" borderId="0" xfId="3" applyFont="1" applyFill="1" applyBorder="1"/>
    <xf numFmtId="9" fontId="0" fillId="34" borderId="87" xfId="3" applyFont="1" applyFill="1" applyBorder="1"/>
    <xf numFmtId="9" fontId="0" fillId="34" borderId="2" xfId="3" applyFont="1" applyFill="1" applyBorder="1"/>
    <xf numFmtId="9" fontId="0" fillId="34" borderId="85" xfId="3" applyFont="1" applyFill="1" applyBorder="1"/>
    <xf numFmtId="4" fontId="15" fillId="19" borderId="7" xfId="0" applyNumberFormat="1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172" fontId="15" fillId="19" borderId="11" xfId="0" applyNumberFormat="1" applyFont="1" applyFill="1" applyBorder="1"/>
    <xf numFmtId="172" fontId="15" fillId="19" borderId="24" xfId="0" applyNumberFormat="1" applyFont="1" applyFill="1" applyBorder="1"/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  <sheetName val="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3.1499640433377643E-4</v>
          </cell>
        </row>
        <row r="8">
          <cell r="L8">
            <v>2.5141244794864483E-3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94" customWidth="1"/>
    <col min="5" max="6" width="14.140625" style="494" customWidth="1"/>
    <col min="7" max="7" width="12.140625" style="494" customWidth="1"/>
    <col min="8" max="10" width="8.140625" style="494" customWidth="1"/>
    <col min="11" max="11" width="9.7109375" style="494" customWidth="1"/>
    <col min="12" max="12" width="8.140625" style="494" customWidth="1"/>
    <col min="13" max="13" width="10" style="494" customWidth="1"/>
    <col min="14" max="14" width="11.42578125" style="494" customWidth="1"/>
    <col min="15" max="15" width="13.42578125" style="494" customWidth="1"/>
    <col min="16" max="16384" width="8.85546875" style="494"/>
  </cols>
  <sheetData>
    <row r="1" spans="1:26" x14ac:dyDescent="0.25">
      <c r="A1" s="492"/>
      <c r="B1" s="492"/>
      <c r="C1" s="492"/>
      <c r="D1" s="492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</row>
    <row r="2" spans="1:26" x14ac:dyDescent="0.25">
      <c r="A2" s="492"/>
      <c r="B2" s="492"/>
      <c r="C2" s="492"/>
      <c r="D2" s="492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</row>
    <row r="3" spans="1:26" x14ac:dyDescent="0.25">
      <c r="A3" s="492"/>
      <c r="B3" s="492"/>
      <c r="C3" s="492"/>
      <c r="D3" s="492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</row>
    <row r="4" spans="1:26" x14ac:dyDescent="0.25">
      <c r="A4" s="492"/>
      <c r="B4" s="492"/>
      <c r="C4" s="492"/>
      <c r="D4" s="492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</row>
    <row r="5" spans="1:26" x14ac:dyDescent="0.25">
      <c r="A5" s="492"/>
      <c r="B5" s="492"/>
      <c r="C5" s="492"/>
      <c r="D5" s="492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</row>
    <row r="6" spans="1:26" x14ac:dyDescent="0.25">
      <c r="A6" s="492"/>
      <c r="B6" s="492"/>
      <c r="C6" s="492"/>
      <c r="D6" s="492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</row>
    <row r="7" spans="1:26" x14ac:dyDescent="0.25">
      <c r="A7" s="492"/>
      <c r="B7" s="492"/>
      <c r="C7" s="492"/>
      <c r="D7" s="492"/>
      <c r="E7" s="493"/>
      <c r="F7" s="493"/>
      <c r="G7" s="493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</row>
    <row r="8" spans="1:26" x14ac:dyDescent="0.25">
      <c r="A8" s="492"/>
      <c r="B8" s="492"/>
      <c r="C8" s="492"/>
      <c r="D8" s="492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</row>
    <row r="9" spans="1:26" x14ac:dyDescent="0.25">
      <c r="A9" s="492"/>
      <c r="B9" s="492"/>
      <c r="C9" s="492"/>
      <c r="D9" s="492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</row>
    <row r="10" spans="1:26" x14ac:dyDescent="0.25">
      <c r="A10" s="492"/>
      <c r="B10" s="492"/>
      <c r="C10" s="492"/>
      <c r="D10" s="492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</row>
    <row r="11" spans="1:26" x14ac:dyDescent="0.25">
      <c r="A11" s="492"/>
      <c r="B11" s="492"/>
      <c r="C11" s="492"/>
      <c r="D11" s="492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</row>
    <row r="12" spans="1:26" x14ac:dyDescent="0.25">
      <c r="A12" s="492"/>
      <c r="B12" s="492"/>
      <c r="C12" s="492"/>
      <c r="D12" s="492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</row>
    <row r="13" spans="1:26" x14ac:dyDescent="0.25">
      <c r="A13" s="492"/>
      <c r="B13" s="492"/>
      <c r="C13" s="492"/>
      <c r="D13" s="492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</row>
    <row r="14" spans="1:26" x14ac:dyDescent="0.25">
      <c r="A14" s="492"/>
      <c r="B14" s="492"/>
      <c r="C14" s="492"/>
      <c r="D14" s="492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</row>
    <row r="15" spans="1:26" x14ac:dyDescent="0.25">
      <c r="A15" s="492"/>
      <c r="B15" s="492"/>
      <c r="C15" s="492"/>
      <c r="D15" s="492"/>
      <c r="E15" s="493"/>
      <c r="F15" s="493"/>
      <c r="G15" s="493"/>
      <c r="H15" s="493"/>
      <c r="I15" s="493"/>
      <c r="J15" s="493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</row>
    <row r="16" spans="1:26" ht="102.75" customHeight="1" x14ac:dyDescent="0.25">
      <c r="A16" s="591" t="s">
        <v>676</v>
      </c>
      <c r="B16" s="591"/>
      <c r="C16" s="591"/>
      <c r="D16" s="591"/>
      <c r="E16" s="495"/>
      <c r="F16" s="495"/>
      <c r="G16" s="496"/>
      <c r="H16" s="496"/>
      <c r="I16" s="496"/>
      <c r="J16" s="496"/>
      <c r="K16" s="496"/>
      <c r="L16" s="496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</row>
    <row r="17" spans="1:26" ht="17.25" customHeight="1" x14ac:dyDescent="0.25">
      <c r="A17" s="497"/>
      <c r="B17" s="497"/>
      <c r="C17" s="497"/>
      <c r="D17" s="497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</row>
    <row r="18" spans="1:26" ht="17.25" customHeight="1" x14ac:dyDescent="0.25">
      <c r="A18" s="497"/>
      <c r="B18" s="497"/>
      <c r="C18" s="497"/>
      <c r="D18" s="497"/>
      <c r="E18" s="498"/>
      <c r="F18" s="498"/>
      <c r="G18" s="499"/>
      <c r="H18" s="499"/>
      <c r="I18" s="499"/>
      <c r="J18" s="499"/>
      <c r="K18" s="499"/>
      <c r="L18" s="499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</row>
    <row r="19" spans="1:26" ht="17.25" customHeight="1" x14ac:dyDescent="0.25">
      <c r="A19" s="500" t="s">
        <v>0</v>
      </c>
      <c r="B19" s="590" t="s">
        <v>692</v>
      </c>
      <c r="C19" s="590"/>
      <c r="D19" s="590"/>
      <c r="E19" s="501"/>
      <c r="F19" s="501"/>
      <c r="G19" s="502"/>
      <c r="H19" s="502"/>
      <c r="I19" s="502"/>
      <c r="J19" s="502"/>
      <c r="K19" s="502"/>
      <c r="L19" s="502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</row>
    <row r="20" spans="1:26" ht="17.25" customHeight="1" x14ac:dyDescent="0.25">
      <c r="A20" s="500" t="s">
        <v>677</v>
      </c>
      <c r="B20" s="590" t="s">
        <v>687</v>
      </c>
      <c r="C20" s="590"/>
      <c r="D20" s="590"/>
      <c r="E20" s="501"/>
      <c r="F20" s="501"/>
      <c r="G20" s="502"/>
      <c r="H20" s="502"/>
      <c r="I20" s="502"/>
      <c r="J20" s="502"/>
      <c r="K20" s="502"/>
      <c r="L20" s="502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</row>
    <row r="21" spans="1:26" ht="17.25" customHeight="1" x14ac:dyDescent="0.25">
      <c r="A21" s="500" t="s">
        <v>678</v>
      </c>
      <c r="B21" s="503" t="s">
        <v>688</v>
      </c>
      <c r="C21" s="503"/>
      <c r="D21" s="503"/>
      <c r="E21" s="501"/>
      <c r="F21" s="501"/>
      <c r="G21" s="502"/>
      <c r="H21" s="502"/>
      <c r="I21" s="502"/>
      <c r="J21" s="502"/>
      <c r="K21" s="502"/>
      <c r="L21" s="502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</row>
    <row r="22" spans="1:26" ht="17.25" customHeight="1" x14ac:dyDescent="0.25">
      <c r="A22" s="500"/>
      <c r="B22" s="503"/>
      <c r="C22" s="503"/>
      <c r="D22" s="503"/>
      <c r="E22" s="501"/>
      <c r="F22" s="501"/>
      <c r="G22" s="502"/>
      <c r="H22" s="502"/>
      <c r="I22" s="502"/>
      <c r="J22" s="502"/>
      <c r="K22" s="502"/>
      <c r="L22" s="502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</row>
    <row r="23" spans="1:26" ht="17.25" customHeight="1" x14ac:dyDescent="0.25">
      <c r="A23" s="500" t="s">
        <v>679</v>
      </c>
      <c r="B23" s="590" t="s">
        <v>689</v>
      </c>
      <c r="C23" s="590"/>
      <c r="D23" s="590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</row>
    <row r="24" spans="1:26" ht="17.25" customHeight="1" x14ac:dyDescent="0.25">
      <c r="A24" s="500"/>
      <c r="B24" s="590" t="s">
        <v>690</v>
      </c>
      <c r="C24" s="590"/>
      <c r="D24" s="590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</row>
    <row r="25" spans="1:26" ht="17.25" customHeight="1" x14ac:dyDescent="0.25">
      <c r="A25" s="500"/>
      <c r="B25" s="590" t="s">
        <v>691</v>
      </c>
      <c r="C25" s="590"/>
      <c r="D25" s="590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</row>
    <row r="26" spans="1:26" ht="17.25" customHeight="1" x14ac:dyDescent="0.25">
      <c r="A26" s="500" t="s">
        <v>680</v>
      </c>
      <c r="B26" s="590" t="s">
        <v>689</v>
      </c>
      <c r="C26" s="590"/>
      <c r="D26" s="590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</row>
    <row r="27" spans="1:26" ht="17.25" customHeight="1" x14ac:dyDescent="0.25">
      <c r="A27" s="500"/>
      <c r="B27" s="590" t="s">
        <v>691</v>
      </c>
      <c r="C27" s="590"/>
      <c r="D27" s="590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</row>
    <row r="28" spans="1:26" ht="17.25" customHeight="1" x14ac:dyDescent="0.25">
      <c r="A28" s="500"/>
      <c r="B28" s="503"/>
      <c r="C28" s="503"/>
      <c r="D28" s="50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</row>
    <row r="29" spans="1:26" ht="17.25" customHeight="1" x14ac:dyDescent="0.25">
      <c r="A29" s="500" t="s">
        <v>681</v>
      </c>
      <c r="B29" s="504">
        <v>1</v>
      </c>
      <c r="C29" s="503"/>
      <c r="D29" s="50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</row>
    <row r="30" spans="1:26" ht="17.25" customHeight="1" x14ac:dyDescent="0.25">
      <c r="A30" s="500" t="s">
        <v>682</v>
      </c>
      <c r="B30" s="592" t="s">
        <v>683</v>
      </c>
      <c r="C30" s="590"/>
      <c r="D30" s="590"/>
      <c r="E30" s="505"/>
      <c r="F30" s="505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</row>
    <row r="31" spans="1:26" ht="17.25" customHeight="1" x14ac:dyDescent="0.25">
      <c r="A31" s="500" t="s">
        <v>684</v>
      </c>
      <c r="B31" s="590" t="s">
        <v>685</v>
      </c>
      <c r="C31" s="590"/>
      <c r="D31" s="590"/>
      <c r="E31" s="505"/>
      <c r="F31" s="505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</row>
    <row r="32" spans="1:26" ht="17.25" customHeight="1" x14ac:dyDescent="0.25">
      <c r="A32" s="506"/>
      <c r="B32" s="507" t="s">
        <v>686</v>
      </c>
      <c r="C32" s="506"/>
      <c r="D32" s="506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</row>
    <row r="33" spans="1:26" x14ac:dyDescent="0.25">
      <c r="A33" s="492"/>
      <c r="B33" s="492"/>
      <c r="C33" s="492"/>
      <c r="D33" s="492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</row>
    <row r="34" spans="1:26" x14ac:dyDescent="0.25">
      <c r="A34" s="492"/>
      <c r="B34" s="492"/>
      <c r="C34" s="492"/>
      <c r="D34" s="492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</row>
    <row r="35" spans="1:26" x14ac:dyDescent="0.25">
      <c r="A35" s="492"/>
      <c r="B35" s="492"/>
      <c r="C35" s="492"/>
      <c r="D35" s="492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</row>
    <row r="36" spans="1:26" x14ac:dyDescent="0.25">
      <c r="A36" s="492"/>
      <c r="B36" s="492"/>
      <c r="C36" s="492"/>
      <c r="D36" s="492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</row>
    <row r="37" spans="1:26" x14ac:dyDescent="0.25">
      <c r="A37" s="492"/>
      <c r="B37" s="492"/>
      <c r="C37" s="492"/>
      <c r="D37" s="492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</row>
    <row r="38" spans="1:26" x14ac:dyDescent="0.25">
      <c r="A38" s="492"/>
      <c r="B38" s="492"/>
      <c r="C38" s="492"/>
      <c r="D38" s="492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</row>
    <row r="39" spans="1:26" x14ac:dyDescent="0.25">
      <c r="A39" s="492"/>
      <c r="B39" s="492"/>
      <c r="C39" s="492"/>
      <c r="D39" s="492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</row>
    <row r="40" spans="1:26" x14ac:dyDescent="0.25">
      <c r="A40" s="492"/>
      <c r="B40" s="492"/>
      <c r="C40" s="492"/>
      <c r="D40" s="492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</row>
    <row r="41" spans="1:26" x14ac:dyDescent="0.25">
      <c r="A41" s="492"/>
      <c r="B41" s="492"/>
      <c r="C41" s="492"/>
      <c r="D41" s="492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</row>
    <row r="42" spans="1:26" x14ac:dyDescent="0.25">
      <c r="A42" s="492"/>
      <c r="B42" s="492"/>
      <c r="C42" s="492"/>
      <c r="D42" s="492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</row>
    <row r="43" spans="1:26" x14ac:dyDescent="0.25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</row>
    <row r="44" spans="1:26" x14ac:dyDescent="0.25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</row>
    <row r="45" spans="1:26" x14ac:dyDescent="0.25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</row>
    <row r="46" spans="1:26" x14ac:dyDescent="0.25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</row>
    <row r="47" spans="1:26" x14ac:dyDescent="0.25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</row>
    <row r="48" spans="1:26" x14ac:dyDescent="0.25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</row>
    <row r="49" spans="1:26" x14ac:dyDescent="0.25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</row>
    <row r="50" spans="1:26" x14ac:dyDescent="0.25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</row>
    <row r="51" spans="1:26" x14ac:dyDescent="0.25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</row>
    <row r="52" spans="1:26" x14ac:dyDescent="0.25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</row>
    <row r="53" spans="1:26" x14ac:dyDescent="0.25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</row>
    <row r="54" spans="1:26" x14ac:dyDescent="0.25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</row>
    <row r="55" spans="1:26" x14ac:dyDescent="0.25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</row>
    <row r="56" spans="1:26" x14ac:dyDescent="0.25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</row>
    <row r="57" spans="1:26" x14ac:dyDescent="0.25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</row>
    <row r="58" spans="1:26" x14ac:dyDescent="0.25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</row>
    <row r="59" spans="1:26" x14ac:dyDescent="0.25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</row>
    <row r="60" spans="1:26" x14ac:dyDescent="0.25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</row>
    <row r="61" spans="1:26" x14ac:dyDescent="0.25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</row>
    <row r="62" spans="1:26" x14ac:dyDescent="0.25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</row>
    <row r="63" spans="1:26" x14ac:dyDescent="0.25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</row>
    <row r="64" spans="1:26" x14ac:dyDescent="0.25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</row>
    <row r="65" spans="1:26" x14ac:dyDescent="0.25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</row>
    <row r="66" spans="1:26" x14ac:dyDescent="0.25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</row>
    <row r="67" spans="1:26" x14ac:dyDescent="0.25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</row>
    <row r="68" spans="1:26" x14ac:dyDescent="0.25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</row>
    <row r="69" spans="1:26" x14ac:dyDescent="0.25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</row>
    <row r="70" spans="1:26" x14ac:dyDescent="0.25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</row>
    <row r="71" spans="1:26" x14ac:dyDescent="0.25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</row>
    <row r="72" spans="1:26" x14ac:dyDescent="0.25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</row>
    <row r="73" spans="1:26" x14ac:dyDescent="0.25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</row>
    <row r="74" spans="1:26" x14ac:dyDescent="0.25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</row>
    <row r="75" spans="1:26" x14ac:dyDescent="0.25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</row>
    <row r="76" spans="1:26" x14ac:dyDescent="0.25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</row>
    <row r="77" spans="1:26" x14ac:dyDescent="0.25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</row>
    <row r="78" spans="1:26" x14ac:dyDescent="0.25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</row>
    <row r="79" spans="1:26" x14ac:dyDescent="0.25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</row>
    <row r="80" spans="1:26" x14ac:dyDescent="0.25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</row>
    <row r="81" spans="1:26" x14ac:dyDescent="0.25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</row>
    <row r="82" spans="1:26" x14ac:dyDescent="0.25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</row>
    <row r="83" spans="1:26" x14ac:dyDescent="0.25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</row>
    <row r="84" spans="1:26" x14ac:dyDescent="0.25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</row>
    <row r="85" spans="1:26" x14ac:dyDescent="0.25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</row>
    <row r="86" spans="1:26" x14ac:dyDescent="0.25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</row>
    <row r="87" spans="1:26" x14ac:dyDescent="0.25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</row>
    <row r="88" spans="1:26" x14ac:dyDescent="0.25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</row>
    <row r="89" spans="1:26" x14ac:dyDescent="0.25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</row>
    <row r="90" spans="1:26" x14ac:dyDescent="0.25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</row>
    <row r="91" spans="1:26" x14ac:dyDescent="0.25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</row>
    <row r="92" spans="1:26" x14ac:dyDescent="0.25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</row>
    <row r="93" spans="1:26" x14ac:dyDescent="0.25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</row>
    <row r="94" spans="1:26" x14ac:dyDescent="0.25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</row>
    <row r="95" spans="1:26" x14ac:dyDescent="0.25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</row>
    <row r="96" spans="1:26" x14ac:dyDescent="0.25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</row>
    <row r="97" spans="1:26" x14ac:dyDescent="0.25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</row>
    <row r="98" spans="1:26" x14ac:dyDescent="0.25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</row>
    <row r="99" spans="1:26" x14ac:dyDescent="0.25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93" t="s">
        <v>1</v>
      </c>
      <c r="C2" s="594"/>
      <c r="D2" s="594"/>
      <c r="E2" s="595"/>
      <c r="G2" s="593" t="s">
        <v>2</v>
      </c>
      <c r="H2" s="595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593" t="s">
        <v>11</v>
      </c>
      <c r="H14" s="595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96" t="s">
        <v>54</v>
      </c>
      <c r="C20" s="597"/>
      <c r="D20" s="597"/>
      <c r="E20" s="598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661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4" t="s">
        <v>662</v>
      </c>
    </row>
    <row r="23" spans="2:8" ht="15" customHeight="1" x14ac:dyDescent="0.25">
      <c r="B23" s="485" t="s">
        <v>663</v>
      </c>
      <c r="C23" s="488" t="s">
        <v>664</v>
      </c>
      <c r="D23" s="486">
        <v>43952</v>
      </c>
      <c r="E23" s="487" t="s">
        <v>180</v>
      </c>
      <c r="F23" s="491" t="s">
        <v>665</v>
      </c>
      <c r="G23" s="146" t="s">
        <v>675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9" t="s">
        <v>662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9" t="s">
        <v>662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4" t="s">
        <v>662</v>
      </c>
    </row>
    <row r="27" spans="2:8" ht="15" customHeight="1" x14ac:dyDescent="0.25">
      <c r="B27" s="181" t="s">
        <v>200</v>
      </c>
      <c r="C27" s="190" t="s">
        <v>666</v>
      </c>
      <c r="D27" s="189">
        <v>43983</v>
      </c>
      <c r="E27" s="163" t="s">
        <v>180</v>
      </c>
      <c r="F27" s="489" t="s">
        <v>662</v>
      </c>
    </row>
    <row r="28" spans="2:8" ht="15" x14ac:dyDescent="0.25">
      <c r="B28" s="181" t="s">
        <v>668</v>
      </c>
      <c r="C28" s="201" t="s">
        <v>667</v>
      </c>
      <c r="D28" s="189">
        <v>43983</v>
      </c>
      <c r="E28" s="163" t="s">
        <v>180</v>
      </c>
      <c r="F28" s="484" t="s">
        <v>662</v>
      </c>
    </row>
    <row r="29" spans="2:8" x14ac:dyDescent="0.2">
      <c r="B29" s="146" t="s">
        <v>670</v>
      </c>
      <c r="C29" s="201" t="s">
        <v>669</v>
      </c>
      <c r="D29" s="189">
        <v>44013</v>
      </c>
      <c r="E29" s="163" t="s">
        <v>180</v>
      </c>
      <c r="F29" s="491" t="s">
        <v>665</v>
      </c>
      <c r="G29" s="146" t="s">
        <v>671</v>
      </c>
    </row>
    <row r="30" spans="2:8" x14ac:dyDescent="0.2">
      <c r="B30" s="146" t="s">
        <v>672</v>
      </c>
      <c r="C30" s="146" t="s">
        <v>673</v>
      </c>
      <c r="D30" s="490">
        <v>44287</v>
      </c>
      <c r="E30" s="163" t="s">
        <v>180</v>
      </c>
      <c r="F30" s="484" t="s">
        <v>662</v>
      </c>
      <c r="G30" s="146" t="s">
        <v>674</v>
      </c>
    </row>
    <row r="35" spans="2:8" ht="15" thickBot="1" x14ac:dyDescent="0.25"/>
    <row r="36" spans="2:8" ht="19.5" thickBot="1" x14ac:dyDescent="0.25">
      <c r="B36" s="593" t="s">
        <v>59</v>
      </c>
      <c r="C36" s="594"/>
      <c r="D36" s="594"/>
      <c r="E36" s="595"/>
      <c r="G36" s="599" t="s">
        <v>55</v>
      </c>
      <c r="H36" s="600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538</v>
      </c>
      <c r="H3" s="18" t="s">
        <v>26</v>
      </c>
      <c r="I3" s="17" t="s">
        <v>235</v>
      </c>
      <c r="J3" s="17" t="s">
        <v>78</v>
      </c>
      <c r="S3" s="601" t="s">
        <v>248</v>
      </c>
      <c r="T3" s="601"/>
      <c r="U3" s="601"/>
      <c r="V3" s="601"/>
      <c r="W3" s="601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249</v>
      </c>
      <c r="T4" s="212" t="s">
        <v>250</v>
      </c>
      <c r="U4" s="212" t="s">
        <v>251</v>
      </c>
      <c r="V4" s="212" t="s">
        <v>252</v>
      </c>
      <c r="W4" s="213" t="s">
        <v>253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239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698</v>
      </c>
      <c r="F6" s="21" t="s">
        <v>132</v>
      </c>
      <c r="G6" s="21">
        <v>1</v>
      </c>
      <c r="H6" s="125">
        <v>100</v>
      </c>
      <c r="I6" s="230">
        <f>[1]ArchetypeDemand!$L$51</f>
        <v>1.3249013578385519E-4</v>
      </c>
      <c r="J6" s="123">
        <v>2019</v>
      </c>
      <c r="L6" s="3">
        <f>I6/0.0000036</f>
        <v>36.802815495515333</v>
      </c>
      <c r="S6" s="217" t="s">
        <v>240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241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f>[1]ArchetypeDemand!$L$53</f>
        <v>2.6993348022525303E-3</v>
      </c>
      <c r="J8" s="58"/>
      <c r="L8" s="4">
        <f t="shared" si="0"/>
        <v>749.81522284792516</v>
      </c>
      <c r="S8" s="217" t="s">
        <v>242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231">
        <f>[1]ArchetypeDemand!$L$54</f>
        <v>3.2505870170077217E-4</v>
      </c>
      <c r="J9" s="57"/>
      <c r="L9" s="4">
        <f t="shared" si="0"/>
        <v>90.294083805770057</v>
      </c>
      <c r="S9" s="220" t="s">
        <v>243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f>[1]ArchetypeDemand!$L$55</f>
        <v>2.4641622412260611E-4</v>
      </c>
      <c r="J10" s="91"/>
      <c r="L10" s="4">
        <f t="shared" si="0"/>
        <v>68.448951145168365</v>
      </c>
      <c r="S10" s="217" t="s">
        <v>244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245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727</v>
      </c>
      <c r="F12" s="21" t="s">
        <v>136</v>
      </c>
      <c r="G12" s="21">
        <v>1</v>
      </c>
      <c r="H12" s="125">
        <v>100</v>
      </c>
      <c r="I12" s="230">
        <f>[1]ArchetypeDemand!$L$6</f>
        <v>3.1499640433377643E-4</v>
      </c>
      <c r="J12" s="123">
        <v>2019</v>
      </c>
      <c r="L12" s="4">
        <f>I12/0.0000036</f>
        <v>87.499001203826793</v>
      </c>
      <c r="S12" s="217" t="s">
        <v>246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S13" s="223" t="s">
        <v>247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f>[1]ArchetypeDemand!$L$8</f>
        <v>2.5141244794864483E-3</v>
      </c>
      <c r="J14" s="58"/>
      <c r="L14" s="4">
        <f t="shared" si="1"/>
        <v>698.36791096845786</v>
      </c>
      <c r="S14" s="225" t="s">
        <v>254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f>[1]ArchetypeDemand!$L$9</f>
        <v>3.0596592500527567E-4</v>
      </c>
      <c r="J15" s="57"/>
      <c r="L15" s="4">
        <f t="shared" si="1"/>
        <v>84.990534723687688</v>
      </c>
      <c r="S15" s="229" t="s">
        <v>255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f>[1]ArchetypeDemand!$L$10</f>
        <v>2.1782809199424584E-4</v>
      </c>
      <c r="J16" s="91"/>
      <c r="L16" s="4">
        <f t="shared" si="1"/>
        <v>60.507803331734962</v>
      </c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728</v>
      </c>
      <c r="F18" s="21" t="s">
        <v>143</v>
      </c>
      <c r="G18" s="21">
        <v>1</v>
      </c>
      <c r="H18" s="125">
        <v>100</v>
      </c>
      <c r="I18" s="230">
        <f>[1]ArchetypeDemand!$L$96</f>
        <v>2.4058665241777602E-3</v>
      </c>
      <c r="J18" s="123">
        <v>2019</v>
      </c>
      <c r="L18" s="4">
        <f>I18/0.0000036</f>
        <v>668.29625671604458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f>[1]ArchetypeDemand!$L$98</f>
        <v>4.2605415152040874E-3</v>
      </c>
      <c r="J20" s="58"/>
      <c r="L20" s="4">
        <f t="shared" si="2"/>
        <v>1183.4837542233577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f>[1]ArchetypeDemand!$L$100</f>
        <v>6.686799636959782E-4</v>
      </c>
      <c r="J22" s="91"/>
      <c r="L22" s="4">
        <f t="shared" si="2"/>
        <v>185.74443435999396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268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268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268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251"/>
  <sheetViews>
    <sheetView tabSelected="1" topLeftCell="A154" zoomScale="60" zoomScaleNormal="60" workbookViewId="0">
      <selection activeCell="N165" sqref="N165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556</v>
      </c>
      <c r="G3" s="14" t="s">
        <v>24</v>
      </c>
      <c r="H3" s="17" t="s">
        <v>821</v>
      </c>
      <c r="I3" s="17" t="s">
        <v>729</v>
      </c>
      <c r="J3" s="17" t="s">
        <v>730</v>
      </c>
      <c r="K3" s="17" t="s">
        <v>731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822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280</v>
      </c>
      <c r="AC3" s="17" t="s">
        <v>281</v>
      </c>
      <c r="AD3" s="17" t="s">
        <v>282</v>
      </c>
      <c r="AE3" s="17" t="s">
        <v>693</v>
      </c>
      <c r="AF3" s="17" t="s">
        <v>238</v>
      </c>
      <c r="AG3" s="17" t="s">
        <v>77</v>
      </c>
      <c r="AH3" s="17" t="s">
        <v>267</v>
      </c>
      <c r="AI3" s="17" t="s">
        <v>78</v>
      </c>
      <c r="AJ3" s="17" t="s">
        <v>554</v>
      </c>
    </row>
    <row r="4" spans="3:44" ht="38.25" x14ac:dyDescent="0.2">
      <c r="C4" s="16" t="s">
        <v>278</v>
      </c>
      <c r="D4" s="16" t="s">
        <v>33</v>
      </c>
      <c r="E4" s="16" t="s">
        <v>80</v>
      </c>
      <c r="F4" s="16" t="s">
        <v>557</v>
      </c>
      <c r="G4" s="16" t="s">
        <v>81</v>
      </c>
      <c r="H4" s="611" t="s">
        <v>258</v>
      </c>
      <c r="I4" s="612"/>
      <c r="J4" s="612"/>
      <c r="K4" s="613"/>
      <c r="L4" s="611" t="s">
        <v>83</v>
      </c>
      <c r="M4" s="612"/>
      <c r="N4" s="612"/>
      <c r="O4" s="613"/>
      <c r="P4" s="611" t="s">
        <v>84</v>
      </c>
      <c r="Q4" s="612"/>
      <c r="R4" s="612"/>
      <c r="S4" s="613"/>
      <c r="T4" s="611" t="s">
        <v>85</v>
      </c>
      <c r="U4" s="613"/>
      <c r="V4" s="605" t="s">
        <v>86</v>
      </c>
      <c r="W4" s="606"/>
      <c r="X4" s="606"/>
      <c r="Y4" s="607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237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" x14ac:dyDescent="0.2">
      <c r="C5" s="366" t="s">
        <v>277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45" x14ac:dyDescent="0.2">
      <c r="C6" s="37" t="s">
        <v>269</v>
      </c>
      <c r="D6" s="38"/>
      <c r="E6" s="38"/>
      <c r="F6" s="38"/>
      <c r="G6" s="39"/>
      <c r="H6" s="608" t="s">
        <v>34</v>
      </c>
      <c r="I6" s="609"/>
      <c r="J6" s="609"/>
      <c r="K6" s="610"/>
      <c r="L6" s="609" t="s">
        <v>34</v>
      </c>
      <c r="M6" s="609"/>
      <c r="N6" s="609"/>
      <c r="O6" s="610"/>
      <c r="P6" s="608" t="s">
        <v>34</v>
      </c>
      <c r="Q6" s="609"/>
      <c r="R6" s="609"/>
      <c r="S6" s="610"/>
      <c r="T6" s="608" t="s">
        <v>68</v>
      </c>
      <c r="U6" s="610"/>
      <c r="V6" s="608" t="s">
        <v>503</v>
      </c>
      <c r="W6" s="609"/>
      <c r="X6" s="609"/>
      <c r="Y6" s="610"/>
      <c r="Z6" s="520" t="s">
        <v>515</v>
      </c>
      <c r="AA6" s="520" t="s">
        <v>93</v>
      </c>
      <c r="AB6" s="37" t="s">
        <v>34</v>
      </c>
      <c r="AC6" s="520" t="s">
        <v>34</v>
      </c>
      <c r="AD6" s="520" t="s">
        <v>34</v>
      </c>
      <c r="AE6" s="520"/>
      <c r="AF6" s="520"/>
      <c r="AG6" s="69" t="s">
        <v>283</v>
      </c>
      <c r="AH6" s="520" t="s">
        <v>34</v>
      </c>
      <c r="AI6" s="520" t="s">
        <v>94</v>
      </c>
      <c r="AJ6" s="520" t="s">
        <v>555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73</v>
      </c>
      <c r="AR6" s="205" t="s">
        <v>74</v>
      </c>
    </row>
    <row r="7" spans="3:44" ht="15" x14ac:dyDescent="0.25">
      <c r="C7" s="19" t="str">
        <f>"R-SH_Apt"&amp;"_"&amp;RIGHT(E7,3)&amp;"_N1"</f>
        <v>R-SH_Apt_KER_N1</v>
      </c>
      <c r="D7" s="19" t="s">
        <v>96</v>
      </c>
      <c r="E7" s="88" t="s">
        <v>259</v>
      </c>
      <c r="F7" s="88"/>
      <c r="G7" s="518" t="s">
        <v>708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3">
        <f>V9*1.3</f>
        <v>3.6270000000000002</v>
      </c>
      <c r="W7" s="513">
        <f t="shared" ref="W7:Y7" si="0">W9*1.3</f>
        <v>3.6270000000000002</v>
      </c>
      <c r="X7" s="513">
        <f t="shared" si="0"/>
        <v>3.6270000000000002</v>
      </c>
      <c r="Y7" s="513">
        <f t="shared" si="0"/>
        <v>3.6270000000000002</v>
      </c>
      <c r="Z7" s="513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 t="s">
        <v>75</v>
      </c>
    </row>
    <row r="8" spans="3:44" ht="15" x14ac:dyDescent="0.25">
      <c r="C8" s="22" t="str">
        <f>"R-SW_Apt"&amp;"_"&amp;RIGHT(E8,3)&amp;"_N1"</f>
        <v>R-SW_Apt_KER_N1</v>
      </c>
      <c r="D8" s="22" t="s">
        <v>97</v>
      </c>
      <c r="E8" s="24" t="s">
        <v>259</v>
      </c>
      <c r="F8" s="24"/>
      <c r="G8" s="57" t="s">
        <v>709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37">
        <f>H8*0.7</f>
        <v>0.73499999999999999</v>
      </c>
      <c r="Q8" s="238">
        <f t="shared" ref="Q8" si="2">I8*0.7</f>
        <v>0.77</v>
      </c>
      <c r="R8" s="238">
        <f t="shared" ref="R8" si="3">J8*0.7</f>
        <v>0.80499999999999994</v>
      </c>
      <c r="S8" s="239">
        <f t="shared" ref="S8" si="4">K8*0.7</f>
        <v>0.84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 t="s">
        <v>75</v>
      </c>
    </row>
    <row r="9" spans="3:44" ht="15" x14ac:dyDescent="0.25">
      <c r="C9" s="40" t="str">
        <f>"R-SH_Apt"&amp;"_"&amp;RIGHT(E9,3)&amp;"_N1"</f>
        <v>R-SH_Apt_GAS_N1</v>
      </c>
      <c r="D9" s="40" t="s">
        <v>95</v>
      </c>
      <c r="E9" s="24" t="s">
        <v>694</v>
      </c>
      <c r="F9" s="30"/>
      <c r="G9" s="519" t="s">
        <v>708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 t="s">
        <v>75</v>
      </c>
    </row>
    <row r="10" spans="3:44" ht="15" x14ac:dyDescent="0.25">
      <c r="C10" s="22" t="str">
        <f>"R-SW_Apt"&amp;"_"&amp;RIGHT(E10,3)&amp;"_N1"</f>
        <v>R-SW_Apt_GAS_N1</v>
      </c>
      <c r="D10" s="22" t="s">
        <v>99</v>
      </c>
      <c r="E10" s="24" t="s">
        <v>694</v>
      </c>
      <c r="F10" s="24"/>
      <c r="G10" s="57" t="s">
        <v>709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37">
        <f>H10*0.7</f>
        <v>0.73499999999999999</v>
      </c>
      <c r="Q10" s="238">
        <f t="shared" ref="Q10" si="8">I10*0.7</f>
        <v>0.77</v>
      </c>
      <c r="R10" s="238">
        <f t="shared" ref="R10" si="9">J10*0.7</f>
        <v>0.80499999999999994</v>
      </c>
      <c r="S10" s="239">
        <f t="shared" ref="S10" si="10">K10*0.7</f>
        <v>0.84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 t="s">
        <v>75</v>
      </c>
    </row>
    <row r="11" spans="3:44" ht="15" x14ac:dyDescent="0.25">
      <c r="C11" s="40" t="str">
        <f>"R-SH_Apt"&amp;"_"&amp;RIGHT(E11,3)&amp;"_N1"</f>
        <v>R-SH_Apt_LPG_N1</v>
      </c>
      <c r="D11" s="40" t="s">
        <v>103</v>
      </c>
      <c r="E11" s="30" t="s">
        <v>260</v>
      </c>
      <c r="F11" s="30"/>
      <c r="G11" s="519" t="s">
        <v>708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 t="s">
        <v>75</v>
      </c>
    </row>
    <row r="12" spans="3:44" ht="15" x14ac:dyDescent="0.25">
      <c r="C12" s="22" t="str">
        <f>"R-SW_Apt"&amp;"_"&amp;RIGHT(E12,3)&amp;"_N1"</f>
        <v>R-SW_Apt_LPG_N1</v>
      </c>
      <c r="D12" s="22" t="s">
        <v>104</v>
      </c>
      <c r="E12" s="24" t="s">
        <v>260</v>
      </c>
      <c r="F12" s="24"/>
      <c r="G12" s="57" t="s">
        <v>709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37">
        <f>H12*0.7</f>
        <v>0.73499999999999999</v>
      </c>
      <c r="Q12" s="238">
        <f t="shared" ref="Q12:S12" si="12">I12*0.7</f>
        <v>0.77</v>
      </c>
      <c r="R12" s="238">
        <f t="shared" si="12"/>
        <v>0.80499999999999994</v>
      </c>
      <c r="S12" s="239">
        <f t="shared" si="12"/>
        <v>0.84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 t="s">
        <v>75</v>
      </c>
    </row>
    <row r="13" spans="3:44" ht="15" x14ac:dyDescent="0.25">
      <c r="C13" s="40" t="str">
        <f>"R-SH_Apt"&amp;"_"&amp;RIGHT(E13,3)&amp;"_N1"</f>
        <v>R-SH_Apt_WOO_N1</v>
      </c>
      <c r="D13" s="40" t="s">
        <v>105</v>
      </c>
      <c r="E13" s="30" t="s">
        <v>263</v>
      </c>
      <c r="F13" s="30"/>
      <c r="G13" s="519" t="s">
        <v>708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 t="s">
        <v>75</v>
      </c>
    </row>
    <row r="14" spans="3:44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263</v>
      </c>
      <c r="F14" s="27"/>
      <c r="G14" s="59" t="s">
        <v>709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47">
        <f t="shared" ref="P14:S14" si="14">H14*0.7</f>
        <v>0.84</v>
      </c>
      <c r="Q14" s="248">
        <f t="shared" si="14"/>
        <v>0.875</v>
      </c>
      <c r="R14" s="248">
        <f t="shared" si="14"/>
        <v>0.89599999999999991</v>
      </c>
      <c r="S14" s="249">
        <f t="shared" si="14"/>
        <v>0.90999999999999992</v>
      </c>
      <c r="T14" s="55">
        <v>20</v>
      </c>
      <c r="U14" s="27"/>
      <c r="V14" s="516">
        <f>(JRC_Data!BB11/1000)*($U$220/$U$221)</f>
        <v>6.6663223140495873</v>
      </c>
      <c r="W14" s="516">
        <f>(JRC_Data!BC11/1000)*($U$220/$U$221)</f>
        <v>6.6663223140495873</v>
      </c>
      <c r="X14" s="516">
        <f>(JRC_Data!BD11/1000)*($U$220/$U$221)</f>
        <v>7.4070247933884303</v>
      </c>
      <c r="Y14" s="516">
        <f>(JRC_Data!BE11/1000)*($U$220/$U$221)</f>
        <v>7.4070247933884303</v>
      </c>
      <c r="Z14" s="516">
        <v>0.25</v>
      </c>
      <c r="AA14" s="67"/>
      <c r="AB14" s="515"/>
      <c r="AC14" s="515"/>
      <c r="AD14" s="515"/>
      <c r="AE14" s="515"/>
      <c r="AF14" s="515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 t="s">
        <v>75</v>
      </c>
    </row>
    <row r="15" spans="3:44" ht="15.75" thickBot="1" x14ac:dyDescent="0.3">
      <c r="C15" s="521" t="s">
        <v>270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22"/>
      <c r="AC15" s="522"/>
      <c r="AD15" s="522"/>
      <c r="AE15" s="522"/>
      <c r="AF15" s="522"/>
      <c r="AG15" s="33"/>
      <c r="AH15" s="34"/>
      <c r="AI15" s="34"/>
      <c r="AJ15" s="523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/>
      <c r="AR15" s="104" t="s">
        <v>75</v>
      </c>
    </row>
    <row r="16" spans="3:44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708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(JRC_Data!BB48/1000)*($U$219/$U$221)</f>
        <v>3.9173553719008263</v>
      </c>
      <c r="W16" s="78">
        <f>(JRC_Data!BC48/1000)*($U$219/$U$221)</f>
        <v>3.9173553719008263</v>
      </c>
      <c r="X16" s="78">
        <f>(JRC_Data!BD48/1000)*($U$219/$U$221)</f>
        <v>3.9173553719008263</v>
      </c>
      <c r="Y16" s="78">
        <f>(JRC_Data!BE48/1000)*($U$219/$U$221)</f>
        <v>3.9173553719008263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/>
      <c r="AR16" s="98" t="s">
        <v>75</v>
      </c>
    </row>
    <row r="17" spans="3:45" ht="15" x14ac:dyDescent="0.25">
      <c r="C17" s="524" t="s">
        <v>271</v>
      </c>
      <c r="D17" s="525"/>
      <c r="E17" s="526"/>
      <c r="F17" s="526"/>
      <c r="G17" s="526"/>
      <c r="H17" s="527"/>
      <c r="I17" s="527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6"/>
      <c r="U17" s="526"/>
      <c r="V17" s="525"/>
      <c r="W17" s="525"/>
      <c r="X17" s="525"/>
      <c r="Y17" s="525"/>
      <c r="Z17" s="525"/>
      <c r="AA17" s="526"/>
      <c r="AB17" s="528"/>
      <c r="AC17" s="528"/>
      <c r="AD17" s="528"/>
      <c r="AE17" s="528"/>
      <c r="AF17" s="528"/>
      <c r="AG17" s="525"/>
      <c r="AH17" s="526"/>
      <c r="AI17" s="526"/>
      <c r="AJ17" s="529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/>
      <c r="AR17" s="100" t="s">
        <v>75</v>
      </c>
    </row>
    <row r="18" spans="3:45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558</v>
      </c>
      <c r="G18" s="30" t="s">
        <v>708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12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/>
      <c r="AR18" s="100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558</v>
      </c>
      <c r="G19" s="24" t="s">
        <v>710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511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8">C21</f>
        <v>R-SH_Apt_ELC_HPN2-C</v>
      </c>
      <c r="AN19" s="206" t="str">
        <f t="shared" si="18"/>
        <v>Residential Electric Heat Pump - Air to Water - SH - C rated dwelling</v>
      </c>
      <c r="AO19" s="100" t="s">
        <v>13</v>
      </c>
      <c r="AP19" s="100" t="s">
        <v>175</v>
      </c>
      <c r="AQ19" s="100"/>
      <c r="AR19" s="100" t="s">
        <v>75</v>
      </c>
      <c r="AS19" s="4"/>
    </row>
    <row r="20" spans="3:45" ht="15" x14ac:dyDescent="0.25">
      <c r="C20" s="19" t="str">
        <f>"R-SH_Apt"&amp;"_"&amp;RIGHT(E20,3)&amp;"_HPN2-AB"</f>
        <v>R-SH_Apt_ELC_HPN2-AB</v>
      </c>
      <c r="D20" s="88" t="s">
        <v>703</v>
      </c>
      <c r="E20" s="88" t="s">
        <v>148</v>
      </c>
      <c r="F20" s="88" t="s">
        <v>558</v>
      </c>
      <c r="G20" s="88" t="s">
        <v>698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10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89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9">C22</f>
        <v>R-SH_Apt_ELC_HPN2-D</v>
      </c>
      <c r="AN20" s="206" t="str">
        <f t="shared" si="19"/>
        <v>Residential Electric Heat Pump - Air to Water - SH - D rated dwelling</v>
      </c>
      <c r="AO20" s="100" t="s">
        <v>13</v>
      </c>
      <c r="AP20" s="100" t="s">
        <v>175</v>
      </c>
      <c r="AQ20" s="100"/>
      <c r="AR20" s="100" t="s">
        <v>75</v>
      </c>
      <c r="AS20" s="4"/>
    </row>
    <row r="21" spans="3:45" ht="15" x14ac:dyDescent="0.25">
      <c r="C21" s="22" t="str">
        <f>"R-SH_Apt"&amp;"_"&amp;RIGHT(E21,3)&amp;"_HPN2-C"</f>
        <v>R-SH_Apt_ELC_HPN2-C</v>
      </c>
      <c r="D21" s="24" t="s">
        <v>704</v>
      </c>
      <c r="E21" s="24" t="s">
        <v>148</v>
      </c>
      <c r="F21" s="24" t="s">
        <v>558</v>
      </c>
      <c r="G21" s="24" t="s">
        <v>699</v>
      </c>
      <c r="H21" s="22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7">
        <f>JRC_Data!$AF$18/JRC_Data!$AC$16</f>
        <v>1.3333333333333333</v>
      </c>
      <c r="L21" s="22"/>
      <c r="M21" s="23"/>
      <c r="N21" s="23"/>
      <c r="O21" s="57"/>
      <c r="P21" s="22"/>
      <c r="Q21" s="23"/>
      <c r="R21" s="23"/>
      <c r="S21" s="57"/>
      <c r="T21" s="511">
        <v>20</v>
      </c>
      <c r="U21" s="23"/>
      <c r="V21" s="22">
        <f>JRC_Data!BC18/1000*($U$216/$U$218)</f>
        <v>9.1054231268355998</v>
      </c>
      <c r="W21" s="22">
        <f>JRC_Data!BD18/1000*($U$216/$U$218)</f>
        <v>9.1054231268355998</v>
      </c>
      <c r="X21" s="22">
        <f>JRC_Data!BE18/1000*($U$216/$U$218)</f>
        <v>8.1948808141520395</v>
      </c>
      <c r="Y21" s="22">
        <f>JRC_Data!BF18/1000*($U$216/$U$218)</f>
        <v>8.1948808141520395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0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1">C23</f>
        <v>R-SH_Apt_ELC_HPN2-E</v>
      </c>
      <c r="AN21" s="206" t="str">
        <f t="shared" si="21"/>
        <v>Residential Electric Heat Pump - Air to Water - SH - E rated dwelling</v>
      </c>
      <c r="AO21" s="100" t="s">
        <v>13</v>
      </c>
      <c r="AP21" s="100" t="s">
        <v>175</v>
      </c>
      <c r="AQ21" s="100"/>
      <c r="AR21" s="100" t="s">
        <v>75</v>
      </c>
      <c r="AS21" s="4"/>
    </row>
    <row r="22" spans="3:45" ht="15" x14ac:dyDescent="0.25">
      <c r="C22" s="40" t="str">
        <f>"R-SH_Apt"&amp;"_"&amp;RIGHT(E22,3)&amp;"_HPN2-D"</f>
        <v>R-SH_Apt_ELC_HPN2-D</v>
      </c>
      <c r="D22" s="30" t="s">
        <v>705</v>
      </c>
      <c r="E22" s="30" t="s">
        <v>148</v>
      </c>
      <c r="F22" s="30" t="s">
        <v>558</v>
      </c>
      <c r="G22" s="30" t="s">
        <v>700</v>
      </c>
      <c r="H22" s="40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8">
        <f>JRC_Data!$AF$18/JRC_Data!$AC$16</f>
        <v>1.3333333333333333</v>
      </c>
      <c r="L22" s="40"/>
      <c r="M22" s="29"/>
      <c r="N22" s="29"/>
      <c r="O22" s="58"/>
      <c r="P22" s="40"/>
      <c r="Q22" s="29"/>
      <c r="R22" s="29"/>
      <c r="S22" s="58"/>
      <c r="T22" s="512">
        <v>20</v>
      </c>
      <c r="U22" s="29"/>
      <c r="V22" s="40">
        <f>JRC_Data!BC18/1000*($U$216/$U$218)</f>
        <v>9.1054231268355998</v>
      </c>
      <c r="W22" s="40">
        <f>JRC_Data!BD18/1000*($U$216/$U$218)</f>
        <v>9.1054231268355998</v>
      </c>
      <c r="X22" s="40">
        <f>JRC_Data!BE18/1000*($U$216/$U$218)</f>
        <v>8.1948808141520395</v>
      </c>
      <c r="Y22" s="40">
        <f>JRC_Data!BF18/1000*($U$216/$U$218)</f>
        <v>8.1948808141520395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0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2">C24</f>
        <v>R-SH_Apt_ELC_HPN2-F</v>
      </c>
      <c r="AN22" s="206" t="str">
        <f t="shared" si="22"/>
        <v>Residential Electric Heat Pump - Air to Water - SH - F rated dwelling</v>
      </c>
      <c r="AO22" s="100" t="s">
        <v>13</v>
      </c>
      <c r="AP22" s="100" t="s">
        <v>175</v>
      </c>
      <c r="AQ22" s="100"/>
      <c r="AR22" s="100" t="s">
        <v>75</v>
      </c>
      <c r="AS22" s="4"/>
    </row>
    <row r="23" spans="3:45" ht="15" x14ac:dyDescent="0.25">
      <c r="C23" s="22" t="str">
        <f>"R-SH_Apt"&amp;"_"&amp;RIGHT(E23,3)&amp;"_HPN2-E"</f>
        <v>R-SH_Apt_ELC_HPN2-E</v>
      </c>
      <c r="D23" s="24" t="s">
        <v>706</v>
      </c>
      <c r="E23" s="24" t="s">
        <v>148</v>
      </c>
      <c r="F23" s="24" t="s">
        <v>558</v>
      </c>
      <c r="G23" s="24" t="s">
        <v>701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511">
        <v>20</v>
      </c>
      <c r="U23" s="23"/>
      <c r="V23" s="22">
        <f>JRC_Data!BC18/1000*($U$216/$U$218)+RSD_Heating!$AG$245/1000</f>
        <v>10.3654231268356</v>
      </c>
      <c r="W23" s="22">
        <f>JRC_Data!BD18/1000*($U$216/$U$218)++RSD_Heating!$AG$245/1000</f>
        <v>10.3654231268356</v>
      </c>
      <c r="X23" s="22">
        <f>JRC_Data!BE18/1000*($U$216/$U$218)+RSD_Heating!$AG$245/1000</f>
        <v>9.4548808141520393</v>
      </c>
      <c r="Y23" s="22">
        <f>JRC_Data!BF18/1000*($U$216/$U$218)+RSD_Heating!$AG$245/1000</f>
        <v>9.4548808141520393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0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3">C25</f>
        <v>R-SH_Apt_ELC_HPN2-G</v>
      </c>
      <c r="AN23" s="206" t="str">
        <f t="shared" ref="AN23" si="24">D25</f>
        <v>Residential Electric Heat Pump - Air to Water - SH - G rated dwelling</v>
      </c>
      <c r="AO23" s="100" t="s">
        <v>13</v>
      </c>
      <c r="AP23" s="100" t="s">
        <v>175</v>
      </c>
      <c r="AQ23" s="100"/>
      <c r="AR23" s="100" t="s">
        <v>75</v>
      </c>
      <c r="AS23" s="4"/>
    </row>
    <row r="24" spans="3:45" ht="15" x14ac:dyDescent="0.25">
      <c r="C24" s="40" t="str">
        <f>"R-SH_Apt"&amp;"_"&amp;RIGHT(E24,3)&amp;"_HPN2-F"</f>
        <v>R-SH_Apt_ELC_HPN2-F</v>
      </c>
      <c r="D24" s="30" t="s">
        <v>707</v>
      </c>
      <c r="E24" s="30" t="s">
        <v>148</v>
      </c>
      <c r="F24" s="30" t="s">
        <v>558</v>
      </c>
      <c r="G24" s="30" t="s">
        <v>702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512">
        <v>20</v>
      </c>
      <c r="U24" s="29"/>
      <c r="V24" s="40">
        <f>JRC_Data!BC18/1000*($U$216/$U$218)+RSD_Heating!$AG$246/1000</f>
        <v>10.5229231268356</v>
      </c>
      <c r="W24" s="40">
        <f>JRC_Data!BD18/1000*($U$216/$U$218)+RSD_Heating!$AG$246/1000</f>
        <v>10.5229231268356</v>
      </c>
      <c r="X24" s="40">
        <f>JRC_Data!BE18/1000*($U$216/$U$218)+RSD_Heating!$AG$246/1000</f>
        <v>9.6123808141520399</v>
      </c>
      <c r="Y24" s="40">
        <f>JRC_Data!BF18/1000*($U$216/$U$218)+RSD_Heating!$AG$246/1000</f>
        <v>9.6123808141520399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0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5">C26</f>
        <v>R-SW_Apt_ELC_HPN1-AB</v>
      </c>
      <c r="AN24" s="206" t="str">
        <f t="shared" si="25"/>
        <v>Residential Electric Heat Pump - Air to Water - SH + WH - AB rated dwelling</v>
      </c>
      <c r="AO24" s="100" t="s">
        <v>13</v>
      </c>
      <c r="AP24" s="100" t="s">
        <v>175</v>
      </c>
      <c r="AQ24" s="100"/>
      <c r="AR24" s="100" t="s">
        <v>75</v>
      </c>
      <c r="AS24" s="4"/>
    </row>
    <row r="25" spans="3:45" ht="15" x14ac:dyDescent="0.25">
      <c r="C25" s="246" t="str">
        <f>"R-SH_Apt"&amp;"_"&amp;RIGHT(E24,3)&amp;"_HPN2-G"</f>
        <v>R-SH_Apt_ELC_HPN2-G</v>
      </c>
      <c r="D25" s="27" t="s">
        <v>732</v>
      </c>
      <c r="E25" s="27" t="s">
        <v>148</v>
      </c>
      <c r="F25" s="27" t="s">
        <v>558</v>
      </c>
      <c r="G25" s="27" t="s">
        <v>733</v>
      </c>
      <c r="H25" s="22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46"/>
      <c r="M25" s="26"/>
      <c r="N25" s="26"/>
      <c r="O25" s="59"/>
      <c r="P25" s="246"/>
      <c r="Q25" s="26"/>
      <c r="R25" s="26"/>
      <c r="S25" s="59"/>
      <c r="T25" s="514">
        <v>20</v>
      </c>
      <c r="U25" s="26"/>
      <c r="V25" s="246">
        <f>JRC_Data!BC18/1000*($U$216/$U$218)+RSD_Heating!$AG$247/1000</f>
        <v>10.680423126835599</v>
      </c>
      <c r="W25" s="246">
        <f>JRC_Data!BD18/1000*($U$216/$U$218)+RSD_Heating!$AG$247/1000</f>
        <v>10.680423126835599</v>
      </c>
      <c r="X25" s="246">
        <f>JRC_Data!BE18/1000*($U$216/$U$218)+RSD_Heating!$AG$247/1000</f>
        <v>9.7698808141520388</v>
      </c>
      <c r="Y25" s="246">
        <f>JRC_Data!BF18/1000*($U$216/$U$218)+RSD_Heating!$AG$247/1000</f>
        <v>9.7698808141520388</v>
      </c>
      <c r="Z25" s="64">
        <f>JRC_Data!$BL$18/1000</f>
        <v>0.15</v>
      </c>
      <c r="AA25" s="67"/>
      <c r="AB25" s="515"/>
      <c r="AC25" s="515"/>
      <c r="AD25" s="515"/>
      <c r="AE25" s="515"/>
      <c r="AF25" s="515"/>
      <c r="AG25" s="64">
        <f t="shared" si="20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/>
      <c r="AR25" s="100" t="s">
        <v>75</v>
      </c>
      <c r="AS25" s="4"/>
    </row>
    <row r="26" spans="3:45" ht="15" x14ac:dyDescent="0.25">
      <c r="C26" s="19" t="str">
        <f>"R-SW_Apt"&amp;"_"&amp;RIGHT(E26,3)&amp;"_HPN1-AB"</f>
        <v>R-SW_Apt_ELC_HPN1-AB</v>
      </c>
      <c r="D26" s="88" t="s">
        <v>711</v>
      </c>
      <c r="E26" s="88" t="s">
        <v>148</v>
      </c>
      <c r="F26" s="88" t="s">
        <v>660</v>
      </c>
      <c r="G26" s="88" t="s">
        <v>716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6">I26*0.7</f>
        <v>0.76999999999999991</v>
      </c>
      <c r="R26" s="20">
        <f t="shared" si="26"/>
        <v>0.86333333333333329</v>
      </c>
      <c r="S26" s="56">
        <f t="shared" si="26"/>
        <v>0.93333333333333324</v>
      </c>
      <c r="T26" s="531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27">C28</f>
        <v>R-SW_Apt_ELC_HPN1-D</v>
      </c>
      <c r="AN26" s="206" t="str">
        <f t="shared" ref="AN26" si="28">D28</f>
        <v>Residential Electric Heat Pump - Air to Water - SH + WH - D rated dwelling</v>
      </c>
      <c r="AO26" s="100" t="s">
        <v>13</v>
      </c>
      <c r="AP26" s="100" t="s">
        <v>175</v>
      </c>
      <c r="AQ26" s="100"/>
      <c r="AR26" s="100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4" t="s">
        <v>712</v>
      </c>
      <c r="E27" s="24" t="s">
        <v>148</v>
      </c>
      <c r="F27" s="24" t="s">
        <v>660</v>
      </c>
      <c r="G27" s="24" t="s">
        <v>717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9">H27*0.7</f>
        <v>0.7</v>
      </c>
      <c r="Q27" s="23">
        <f t="shared" ref="Q27:Q30" si="30">I27*0.7</f>
        <v>0.76999999999999991</v>
      </c>
      <c r="R27" s="23">
        <f t="shared" ref="R27:R30" si="31">J27*0.7</f>
        <v>0.86333333333333329</v>
      </c>
      <c r="S27" s="57">
        <f t="shared" ref="S27:S30" si="32">K27*0.7</f>
        <v>0.93333333333333324</v>
      </c>
      <c r="T27" s="532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3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4">C29</f>
        <v>R-SW_Apt_ELC_HPN1-E</v>
      </c>
      <c r="AN27" s="206" t="str">
        <f t="shared" ref="AN27" si="35">D29</f>
        <v>Residential Electric Heat Pump - Air to Water - SH + WH - E rated dwelling</v>
      </c>
      <c r="AO27" s="100" t="s">
        <v>13</v>
      </c>
      <c r="AP27" s="100" t="s">
        <v>175</v>
      </c>
      <c r="AQ27" s="100"/>
      <c r="AR27" s="100" t="s">
        <v>75</v>
      </c>
      <c r="AS27" s="4"/>
    </row>
    <row r="28" spans="3:45" ht="15" x14ac:dyDescent="0.25">
      <c r="C28" s="40" t="str">
        <f>"R-SW_Apt"&amp;"_"&amp;RIGHT(E28,3)&amp;"_HPN1-D"</f>
        <v>R-SW_Apt_ELC_HPN1-D</v>
      </c>
      <c r="D28" s="30" t="s">
        <v>713</v>
      </c>
      <c r="E28" s="30" t="s">
        <v>148</v>
      </c>
      <c r="F28" s="30" t="s">
        <v>660</v>
      </c>
      <c r="G28" s="30" t="s">
        <v>718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9"/>
        <v>0.7</v>
      </c>
      <c r="Q28" s="29">
        <f t="shared" si="30"/>
        <v>0.76999999999999991</v>
      </c>
      <c r="R28" s="29">
        <f t="shared" si="31"/>
        <v>0.86333333333333329</v>
      </c>
      <c r="S28" s="58">
        <f t="shared" si="32"/>
        <v>0.93333333333333324</v>
      </c>
      <c r="T28" s="533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3"/>
        <v>0.18921600000000002</v>
      </c>
      <c r="AH28" s="65"/>
      <c r="AI28" s="65">
        <v>2019</v>
      </c>
      <c r="AJ28" s="65">
        <v>6</v>
      </c>
      <c r="AM28" s="206" t="str">
        <f t="shared" ref="AM28:AN35" si="36">C30</f>
        <v>R-SW_Apt_ELC_HPN1-F</v>
      </c>
      <c r="AN28" s="206" t="str">
        <f t="shared" si="36"/>
        <v>Residential Electric Heat Pump - Air to Water - SH + WH - F rated dwelling</v>
      </c>
      <c r="AO28" s="100" t="s">
        <v>13</v>
      </c>
      <c r="AP28" s="100" t="s">
        <v>175</v>
      </c>
      <c r="AQ28" s="100"/>
      <c r="AR28" s="100" t="s">
        <v>75</v>
      </c>
      <c r="AS28" s="4"/>
    </row>
    <row r="29" spans="3:45" ht="15" x14ac:dyDescent="0.25">
      <c r="C29" s="22" t="str">
        <f>"R-SW_Apt"&amp;"_"&amp;RIGHT(E29,3)&amp;"_HPN1-E"</f>
        <v>R-SW_Apt_ELC_HPN1-E</v>
      </c>
      <c r="D29" s="24" t="s">
        <v>714</v>
      </c>
      <c r="E29" s="24" t="s">
        <v>148</v>
      </c>
      <c r="F29" s="24" t="s">
        <v>660</v>
      </c>
      <c r="G29" s="24" t="s">
        <v>719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29"/>
        <v>0.59699699699699693</v>
      </c>
      <c r="Q29" s="23">
        <f t="shared" si="30"/>
        <v>0.6566966966966965</v>
      </c>
      <c r="R29" s="23">
        <f t="shared" si="31"/>
        <v>0.73629629629629623</v>
      </c>
      <c r="S29" s="57">
        <f t="shared" si="32"/>
        <v>0.79599599599599591</v>
      </c>
      <c r="T29" s="532">
        <v>20</v>
      </c>
      <c r="U29" s="23"/>
      <c r="V29" s="22">
        <f>JRC_Data!BC18/1000*($U$217/$U$218)+RSD_Heating!$AG$245/1000</f>
        <v>11.053388429752065</v>
      </c>
      <c r="W29" s="22">
        <f>JRC_Data!BD18/1000*($U$217/$U$218)+RSD_Heating!$AG$245/1000</f>
        <v>11.053388429752065</v>
      </c>
      <c r="X29" s="22">
        <f>JRC_Data!BE18/1000*($U$217/$U$218)+RSD_Heating!$AG$245/1000</f>
        <v>10.074049586776859</v>
      </c>
      <c r="Y29" s="22">
        <f>JRC_Data!BF18/1000*($U$217/$U$218)+RSD_Heating!$AG$245/1000</f>
        <v>10.074049586776859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3"/>
        <v>0.18921600000000002</v>
      </c>
      <c r="AH29" s="66"/>
      <c r="AI29" s="66">
        <v>2019</v>
      </c>
      <c r="AJ29" s="66">
        <v>6</v>
      </c>
      <c r="AL29" s="100"/>
      <c r="AM29" s="206" t="str">
        <f t="shared" si="36"/>
        <v>R-SW_Apt_ELC_HPN1-G</v>
      </c>
      <c r="AN29" s="206" t="str">
        <f t="shared" si="36"/>
        <v>Residential Electric Heat Pump - Air to Water - SH + WH - G rated dwelling</v>
      </c>
      <c r="AO29" s="100" t="s">
        <v>13</v>
      </c>
      <c r="AP29" s="100" t="s">
        <v>175</v>
      </c>
      <c r="AQ29" s="100"/>
      <c r="AR29" s="100" t="s">
        <v>75</v>
      </c>
      <c r="AS29" s="4"/>
    </row>
    <row r="30" spans="3:45" ht="15" x14ac:dyDescent="0.25">
      <c r="C30" s="40" t="str">
        <f>"R-SW_Apt"&amp;"_"&amp;RIGHT(E30,3)&amp;"_HPN1-F"</f>
        <v>R-SW_Apt_ELC_HPN1-F</v>
      </c>
      <c r="D30" s="30" t="s">
        <v>715</v>
      </c>
      <c r="E30" s="30" t="s">
        <v>148</v>
      </c>
      <c r="F30" s="30" t="s">
        <v>660</v>
      </c>
      <c r="G30" s="30" t="s">
        <v>720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29"/>
        <v>0.54549549549549547</v>
      </c>
      <c r="Q30" s="29">
        <f t="shared" si="30"/>
        <v>0.60004504504504497</v>
      </c>
      <c r="R30" s="29">
        <f t="shared" si="31"/>
        <v>0.67277777777777781</v>
      </c>
      <c r="S30" s="58">
        <f t="shared" si="32"/>
        <v>0.72732732732732719</v>
      </c>
      <c r="T30" s="533">
        <v>20</v>
      </c>
      <c r="U30" s="29"/>
      <c r="V30" s="40">
        <f>JRC_Data!BC18/1000*($U$217/$U$218)+RSD_Heating!$AG$246/1000</f>
        <v>11.210888429752066</v>
      </c>
      <c r="W30" s="40">
        <f>JRC_Data!BD18/1000*($U$217/$U$218)+RSD_Heating!$AG$246/1000</f>
        <v>11.210888429752066</v>
      </c>
      <c r="X30" s="40">
        <f>JRC_Data!BE18/1000*($U$217/$U$218)+RSD_Heating!$AG$246/1000</f>
        <v>10.231549586776859</v>
      </c>
      <c r="Y30" s="40">
        <f>JRC_Data!BF18/1000*($U$217/$U$218)+RSD_Heating!$AG$246/1000</f>
        <v>10.231549586776859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3"/>
        <v>0.18921600000000002</v>
      </c>
      <c r="AH30" s="65"/>
      <c r="AI30" s="65">
        <v>2019</v>
      </c>
      <c r="AJ30" s="65">
        <v>6</v>
      </c>
      <c r="AL30" s="206"/>
      <c r="AM30" s="99" t="str">
        <f t="shared" si="36"/>
        <v>R-SH_Apt_ELC_HPN3-AB</v>
      </c>
      <c r="AN30" s="99" t="str">
        <f t="shared" si="36"/>
        <v>Residential Electric Heat Pump - Ground to Water - SH - AB rated dwelling</v>
      </c>
      <c r="AO30" s="100" t="s">
        <v>13</v>
      </c>
      <c r="AP30" s="100" t="s">
        <v>175</v>
      </c>
      <c r="AQ30" s="100"/>
      <c r="AR30" s="100" t="s">
        <v>75</v>
      </c>
      <c r="AS30" s="4"/>
    </row>
    <row r="31" spans="3:45" ht="15" x14ac:dyDescent="0.25">
      <c r="C31" s="246" t="str">
        <f>"R-SW_Apt"&amp;"_"&amp;RIGHT(E30,3)&amp;"_HPN1-G"</f>
        <v>R-SW_Apt_ELC_HPN1-G</v>
      </c>
      <c r="D31" s="27" t="s">
        <v>734</v>
      </c>
      <c r="E31" s="27" t="s">
        <v>148</v>
      </c>
      <c r="F31" s="27" t="s">
        <v>660</v>
      </c>
      <c r="G31" s="27" t="s">
        <v>735</v>
      </c>
      <c r="H31" s="246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46"/>
      <c r="M31" s="26"/>
      <c r="N31" s="26"/>
      <c r="O31" s="59"/>
      <c r="P31" s="246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530">
        <v>20</v>
      </c>
      <c r="U31" s="26"/>
      <c r="V31" s="246">
        <f>JRC_Data!BC18/1000*($U$217/$U$218)+RSD_Heating!$AG$247/1000</f>
        <v>11.368388429752065</v>
      </c>
      <c r="W31" s="246">
        <f>JRC_Data!BD18/1000*($U$217/$U$218)+RSD_Heating!$AG$247/1000</f>
        <v>11.368388429752065</v>
      </c>
      <c r="X31" s="246">
        <f>JRC_Data!BE18/1000*($U$217/$U$218)+RSD_Heating!$AG$247/1000</f>
        <v>10.389049586776858</v>
      </c>
      <c r="Y31" s="246">
        <f>JRC_Data!BF18/1000*($U$217/$U$218)+RSD_Heating!$AG$247/1000</f>
        <v>10.389049586776858</v>
      </c>
      <c r="Z31" s="64">
        <f>JRC_Data!$BL$18/1000</f>
        <v>0.15</v>
      </c>
      <c r="AA31" s="67"/>
      <c r="AB31" s="515"/>
      <c r="AC31" s="515"/>
      <c r="AD31" s="515"/>
      <c r="AE31" s="515"/>
      <c r="AF31" s="515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6"/>
        <v>R-SH_Apt_ELC_HPN3-C</v>
      </c>
      <c r="AN31" s="206" t="str">
        <f t="shared" si="36"/>
        <v>Residential Electric Heat Pump - Ground to Water - SH - C rated dwelling</v>
      </c>
      <c r="AO31" s="100" t="s">
        <v>13</v>
      </c>
      <c r="AP31" s="100" t="s">
        <v>175</v>
      </c>
      <c r="AQ31" s="100"/>
      <c r="AR31" s="100" t="s">
        <v>75</v>
      </c>
      <c r="AS31" s="4"/>
    </row>
    <row r="32" spans="3:45" ht="15" x14ac:dyDescent="0.25">
      <c r="C32" s="19" t="str">
        <f>"R-SH_Apt"&amp;"_"&amp;RIGHT(E32,3)&amp;"_HPN3-AB"</f>
        <v>R-SH_Apt_ELC_HPN3-AB</v>
      </c>
      <c r="D32" s="88" t="s">
        <v>736</v>
      </c>
      <c r="E32" s="88" t="s">
        <v>148</v>
      </c>
      <c r="F32" s="88" t="s">
        <v>558</v>
      </c>
      <c r="G32" s="88" t="s">
        <v>698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10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6"/>
        <v>R-SH_Apt_ELC_HPN3-D</v>
      </c>
      <c r="AN32" s="206" t="str">
        <f t="shared" si="36"/>
        <v>Residential Electric Heat Pump - Ground to Water - SH - D rated dwelling</v>
      </c>
      <c r="AO32" s="100" t="s">
        <v>13</v>
      </c>
      <c r="AP32" s="100" t="s">
        <v>175</v>
      </c>
      <c r="AQ32" s="100"/>
      <c r="AR32" s="100" t="s">
        <v>75</v>
      </c>
      <c r="AS32" s="4"/>
    </row>
    <row r="33" spans="3:45" ht="15" x14ac:dyDescent="0.25">
      <c r="C33" s="22" t="str">
        <f>"R-SH_Apt"&amp;"_"&amp;RIGHT(E33,3)&amp;"_HPN3-C"</f>
        <v>R-SH_Apt_ELC_HPN3-C</v>
      </c>
      <c r="D33" s="24" t="s">
        <v>737</v>
      </c>
      <c r="E33" s="24" t="s">
        <v>148</v>
      </c>
      <c r="F33" s="24" t="s">
        <v>558</v>
      </c>
      <c r="G33" s="24" t="s">
        <v>699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11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6"/>
        <v>R-SH_Apt_ELC_HPN3-E</v>
      </c>
      <c r="AN33" s="206" t="str">
        <f t="shared" si="36"/>
        <v>Residential Electric Heat Pump - Ground to Water - SH - E rated dwelling</v>
      </c>
      <c r="AO33" s="100" t="s">
        <v>13</v>
      </c>
      <c r="AP33" s="100" t="s">
        <v>175</v>
      </c>
      <c r="AQ33" s="100"/>
      <c r="AR33" s="100" t="s">
        <v>75</v>
      </c>
      <c r="AS33" s="4"/>
    </row>
    <row r="34" spans="3:45" ht="15" x14ac:dyDescent="0.25">
      <c r="C34" s="40" t="str">
        <f>"R-SH_Apt"&amp;"_"&amp;RIGHT(E34,3)&amp;"_HPN3-D"</f>
        <v>R-SH_Apt_ELC_HPN3-D</v>
      </c>
      <c r="D34" s="30" t="s">
        <v>738</v>
      </c>
      <c r="E34" s="30" t="s">
        <v>148</v>
      </c>
      <c r="F34" s="30" t="s">
        <v>558</v>
      </c>
      <c r="G34" s="30" t="s">
        <v>700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12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si="36"/>
        <v>R-SH_Apt_ELC_HPN3-F</v>
      </c>
      <c r="AN34" s="206" t="str">
        <f t="shared" si="36"/>
        <v>Residential Electric Heat Pump - Ground to Water - SH - F rated dwelling</v>
      </c>
      <c r="AO34" s="100" t="s">
        <v>13</v>
      </c>
      <c r="AP34" s="100" t="s">
        <v>175</v>
      </c>
      <c r="AQ34" s="100"/>
      <c r="AR34" s="100" t="s">
        <v>75</v>
      </c>
    </row>
    <row r="35" spans="3:45" ht="15" x14ac:dyDescent="0.25">
      <c r="C35" s="22" t="str">
        <f>"R-SH_Apt"&amp;"_"&amp;RIGHT(E35,3)&amp;"_HPN3-E"</f>
        <v>R-SH_Apt_ELC_HPN3-E</v>
      </c>
      <c r="D35" s="24" t="s">
        <v>739</v>
      </c>
      <c r="E35" s="24" t="s">
        <v>148</v>
      </c>
      <c r="F35" s="24" t="s">
        <v>558</v>
      </c>
      <c r="G35" s="24" t="s">
        <v>701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511">
        <v>20</v>
      </c>
      <c r="U35" s="23"/>
      <c r="V35" s="22">
        <f>(JRC_Data!BC20/1000)*($U$217/$U$218)+RSD_Heating!$AG$245/1000</f>
        <v>13.991404958677686</v>
      </c>
      <c r="W35" s="22">
        <f>(JRC_Data!BD20/1000)*($U$217/$U$218)+RSD_Heating!$AG$245/1000</f>
        <v>13.01206611570248</v>
      </c>
      <c r="X35" s="22">
        <f>(JRC_Data!BE20/1000)*($U$217/$U$218)+RSD_Heating!$AG$245/1000</f>
        <v>12.032727272727271</v>
      </c>
      <c r="Y35" s="22">
        <f>(JRC_Data!BF20/1000)*($U$217/$U$218)+RSD_Heating!$AG$245/1000</f>
        <v>12.032727272727271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36"/>
        <v>R-SH_Apt_ELC_HPN3-G</v>
      </c>
      <c r="AN35" s="206" t="str">
        <f t="shared" si="36"/>
        <v>Residential Electric Heat Pump - Ground to Water - SH - G rated dwelling</v>
      </c>
      <c r="AO35" s="100" t="s">
        <v>13</v>
      </c>
      <c r="AP35" s="100" t="s">
        <v>175</v>
      </c>
      <c r="AQ35" s="100"/>
      <c r="AR35" s="100" t="s">
        <v>75</v>
      </c>
      <c r="AS35" s="4"/>
    </row>
    <row r="36" spans="3:45" ht="15" x14ac:dyDescent="0.25">
      <c r="C36" s="40" t="str">
        <f>"R-SH_Apt"&amp;"_"&amp;RIGHT(E36,3)&amp;"_HPN3-F"</f>
        <v>R-SH_Apt_ELC_HPN3-F</v>
      </c>
      <c r="D36" s="30" t="s">
        <v>740</v>
      </c>
      <c r="E36" s="30" t="s">
        <v>148</v>
      </c>
      <c r="F36" s="30" t="s">
        <v>558</v>
      </c>
      <c r="G36" s="30" t="s">
        <v>702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512">
        <v>20</v>
      </c>
      <c r="U36" s="29"/>
      <c r="V36" s="40">
        <f>(JRC_Data!BC20/1000)*($U$217/$U$218)+RSD_Heating!$AG$246/1000</f>
        <v>14.148904958677686</v>
      </c>
      <c r="W36" s="40">
        <f>(JRC_Data!BD20/1000)*($U$217/$U$218)+RSD_Heating!$AG$246/1000</f>
        <v>13.16956611570248</v>
      </c>
      <c r="X36" s="40">
        <f>(JRC_Data!BE20/1000)*($U$217/$U$218)+RSD_Heating!$AG$246/1000</f>
        <v>12.190227272727272</v>
      </c>
      <c r="Y36" s="40">
        <f>(JRC_Data!BF20/1000)*($U$217/$U$218)+RSD_Heating!$AG$246/1000</f>
        <v>12.190227272727272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ref="AM36:AN41" si="43">C38</f>
        <v>R-HC_Apt_ELC_HPN2-AB</v>
      </c>
      <c r="AN36" s="206" t="str">
        <f t="shared" si="43"/>
        <v>Residential Electric Heat Pump - Ground to Water - SH + SC - AB rated dwelling</v>
      </c>
      <c r="AO36" s="100" t="s">
        <v>13</v>
      </c>
      <c r="AP36" s="100" t="s">
        <v>175</v>
      </c>
      <c r="AQ36" s="100"/>
      <c r="AR36" s="100" t="s">
        <v>75</v>
      </c>
      <c r="AS36" s="4"/>
    </row>
    <row r="37" spans="3:45" ht="15" x14ac:dyDescent="0.25">
      <c r="C37" s="246" t="str">
        <f>"R-SH_Apt"&amp;"_"&amp;RIGHT(E37,3)&amp;"_HPN3-G"</f>
        <v>R-SH_Apt_ELC_HPN3-G</v>
      </c>
      <c r="D37" s="27" t="s">
        <v>741</v>
      </c>
      <c r="E37" s="27" t="s">
        <v>148</v>
      </c>
      <c r="F37" s="27" t="s">
        <v>558</v>
      </c>
      <c r="G37" s="27" t="s">
        <v>733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46"/>
      <c r="M37" s="26"/>
      <c r="N37" s="26"/>
      <c r="O37" s="59"/>
      <c r="P37" s="246"/>
      <c r="Q37" s="26"/>
      <c r="R37" s="26"/>
      <c r="S37" s="59"/>
      <c r="T37" s="514">
        <v>20</v>
      </c>
      <c r="U37" s="26"/>
      <c r="V37" s="246">
        <f>(JRC_Data!BC20/1000)*($U$217/$U$218)+RSD_Heating!$AG$247/1000</f>
        <v>14.306404958677685</v>
      </c>
      <c r="W37" s="246">
        <f>(JRC_Data!BD20/1000)*($U$217/$U$218)+RSD_Heating!$AG$247/1000</f>
        <v>13.327066115702479</v>
      </c>
      <c r="X37" s="246">
        <f>(JRC_Data!BE20/1000)*($U$217/$U$218)+RSD_Heating!$AG$247/1000</f>
        <v>12.347727272727271</v>
      </c>
      <c r="Y37" s="246">
        <f>(JRC_Data!BF20/1000)*($U$217/$U$218)+RSD_Heating!$AG$247/1000</f>
        <v>12.347727272727271</v>
      </c>
      <c r="Z37" s="64">
        <f>JRC_Data!BL20/1000</f>
        <v>0.2</v>
      </c>
      <c r="AA37" s="67"/>
      <c r="AB37" s="515"/>
      <c r="AC37" s="515"/>
      <c r="AD37" s="515"/>
      <c r="AE37" s="515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R-HC_Apt_ELC_HPN2-C</v>
      </c>
      <c r="AN37" s="206" t="str">
        <f t="shared" si="43"/>
        <v>Residential Electric Heat Pump - Ground to Water - SH + SC - C rated dwelling</v>
      </c>
      <c r="AO37" s="100" t="s">
        <v>13</v>
      </c>
      <c r="AP37" s="100" t="s">
        <v>175</v>
      </c>
      <c r="AQ37" s="100"/>
      <c r="AR37" s="100" t="s">
        <v>75</v>
      </c>
      <c r="AS37" s="4"/>
    </row>
    <row r="38" spans="3:45" ht="15" x14ac:dyDescent="0.25">
      <c r="C38" s="19" t="str">
        <f>"R-HC_Apt"&amp;"_"&amp;RIGHT(E38,3)&amp;"_HPN2-AB"</f>
        <v>R-HC_Apt_ELC_HPN2-AB</v>
      </c>
      <c r="D38" s="88" t="s">
        <v>742</v>
      </c>
      <c r="E38" s="88" t="s">
        <v>148</v>
      </c>
      <c r="F38" s="88" t="s">
        <v>558</v>
      </c>
      <c r="G38" s="88" t="s">
        <v>784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510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R-HC_Apt_ELC_HPN2-D</v>
      </c>
      <c r="AN38" s="206" t="str">
        <f t="shared" si="43"/>
        <v>Residential Electric Heat Pump - Ground to Water - SH + SC - D rated dwelling</v>
      </c>
      <c r="AO38" s="100" t="s">
        <v>13</v>
      </c>
      <c r="AP38" s="100" t="s">
        <v>175</v>
      </c>
      <c r="AQ38" s="100"/>
      <c r="AR38" s="100" t="s">
        <v>75</v>
      </c>
    </row>
    <row r="39" spans="3:45" ht="15" x14ac:dyDescent="0.25">
      <c r="C39" s="22" t="str">
        <f>"R-HC_Apt"&amp;"_"&amp;RIGHT(E39,3)&amp;"_HPN2-C"</f>
        <v>R-HC_Apt_ELC_HPN2-C</v>
      </c>
      <c r="D39" s="24" t="s">
        <v>743</v>
      </c>
      <c r="E39" s="24" t="s">
        <v>148</v>
      </c>
      <c r="F39" s="24" t="s">
        <v>558</v>
      </c>
      <c r="G39" s="24" t="s">
        <v>785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511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R-HC_Apt_ELC_HPN2-E</v>
      </c>
      <c r="AN39" s="206" t="str">
        <f t="shared" si="43"/>
        <v>Residential Electric Heat Pump - Ground to Water - SH + SC - E rated dwelling</v>
      </c>
      <c r="AO39" s="100" t="s">
        <v>13</v>
      </c>
      <c r="AP39" s="100" t="s">
        <v>175</v>
      </c>
      <c r="AQ39" s="100"/>
      <c r="AR39" s="100" t="s">
        <v>75</v>
      </c>
      <c r="AS39" s="100"/>
    </row>
    <row r="40" spans="3:45" ht="15" x14ac:dyDescent="0.25">
      <c r="C40" s="40" t="str">
        <f>"R-HC_Apt"&amp;"_"&amp;RIGHT(E40,3)&amp;"_HPN2-D"</f>
        <v>R-HC_Apt_ELC_HPN2-D</v>
      </c>
      <c r="D40" s="30" t="s">
        <v>744</v>
      </c>
      <c r="E40" s="30" t="s">
        <v>148</v>
      </c>
      <c r="F40" s="30" t="s">
        <v>558</v>
      </c>
      <c r="G40" s="30" t="s">
        <v>786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512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206"/>
      <c r="AM40" s="206" t="str">
        <f t="shared" si="43"/>
        <v>R-HC_Apt_ELC_HPN2-F</v>
      </c>
      <c r="AN40" s="206" t="str">
        <f t="shared" si="43"/>
        <v>Residential Electric Heat Pump - Ground to Water - SH + SC - F rated dwelling</v>
      </c>
      <c r="AO40" s="100" t="s">
        <v>13</v>
      </c>
      <c r="AP40" s="100" t="s">
        <v>175</v>
      </c>
      <c r="AQ40" s="100"/>
      <c r="AR40" s="100" t="s">
        <v>75</v>
      </c>
    </row>
    <row r="41" spans="3:45" ht="15.75" thickBot="1" x14ac:dyDescent="0.3">
      <c r="C41" s="22" t="str">
        <f>"R-HC_Apt"&amp;"_"&amp;RIGHT(E41,3)&amp;"_HPN2-E"</f>
        <v>R-HC_Apt_ELC_HPN2-E</v>
      </c>
      <c r="D41" s="24" t="s">
        <v>745</v>
      </c>
      <c r="E41" s="24" t="s">
        <v>148</v>
      </c>
      <c r="F41" s="24" t="s">
        <v>558</v>
      </c>
      <c r="G41" s="24" t="s">
        <v>787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511">
        <v>20</v>
      </c>
      <c r="U41" s="57"/>
      <c r="V41" s="22">
        <f t="shared" si="47"/>
        <v>15.390545454545455</v>
      </c>
      <c r="W41" s="22">
        <f t="shared" si="47"/>
        <v>14.313272727272729</v>
      </c>
      <c r="X41" s="22">
        <f t="shared" si="47"/>
        <v>13.235999999999999</v>
      </c>
      <c r="Y41" s="22">
        <f t="shared" si="47"/>
        <v>13.235999999999999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6"/>
      <c r="AM41" s="206" t="str">
        <f t="shared" si="43"/>
        <v>R-HC_Apt_ELC_HPN2-G</v>
      </c>
      <c r="AN41" s="206" t="str">
        <f t="shared" si="43"/>
        <v>Residential Electric Heat Pump - Ground to Water - SH + SC - G rated dwelling</v>
      </c>
      <c r="AO41" s="100" t="s">
        <v>13</v>
      </c>
      <c r="AP41" s="100" t="s">
        <v>175</v>
      </c>
      <c r="AQ41" s="100"/>
      <c r="AR41" s="100" t="s">
        <v>75</v>
      </c>
    </row>
    <row r="42" spans="3:45" ht="15" x14ac:dyDescent="0.25">
      <c r="C42" s="40" t="str">
        <f>"R-HC_Apt"&amp;"_"&amp;RIGHT(E42,3)&amp;"_HPN2-F"</f>
        <v>R-HC_Apt_ELC_HPN2-F</v>
      </c>
      <c r="D42" s="30" t="s">
        <v>746</v>
      </c>
      <c r="E42" s="30" t="s">
        <v>148</v>
      </c>
      <c r="F42" s="30" t="s">
        <v>558</v>
      </c>
      <c r="G42" s="30" t="s">
        <v>788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512">
        <v>20</v>
      </c>
      <c r="U42" s="58"/>
      <c r="V42" s="40">
        <f t="shared" si="47"/>
        <v>15.563795454545456</v>
      </c>
      <c r="W42" s="40">
        <f t="shared" si="47"/>
        <v>14.48652272727273</v>
      </c>
      <c r="X42" s="40">
        <f t="shared" si="47"/>
        <v>13.40925</v>
      </c>
      <c r="Y42" s="40">
        <f t="shared" si="47"/>
        <v>13.40925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98"/>
      <c r="AR42" s="98" t="s">
        <v>75</v>
      </c>
    </row>
    <row r="43" spans="3:45" ht="15.75" thickBot="1" x14ac:dyDescent="0.3">
      <c r="C43" s="246" t="str">
        <f>"R-HC_Apt"&amp;"_"&amp;RIGHT(E43,3)&amp;"_HPN2-G"</f>
        <v>R-HC_Apt_ELC_HPN2-G</v>
      </c>
      <c r="D43" s="27" t="s">
        <v>747</v>
      </c>
      <c r="E43" s="27" t="s">
        <v>148</v>
      </c>
      <c r="F43" s="27" t="s">
        <v>558</v>
      </c>
      <c r="G43" s="27" t="s">
        <v>789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46"/>
      <c r="Q43" s="26"/>
      <c r="R43" s="26"/>
      <c r="S43" s="59"/>
      <c r="T43" s="514">
        <v>20</v>
      </c>
      <c r="U43" s="59"/>
      <c r="V43" s="246">
        <f t="shared" si="47"/>
        <v>15.737045454545456</v>
      </c>
      <c r="W43" s="246">
        <f t="shared" si="47"/>
        <v>14.659772727272728</v>
      </c>
      <c r="X43" s="246">
        <f t="shared" si="47"/>
        <v>13.5825</v>
      </c>
      <c r="Y43" s="246">
        <f t="shared" si="47"/>
        <v>13.5825</v>
      </c>
      <c r="Z43" s="64">
        <f>JRC_Data!BL20/1000</f>
        <v>0.2</v>
      </c>
      <c r="AA43" s="67"/>
      <c r="AB43" s="515"/>
      <c r="AC43" s="515"/>
      <c r="AD43" s="515"/>
      <c r="AE43" s="515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3"/>
      <c r="AR43" s="103" t="s">
        <v>75</v>
      </c>
    </row>
    <row r="44" spans="3:45" ht="15.75" thickBot="1" x14ac:dyDescent="0.3">
      <c r="C44" s="521" t="s">
        <v>272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7"/>
      <c r="AB44" s="522"/>
      <c r="AC44" s="522"/>
      <c r="AD44" s="522"/>
      <c r="AE44" s="522"/>
      <c r="AF44" s="522"/>
      <c r="AG44" s="33"/>
      <c r="AH44" s="34"/>
      <c r="AI44" s="34"/>
      <c r="AJ44" s="523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 t="s">
        <v>75</v>
      </c>
    </row>
    <row r="45" spans="3:45" ht="15" x14ac:dyDescent="0.25">
      <c r="C45" s="19" t="str">
        <f>"R-SW_Apt"&amp;"_"&amp;RIGHT(E45,3)&amp;"_HPN1"</f>
        <v>R-SW_Apt_GAS_HPN1</v>
      </c>
      <c r="D45" s="20" t="s">
        <v>111</v>
      </c>
      <c r="E45" s="24" t="s">
        <v>694</v>
      </c>
      <c r="F45" s="88" t="s">
        <v>660</v>
      </c>
      <c r="G45" s="88" t="s">
        <v>709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98"/>
      <c r="AR45" s="98" t="s">
        <v>75</v>
      </c>
    </row>
    <row r="46" spans="3:45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694</v>
      </c>
      <c r="F46" s="27" t="s">
        <v>660</v>
      </c>
      <c r="G46" s="27" t="s">
        <v>709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8"/>
      <c r="AM46" s="102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3"/>
      <c r="AR46" s="103" t="s">
        <v>75</v>
      </c>
    </row>
    <row r="47" spans="3:45" ht="15" x14ac:dyDescent="0.25">
      <c r="C47" s="521" t="s">
        <v>273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22"/>
      <c r="AC47" s="522"/>
      <c r="AD47" s="522"/>
      <c r="AE47" s="522"/>
      <c r="AF47" s="522"/>
      <c r="AG47" s="33"/>
      <c r="AH47" s="34"/>
      <c r="AI47" s="34"/>
      <c r="AJ47" s="523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98"/>
      <c r="AR47" s="98" t="s">
        <v>75</v>
      </c>
    </row>
    <row r="48" spans="3:45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695</v>
      </c>
      <c r="F48" s="115" t="s">
        <v>660</v>
      </c>
      <c r="G48" s="94" t="s">
        <v>709</v>
      </c>
      <c r="H48" s="373">
        <f>1*$AD$48+JRC_Data!AD18*(1.3-$AD$48)</f>
        <v>3.4850000000000003</v>
      </c>
      <c r="I48" s="373">
        <f>1*$AD$48+JRC_Data!AE18*(1.3-$AD$48)</f>
        <v>3.8650000000000007</v>
      </c>
      <c r="J48" s="373">
        <f>1*$AD$48+JRC_Data!AF18*(1.3-$AD$48)</f>
        <v>4.1500000000000004</v>
      </c>
      <c r="K48" s="373">
        <f>1*$AD$48+JRC_Data!AG18*(1.3-$AD$48)</f>
        <v>4.1500000000000004</v>
      </c>
      <c r="L48" s="49"/>
      <c r="M48" s="50"/>
      <c r="N48" s="50"/>
      <c r="O48" s="51"/>
      <c r="P48" s="246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50">
        <v>20</v>
      </c>
      <c r="U48" s="25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 t="s">
        <v>75</v>
      </c>
      <c r="AS48" s="4"/>
    </row>
    <row r="49" spans="3:45" ht="15" x14ac:dyDescent="0.25">
      <c r="C49" s="521" t="s">
        <v>274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520</v>
      </c>
      <c r="W49" s="33"/>
      <c r="X49" s="33"/>
      <c r="Y49" s="33"/>
      <c r="Z49" s="33"/>
      <c r="AA49" s="34"/>
      <c r="AB49" s="522"/>
      <c r="AC49" s="522"/>
      <c r="AD49" s="522"/>
      <c r="AE49" s="522"/>
      <c r="AF49" s="522"/>
      <c r="AG49" s="33"/>
      <c r="AH49" s="34"/>
      <c r="AI49" s="34"/>
      <c r="AJ49" s="523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98"/>
      <c r="AR49" s="98" t="s">
        <v>75</v>
      </c>
    </row>
    <row r="50" spans="3:45" ht="15" x14ac:dyDescent="0.25">
      <c r="C50" s="19" t="str">
        <f>"R-SW_Apt"&amp;"_"&amp;RIGHT(E50,3)&amp;"_N1"</f>
        <v>R-SW_Apt_HET_N1</v>
      </c>
      <c r="D50" s="20" t="s">
        <v>114</v>
      </c>
      <c r="E50" s="88" t="s">
        <v>257</v>
      </c>
      <c r="F50" s="88"/>
      <c r="G50" s="21" t="s">
        <v>709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0.7</v>
      </c>
      <c r="Q50" s="241">
        <v>0.7</v>
      </c>
      <c r="R50" s="241">
        <v>0.7</v>
      </c>
      <c r="S50" s="242">
        <v>0.7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/>
      <c r="AR50" s="100" t="s">
        <v>75</v>
      </c>
    </row>
    <row r="51" spans="3:45" x14ac:dyDescent="0.2">
      <c r="C51" s="246" t="str">
        <f>"R-SW_Apt"&amp;"_"&amp;RIGHT(E51,3)&amp;"_N2"</f>
        <v>R-SW_Apt_HET_N2</v>
      </c>
      <c r="D51" s="26" t="s">
        <v>115</v>
      </c>
      <c r="E51" s="27" t="s">
        <v>257</v>
      </c>
      <c r="F51" s="27"/>
      <c r="G51" s="28" t="s">
        <v>709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0.7</v>
      </c>
      <c r="Q51" s="248">
        <v>0.7</v>
      </c>
      <c r="R51" s="248">
        <v>0.7</v>
      </c>
      <c r="S51" s="249">
        <v>0.7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521" t="s">
        <v>275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22"/>
      <c r="AC52" s="522"/>
      <c r="AD52" s="522"/>
      <c r="AE52" s="522"/>
      <c r="AF52" s="522"/>
      <c r="AG52" s="33"/>
      <c r="AH52" s="34"/>
      <c r="AI52" s="34"/>
      <c r="AJ52" s="523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0.7</v>
      </c>
      <c r="Q53" s="241">
        <v>0.7</v>
      </c>
      <c r="R53" s="241">
        <v>0.7</v>
      </c>
      <c r="S53" s="242">
        <v>0.7</v>
      </c>
      <c r="T53" s="52">
        <v>30</v>
      </c>
      <c r="U53" s="48"/>
      <c r="V53" s="20">
        <f>(JRC_Data!BB48/1000)*($U$215/$U$216)</f>
        <v>3.6878868563919918</v>
      </c>
      <c r="W53" s="20">
        <f>(JRC_Data!BC48/1000)*($U$215/$U$216)</f>
        <v>3.6878868563919918</v>
      </c>
      <c r="X53" s="20">
        <f>(JRC_Data!BD48/1000)*($U$215/$U$216)</f>
        <v>3.6878868563919918</v>
      </c>
      <c r="Y53" s="20">
        <f>(JRC_Data!BE48/1000)*($U$215/$U$216)</f>
        <v>3.6878868563919918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266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</f>
        <v>4.9786472561291895</v>
      </c>
      <c r="W54" s="23">
        <f>(JRC_Data!BC45/1000)*($U$215/$U$216)</f>
        <v>4.7020557418997893</v>
      </c>
      <c r="X54" s="23">
        <f>(JRC_Data!BD45/1000)*($U$215/$U$216)</f>
        <v>4.2410698848507904</v>
      </c>
      <c r="Y54" s="23">
        <f>(JRC_Data!BE45/1000)*($U$215/$U$216)</f>
        <v>3.4112953421625924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</row>
    <row r="55" spans="3:45" x14ac:dyDescent="0.2">
      <c r="C55" s="521" t="s">
        <v>276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22"/>
      <c r="AC55" s="522"/>
      <c r="AD55" s="522"/>
      <c r="AE55" s="522"/>
      <c r="AF55" s="522"/>
      <c r="AG55" s="33"/>
      <c r="AH55" s="34"/>
      <c r="AI55" s="34"/>
      <c r="AJ55" s="523"/>
    </row>
    <row r="56" spans="3:45" x14ac:dyDescent="0.2">
      <c r="C56" s="19" t="str">
        <f>"R-SC_Apt"&amp;"_"&amp;RIGHT(E56,3)&amp;"_N1"</f>
        <v>R-SC_Apt_ELC_N1</v>
      </c>
      <c r="D56" s="20" t="s">
        <v>522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523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77" t="s">
        <v>643</v>
      </c>
      <c r="AM57" s="478"/>
      <c r="AN57" s="478"/>
      <c r="AO57" s="478"/>
      <c r="AP57" s="478"/>
      <c r="AQ57" s="478"/>
      <c r="AR57" s="478"/>
      <c r="AS57" s="479"/>
    </row>
    <row r="58" spans="3:45" ht="15.75" thickBot="1" x14ac:dyDescent="0.25">
      <c r="AL58" s="122" t="s">
        <v>644</v>
      </c>
      <c r="AM58" s="122" t="s">
        <v>645</v>
      </c>
      <c r="AN58" s="122" t="s">
        <v>646</v>
      </c>
      <c r="AO58" s="122" t="s">
        <v>647</v>
      </c>
      <c r="AP58" s="122" t="s">
        <v>648</v>
      </c>
      <c r="AQ58" s="122" t="s">
        <v>649</v>
      </c>
      <c r="AR58" s="122" t="s">
        <v>650</v>
      </c>
      <c r="AS58" s="122" t="s">
        <v>651</v>
      </c>
    </row>
    <row r="59" spans="3:45" ht="48.75" thickBot="1" x14ac:dyDescent="0.25">
      <c r="AL59" s="480" t="s">
        <v>652</v>
      </c>
      <c r="AM59" s="480" t="s">
        <v>653</v>
      </c>
      <c r="AN59" s="480" t="s">
        <v>654</v>
      </c>
      <c r="AO59" s="481" t="s">
        <v>647</v>
      </c>
      <c r="AP59" s="481" t="s">
        <v>655</v>
      </c>
      <c r="AQ59" s="481" t="s">
        <v>656</v>
      </c>
      <c r="AR59" s="481" t="s">
        <v>657</v>
      </c>
      <c r="AS59" s="481" t="s">
        <v>658</v>
      </c>
    </row>
    <row r="60" spans="3:45" x14ac:dyDescent="0.2">
      <c r="H60" s="5" t="s">
        <v>19</v>
      </c>
      <c r="AL60" s="482" t="str">
        <f>AJ60&amp;"NRG"</f>
        <v>NRG</v>
      </c>
      <c r="AM60" s="482" t="s">
        <v>659</v>
      </c>
      <c r="AN60" s="482" t="s">
        <v>748</v>
      </c>
      <c r="AO60" s="483" t="s">
        <v>13</v>
      </c>
      <c r="AP60" s="482" t="s">
        <v>450</v>
      </c>
      <c r="AQ60" s="482"/>
      <c r="AR60" s="482" t="s">
        <v>450</v>
      </c>
      <c r="AS60" s="482" t="s">
        <v>450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556</v>
      </c>
      <c r="G61" s="14" t="s">
        <v>24</v>
      </c>
      <c r="H61" s="17" t="s">
        <v>821</v>
      </c>
      <c r="I61" s="17" t="s">
        <v>729</v>
      </c>
      <c r="J61" s="17" t="s">
        <v>730</v>
      </c>
      <c r="K61" s="17" t="s">
        <v>731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822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280</v>
      </c>
      <c r="AC61" s="17" t="s">
        <v>281</v>
      </c>
      <c r="AD61" s="17" t="s">
        <v>282</v>
      </c>
      <c r="AE61" s="17" t="s">
        <v>693</v>
      </c>
      <c r="AF61" s="17" t="s">
        <v>238</v>
      </c>
      <c r="AG61" s="17" t="s">
        <v>77</v>
      </c>
      <c r="AH61" s="17" t="s">
        <v>267</v>
      </c>
      <c r="AI61" s="17" t="s">
        <v>78</v>
      </c>
      <c r="AJ61" s="17" t="s">
        <v>554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557</v>
      </c>
      <c r="G62" s="16" t="s">
        <v>81</v>
      </c>
      <c r="H62" s="611" t="s">
        <v>82</v>
      </c>
      <c r="I62" s="612"/>
      <c r="J62" s="612"/>
      <c r="K62" s="613"/>
      <c r="L62" s="611" t="s">
        <v>83</v>
      </c>
      <c r="M62" s="612"/>
      <c r="N62" s="612"/>
      <c r="O62" s="613"/>
      <c r="P62" s="611" t="s">
        <v>84</v>
      </c>
      <c r="Q62" s="612"/>
      <c r="R62" s="612"/>
      <c r="S62" s="613"/>
      <c r="T62" s="611" t="s">
        <v>85</v>
      </c>
      <c r="U62" s="613"/>
      <c r="V62" s="605" t="s">
        <v>86</v>
      </c>
      <c r="W62" s="606"/>
      <c r="X62" s="606"/>
      <c r="Y62" s="607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237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15.75" thickBot="1" x14ac:dyDescent="0.25">
      <c r="C63" s="14" t="s">
        <v>279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30</v>
      </c>
      <c r="AR63" s="12" t="s">
        <v>67</v>
      </c>
    </row>
    <row r="64" spans="3:45" ht="45" x14ac:dyDescent="0.2">
      <c r="C64" s="37" t="s">
        <v>269</v>
      </c>
      <c r="D64" s="38"/>
      <c r="E64" s="38"/>
      <c r="F64" s="38"/>
      <c r="G64" s="39"/>
      <c r="H64" s="608" t="s">
        <v>34</v>
      </c>
      <c r="I64" s="609"/>
      <c r="J64" s="609"/>
      <c r="K64" s="610"/>
      <c r="L64" s="609" t="s">
        <v>34</v>
      </c>
      <c r="M64" s="609"/>
      <c r="N64" s="609"/>
      <c r="O64" s="610"/>
      <c r="P64" s="608" t="s">
        <v>34</v>
      </c>
      <c r="Q64" s="609"/>
      <c r="R64" s="609"/>
      <c r="S64" s="610"/>
      <c r="T64" s="614" t="s">
        <v>68</v>
      </c>
      <c r="U64" s="615"/>
      <c r="V64" s="614" t="s">
        <v>503</v>
      </c>
      <c r="W64" s="616"/>
      <c r="X64" s="616"/>
      <c r="Y64" s="615"/>
      <c r="Z64" s="367" t="s">
        <v>515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283</v>
      </c>
      <c r="AH64" s="367" t="s">
        <v>34</v>
      </c>
      <c r="AI64" s="367" t="s">
        <v>94</v>
      </c>
      <c r="AJ64" s="367" t="s">
        <v>555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73</v>
      </c>
      <c r="AR64" s="205" t="s">
        <v>74</v>
      </c>
    </row>
    <row r="65" spans="3:44" ht="15" x14ac:dyDescent="0.25">
      <c r="C65" s="19" t="str">
        <f>"R-SH_Att"&amp;"_"&amp;RIGHT(E65,3)&amp;"_N1"</f>
        <v>R-SH_Att_KER_N1</v>
      </c>
      <c r="D65" s="20" t="s">
        <v>96</v>
      </c>
      <c r="E65" s="88" t="s">
        <v>259</v>
      </c>
      <c r="F65" s="88"/>
      <c r="G65" s="508" t="s">
        <v>721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58">W69*1.3</f>
        <v>4.2250000000000005</v>
      </c>
      <c r="X65" s="373">
        <f t="shared" si="58"/>
        <v>4.2250000000000005</v>
      </c>
      <c r="Y65" s="373">
        <f t="shared" si="58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59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60">C65</f>
        <v>R-SH_Att_KER_N1</v>
      </c>
      <c r="AN65" s="99" t="str">
        <f t="shared" ref="AN65:AN76" si="61">D65</f>
        <v>Residential Kerosene Heating Oil - New 1 SH</v>
      </c>
      <c r="AO65" s="100" t="s">
        <v>13</v>
      </c>
      <c r="AP65" s="100" t="s">
        <v>175</v>
      </c>
      <c r="AQ65" s="100"/>
      <c r="AR65" s="100" t="s">
        <v>75</v>
      </c>
    </row>
    <row r="66" spans="3:44" ht="15" x14ac:dyDescent="0.25">
      <c r="C66" s="22" t="str">
        <f>"R-SW_Att"&amp;"_"&amp;RIGHT(E66,3)&amp;"_N1"</f>
        <v>R-SW_Att_KER_N1</v>
      </c>
      <c r="D66" s="23" t="s">
        <v>97</v>
      </c>
      <c r="E66" s="24" t="s">
        <v>259</v>
      </c>
      <c r="F66" s="24"/>
      <c r="G66" s="57" t="s">
        <v>722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74">
        <f>V70*1.3</f>
        <v>4.2773760330578519</v>
      </c>
      <c r="W66" s="374">
        <f t="shared" ref="W66:Y66" si="65">W70*1.3</f>
        <v>4.2773760330578519</v>
      </c>
      <c r="X66" s="374">
        <f t="shared" si="65"/>
        <v>4.2773760330578519</v>
      </c>
      <c r="Y66" s="374">
        <f t="shared" si="65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59"/>
        <v>0.7884000000000001</v>
      </c>
      <c r="AH66" s="66"/>
      <c r="AI66" s="66">
        <v>2019</v>
      </c>
      <c r="AJ66" s="66">
        <v>25</v>
      </c>
      <c r="AL66" s="100"/>
      <c r="AM66" s="99" t="str">
        <f t="shared" si="60"/>
        <v>R-SW_Att_KER_N1</v>
      </c>
      <c r="AN66" s="99" t="str">
        <f t="shared" si="61"/>
        <v>Residential Kerosene Heating Oil - New 2 SH + WH</v>
      </c>
      <c r="AO66" s="100" t="s">
        <v>13</v>
      </c>
      <c r="AP66" s="100" t="s">
        <v>175</v>
      </c>
      <c r="AQ66" s="100"/>
      <c r="AR66" s="100" t="s">
        <v>75</v>
      </c>
    </row>
    <row r="67" spans="3:44" ht="15" x14ac:dyDescent="0.25">
      <c r="C67" s="40" t="str">
        <f>"R-SW_Att"&amp;"_"&amp;RIGHT(E67,3)&amp;"_N2"</f>
        <v>R-SW_Att_KER_N2</v>
      </c>
      <c r="D67" s="29" t="s">
        <v>98</v>
      </c>
      <c r="E67" s="30" t="s">
        <v>261</v>
      </c>
      <c r="F67" s="30"/>
      <c r="G67" s="58" t="s">
        <v>722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59"/>
        <v>0.7884000000000001</v>
      </c>
      <c r="AH67" s="65"/>
      <c r="AI67" s="65">
        <v>2019</v>
      </c>
      <c r="AJ67" s="65">
        <v>25</v>
      </c>
      <c r="AL67" s="100"/>
      <c r="AM67" s="99" t="str">
        <f t="shared" si="60"/>
        <v>R-SW_Att_KER_N2</v>
      </c>
      <c r="AN67" s="99" t="str">
        <f t="shared" si="61"/>
        <v>Residential Kerosene Heating Oil - New 3 SH+WH + Solar</v>
      </c>
      <c r="AO67" s="100" t="s">
        <v>13</v>
      </c>
      <c r="AP67" s="100" t="s">
        <v>175</v>
      </c>
      <c r="AQ67" s="100"/>
      <c r="AR67" s="100" t="s">
        <v>75</v>
      </c>
    </row>
    <row r="68" spans="3:44" ht="15" x14ac:dyDescent="0.25">
      <c r="C68" s="22" t="str">
        <f>"R-SW_Att"&amp;"_"&amp;RIGHT(E68,3)&amp;"_N3"</f>
        <v>R-SW_Att_KER_N3</v>
      </c>
      <c r="D68" s="23" t="s">
        <v>102</v>
      </c>
      <c r="E68" s="24" t="s">
        <v>262</v>
      </c>
      <c r="F68" s="24"/>
      <c r="G68" s="57" t="s">
        <v>722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60"/>
        <v>R-SW_Att_KER_N3</v>
      </c>
      <c r="AN68" s="99" t="str">
        <f t="shared" si="61"/>
        <v>Residential Kerosene Heating Oil - New 3 SH+WH + Wood Stove</v>
      </c>
      <c r="AO68" s="101" t="s">
        <v>13</v>
      </c>
      <c r="AP68" s="101" t="s">
        <v>175</v>
      </c>
      <c r="AQ68" s="100"/>
      <c r="AR68" s="100"/>
    </row>
    <row r="69" spans="3:44" ht="15" x14ac:dyDescent="0.25">
      <c r="C69" s="40" t="str">
        <f>"R-SH_Att"&amp;"_"&amp;RIGHT(E69,3)&amp;"_N1"</f>
        <v>R-SH_Att_GAS_N1</v>
      </c>
      <c r="D69" s="29" t="s">
        <v>95</v>
      </c>
      <c r="E69" s="30" t="s">
        <v>694</v>
      </c>
      <c r="F69" s="30"/>
      <c r="G69" s="58" t="s">
        <v>721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66">3.25</f>
        <v>3.25</v>
      </c>
      <c r="X69" s="373">
        <f t="shared" si="66"/>
        <v>3.25</v>
      </c>
      <c r="Y69" s="373">
        <f t="shared" si="66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59"/>
        <v>0.63072000000000006</v>
      </c>
      <c r="AH69" s="65"/>
      <c r="AI69" s="65">
        <v>2019</v>
      </c>
      <c r="AJ69" s="65">
        <v>20</v>
      </c>
      <c r="AL69" s="100"/>
      <c r="AM69" s="99" t="str">
        <f t="shared" si="60"/>
        <v>R-SH_Att_GAS_N1</v>
      </c>
      <c r="AN69" s="99" t="str">
        <f t="shared" si="61"/>
        <v>Residential Natural Gas Heating - New 1 SH</v>
      </c>
      <c r="AO69" s="100" t="s">
        <v>13</v>
      </c>
      <c r="AP69" s="100" t="s">
        <v>175</v>
      </c>
      <c r="AQ69" s="100"/>
      <c r="AR69" s="100" t="s">
        <v>75</v>
      </c>
    </row>
    <row r="70" spans="3:44" ht="15" x14ac:dyDescent="0.25">
      <c r="C70" s="22" t="str">
        <f>"R-SW_Att"&amp;"_"&amp;RIGHT(E70,3)&amp;"_N1"</f>
        <v>R-SW_Att_GAS_N1</v>
      </c>
      <c r="D70" s="23" t="s">
        <v>99</v>
      </c>
      <c r="E70" s="24" t="s">
        <v>694</v>
      </c>
      <c r="F70" s="24"/>
      <c r="G70" s="57" t="s">
        <v>722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59"/>
        <v>0.7884000000000001</v>
      </c>
      <c r="AH70" s="66"/>
      <c r="AI70" s="66">
        <v>2019</v>
      </c>
      <c r="AJ70" s="66">
        <v>25</v>
      </c>
      <c r="AL70" s="100"/>
      <c r="AM70" s="99" t="str">
        <f t="shared" si="60"/>
        <v>R-SW_Att_GAS_N1</v>
      </c>
      <c r="AN70" s="99" t="str">
        <f t="shared" si="61"/>
        <v>Residential Natural Gas Heating - New 2 SH + WH</v>
      </c>
      <c r="AO70" s="100" t="s">
        <v>13</v>
      </c>
      <c r="AP70" s="100" t="s">
        <v>175</v>
      </c>
      <c r="AQ70" s="100"/>
      <c r="AR70" s="100" t="s">
        <v>75</v>
      </c>
    </row>
    <row r="71" spans="3:44" ht="15" x14ac:dyDescent="0.25">
      <c r="C71" s="40" t="str">
        <f>"R-SW_Att"&amp;"_"&amp;RIGHT(E71,3)&amp;"_N2"</f>
        <v>R-SW_Att_GAS_N2</v>
      </c>
      <c r="D71" s="29" t="s">
        <v>100</v>
      </c>
      <c r="E71" s="30" t="s">
        <v>696</v>
      </c>
      <c r="F71" s="30"/>
      <c r="G71" s="58" t="s">
        <v>722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59"/>
        <v>0.7884000000000001</v>
      </c>
      <c r="AH71" s="65"/>
      <c r="AI71" s="65">
        <v>2019</v>
      </c>
      <c r="AJ71" s="65">
        <v>25</v>
      </c>
      <c r="AL71" s="100"/>
      <c r="AM71" s="99" t="str">
        <f t="shared" si="60"/>
        <v>R-SW_Att_GAS_N2</v>
      </c>
      <c r="AN71" s="99" t="str">
        <f t="shared" si="61"/>
        <v>Residential Natural Gas Heating - New 3 SH + WH + Solar</v>
      </c>
      <c r="AO71" s="100" t="s">
        <v>13</v>
      </c>
      <c r="AP71" s="100" t="s">
        <v>175</v>
      </c>
      <c r="AQ71" s="100"/>
      <c r="AR71" s="100" t="s">
        <v>75</v>
      </c>
    </row>
    <row r="72" spans="3:44" ht="15" x14ac:dyDescent="0.25">
      <c r="C72" s="22" t="str">
        <f>"R-SW_Att"&amp;"_"&amp;RIGHT(E72,3)&amp;"_N3"</f>
        <v>R-SW_Att_GAS_N3</v>
      </c>
      <c r="D72" s="23" t="s">
        <v>101</v>
      </c>
      <c r="E72" s="24" t="s">
        <v>697</v>
      </c>
      <c r="F72" s="24"/>
      <c r="G72" s="57" t="s">
        <v>722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59"/>
        <v>0.7884000000000001</v>
      </c>
      <c r="AH72" s="66"/>
      <c r="AI72" s="66">
        <v>2019</v>
      </c>
      <c r="AJ72" s="66">
        <v>25</v>
      </c>
      <c r="AL72" s="100"/>
      <c r="AM72" s="99" t="str">
        <f t="shared" si="60"/>
        <v>R-SW_Att_GAS_N3</v>
      </c>
      <c r="AN72" s="99" t="str">
        <f t="shared" si="61"/>
        <v>Residential Natural Gas Heating - New 4 SH + WH + Wood Stove</v>
      </c>
      <c r="AO72" s="100" t="s">
        <v>13</v>
      </c>
      <c r="AP72" s="100" t="s">
        <v>175</v>
      </c>
      <c r="AQ72" s="100"/>
      <c r="AR72" s="100" t="s">
        <v>75</v>
      </c>
    </row>
    <row r="73" spans="3:44" ht="15" x14ac:dyDescent="0.25">
      <c r="C73" s="40" t="str">
        <f>"R-SH_Att"&amp;"_"&amp;RIGHT(E73,3)&amp;"_N1"</f>
        <v>R-SH_Att_LPG_N1</v>
      </c>
      <c r="D73" s="29" t="s">
        <v>103</v>
      </c>
      <c r="E73" s="30" t="s">
        <v>260</v>
      </c>
      <c r="F73" s="30"/>
      <c r="G73" s="58" t="s">
        <v>721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59"/>
        <v>0.63072000000000006</v>
      </c>
      <c r="AH73" s="65"/>
      <c r="AI73" s="65">
        <v>2019</v>
      </c>
      <c r="AJ73" s="65">
        <v>20</v>
      </c>
      <c r="AL73" s="100"/>
      <c r="AM73" s="99" t="str">
        <f t="shared" si="60"/>
        <v>R-SH_Att_LPG_N1</v>
      </c>
      <c r="AN73" s="99" t="str">
        <f t="shared" si="61"/>
        <v>Residential Liquid Petroleum Gas- New 1 SH</v>
      </c>
      <c r="AO73" s="100" t="s">
        <v>13</v>
      </c>
      <c r="AP73" s="100" t="s">
        <v>175</v>
      </c>
      <c r="AQ73" s="100"/>
      <c r="AR73" s="100" t="s">
        <v>75</v>
      </c>
    </row>
    <row r="74" spans="3:44" ht="15" x14ac:dyDescent="0.25">
      <c r="C74" s="22" t="str">
        <f>"R-SW_Att"&amp;"_"&amp;RIGHT(E74,3)&amp;"_N1"</f>
        <v>R-SW_Att_LPG_N1</v>
      </c>
      <c r="D74" s="23" t="s">
        <v>104</v>
      </c>
      <c r="E74" s="24" t="s">
        <v>260</v>
      </c>
      <c r="F74" s="24"/>
      <c r="G74" s="57" t="s">
        <v>722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59"/>
        <v>0.7884000000000001</v>
      </c>
      <c r="AH74" s="66"/>
      <c r="AI74" s="66">
        <v>2019</v>
      </c>
      <c r="AJ74" s="66">
        <v>25</v>
      </c>
      <c r="AL74" s="100"/>
      <c r="AM74" s="206" t="str">
        <f t="shared" si="60"/>
        <v>R-SW_Att_LPG_N1</v>
      </c>
      <c r="AN74" s="206" t="str">
        <f t="shared" si="61"/>
        <v>Residential Liquid Petroleum Gas- New 2 SH + WH</v>
      </c>
      <c r="AO74" s="100" t="s">
        <v>13</v>
      </c>
      <c r="AP74" s="100" t="s">
        <v>175</v>
      </c>
      <c r="AQ74" s="100"/>
      <c r="AR74" s="100" t="s">
        <v>75</v>
      </c>
    </row>
    <row r="75" spans="3:44" ht="15" x14ac:dyDescent="0.25">
      <c r="C75" s="40" t="str">
        <f>"R-SH_Att"&amp;"_"&amp;RIGHT(E75,3)&amp;"_N1"</f>
        <v>R-SH_Att_WOO_N1</v>
      </c>
      <c r="D75" s="29" t="s">
        <v>105</v>
      </c>
      <c r="E75" s="30" t="s">
        <v>263</v>
      </c>
      <c r="F75" s="30"/>
      <c r="G75" s="58" t="s">
        <v>721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59"/>
        <v>0.63072000000000006</v>
      </c>
      <c r="AH75" s="65"/>
      <c r="AI75" s="65">
        <v>2019</v>
      </c>
      <c r="AJ75" s="65">
        <v>20</v>
      </c>
      <c r="AL75" s="100"/>
      <c r="AM75" s="206" t="str">
        <f t="shared" si="60"/>
        <v>R-SH_Att_WOO_N1</v>
      </c>
      <c r="AN75" s="206" t="str">
        <f t="shared" si="61"/>
        <v>Residential Biomass Boiler - New 1 SH</v>
      </c>
      <c r="AO75" s="100" t="s">
        <v>13</v>
      </c>
      <c r="AP75" s="100" t="s">
        <v>175</v>
      </c>
      <c r="AQ75" s="100"/>
      <c r="AR75" s="100" t="s">
        <v>75</v>
      </c>
    </row>
    <row r="76" spans="3:44" ht="15" x14ac:dyDescent="0.25">
      <c r="C76" s="22" t="str">
        <f>"R-SW_Att"&amp;"_"&amp;RIGHT(E76,3)&amp;"_N1"</f>
        <v>R-SW_Att_WOO_N1</v>
      </c>
      <c r="D76" s="23" t="s">
        <v>106</v>
      </c>
      <c r="E76" s="24" t="s">
        <v>263</v>
      </c>
      <c r="F76" s="24"/>
      <c r="G76" s="57" t="s">
        <v>722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59"/>
        <v>0.7884000000000001</v>
      </c>
      <c r="AH76" s="66"/>
      <c r="AI76" s="66">
        <v>2019</v>
      </c>
      <c r="AJ76" s="66">
        <v>25</v>
      </c>
      <c r="AL76" s="100"/>
      <c r="AM76" s="206" t="str">
        <f t="shared" si="60"/>
        <v>R-SW_Att_WOO_N1</v>
      </c>
      <c r="AN76" s="206" t="str">
        <f t="shared" si="61"/>
        <v>Residential Biomass Boiler - New 2 SH + WH</v>
      </c>
      <c r="AO76" s="100" t="s">
        <v>13</v>
      </c>
      <c r="AP76" s="100" t="s">
        <v>175</v>
      </c>
      <c r="AQ76" s="100"/>
      <c r="AR76" s="100" t="s">
        <v>75</v>
      </c>
    </row>
    <row r="77" spans="3:44" ht="15" x14ac:dyDescent="0.25">
      <c r="C77" s="40" t="str">
        <f>"R-SH_Att"&amp;"_"&amp;"FPL"&amp;"_N1"</f>
        <v>R-SH_Att_FPL_N1</v>
      </c>
      <c r="D77" s="29" t="s">
        <v>563</v>
      </c>
      <c r="E77" s="30" t="s">
        <v>560</v>
      </c>
      <c r="F77" s="30"/>
      <c r="G77" s="58" t="s">
        <v>721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59"/>
        <v>0.63072000000000006</v>
      </c>
      <c r="AH77" s="66"/>
      <c r="AI77" s="65">
        <v>2019</v>
      </c>
      <c r="AJ77" s="66">
        <v>20</v>
      </c>
      <c r="AL77" s="100"/>
      <c r="AM77" s="206" t="s">
        <v>561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R77" s="100"/>
    </row>
    <row r="78" spans="3:44" ht="15" x14ac:dyDescent="0.25">
      <c r="C78" s="22" t="str">
        <f>"R-SW_Att"&amp;"_"&amp;"FPL"&amp;"_N1"</f>
        <v>R-SW_Att_FPL_N1</v>
      </c>
      <c r="D78" s="23" t="s">
        <v>564</v>
      </c>
      <c r="E78" s="24" t="s">
        <v>560</v>
      </c>
      <c r="F78" s="24"/>
      <c r="G78" s="57" t="s">
        <v>722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6">
        <v>0.12</v>
      </c>
      <c r="AA78" s="66"/>
      <c r="AB78" s="44"/>
      <c r="AC78" s="72"/>
      <c r="AD78" s="72"/>
      <c r="AE78" s="72"/>
      <c r="AF78" s="72"/>
      <c r="AG78" s="63">
        <f t="shared" si="59"/>
        <v>0.63072000000000006</v>
      </c>
      <c r="AH78" s="66"/>
      <c r="AI78" s="66">
        <v>2019</v>
      </c>
      <c r="AJ78" s="66">
        <v>20</v>
      </c>
      <c r="AL78" s="100"/>
      <c r="AM78" s="206" t="s">
        <v>562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R78" s="100"/>
    </row>
    <row r="79" spans="3:44" ht="15" x14ac:dyDescent="0.25">
      <c r="C79" s="40" t="s">
        <v>565</v>
      </c>
      <c r="D79" s="29" t="s">
        <v>256</v>
      </c>
      <c r="E79" s="30" t="s">
        <v>265</v>
      </c>
      <c r="F79" s="30"/>
      <c r="G79" s="58" t="s">
        <v>721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R79" s="100" t="s">
        <v>75</v>
      </c>
    </row>
    <row r="80" spans="3:44" ht="15" x14ac:dyDescent="0.25">
      <c r="C80" s="22" t="s">
        <v>566</v>
      </c>
      <c r="D80" s="23" t="s">
        <v>526</v>
      </c>
      <c r="E80" s="24" t="s">
        <v>265</v>
      </c>
      <c r="F80" s="24"/>
      <c r="G80" s="57" t="s">
        <v>722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46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59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R80" s="100" t="s">
        <v>75</v>
      </c>
    </row>
    <row r="81" spans="3:45" ht="15" x14ac:dyDescent="0.25">
      <c r="C81" s="33" t="s">
        <v>270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R81" s="100" t="s">
        <v>75</v>
      </c>
    </row>
    <row r="82" spans="3:45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721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(JRC_Data!BB48/1000)*($U$222/$U$221)</f>
        <v>4.0495867768595044</v>
      </c>
      <c r="W82" s="78">
        <f>(JRC_Data!BC48/1000)*($U$222/$U$221)</f>
        <v>4.0495867768595044</v>
      </c>
      <c r="X82" s="78">
        <f>(JRC_Data!BD48/1000)*($U$222/$U$221)</f>
        <v>4.0495867768595044</v>
      </c>
      <c r="Y82" s="78">
        <f>(JRC_Data!BE48/1000)*($U$222/$U$221)</f>
        <v>4.0495867768595044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59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80">C84</f>
        <v>R-SH_Att_ELC_HPN1</v>
      </c>
      <c r="AN82" s="206" t="str">
        <f t="shared" si="80"/>
        <v>Residential Electric Heat Pump - Air to Air - SH</v>
      </c>
      <c r="AO82" s="100" t="s">
        <v>13</v>
      </c>
      <c r="AP82" s="100" t="s">
        <v>175</v>
      </c>
      <c r="AQ82" s="100"/>
      <c r="AR82" s="100" t="s">
        <v>75</v>
      </c>
    </row>
    <row r="83" spans="3:45" ht="15" x14ac:dyDescent="0.25">
      <c r="C83" s="33" t="s">
        <v>271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R-HC_Att_ELC_HPN1</v>
      </c>
      <c r="AN83" s="206" t="str">
        <f t="shared" si="80"/>
        <v>Residential Electric Heat Pump - Air to Air - SH + SC</v>
      </c>
      <c r="AO83" s="100" t="s">
        <v>13</v>
      </c>
      <c r="AP83" s="100" t="s">
        <v>175</v>
      </c>
      <c r="AQ83" s="100"/>
      <c r="AR83" s="100" t="s">
        <v>75</v>
      </c>
    </row>
    <row r="84" spans="3:45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558</v>
      </c>
      <c r="G84" s="20" t="s">
        <v>721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59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R-SH_Att_ELC_HPN2-AB</v>
      </c>
      <c r="AN84" s="206" t="str">
        <f t="shared" si="80"/>
        <v>Residential Electric Heat Pump - Air to Water - SH - AB rated dwelling</v>
      </c>
      <c r="AO84" s="100" t="s">
        <v>13</v>
      </c>
      <c r="AP84" s="100" t="s">
        <v>175</v>
      </c>
      <c r="AQ84" s="100"/>
      <c r="AR84" s="100" t="s">
        <v>75</v>
      </c>
    </row>
    <row r="85" spans="3:45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558</v>
      </c>
      <c r="G85" s="23" t="s">
        <v>723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59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R-SH_Att_ELC_HPN2-C</v>
      </c>
      <c r="AN85" s="206" t="str">
        <f t="shared" si="80"/>
        <v>Residential Electric Heat Pump - Air to Water - SH - C rated dwelling</v>
      </c>
      <c r="AO85" s="100" t="s">
        <v>13</v>
      </c>
      <c r="AP85" s="100" t="s">
        <v>175</v>
      </c>
      <c r="AQ85" s="100"/>
      <c r="AR85" s="100" t="s">
        <v>75</v>
      </c>
      <c r="AS85" s="4"/>
    </row>
    <row r="86" spans="3:45" ht="15" x14ac:dyDescent="0.25">
      <c r="C86" s="19" t="str">
        <f>"R-SH_Att"&amp;"_"&amp;RIGHT(E86,3)&amp;"_HPN2-AB"</f>
        <v>R-SH_Att_ELC_HPN2-AB</v>
      </c>
      <c r="D86" s="88" t="s">
        <v>703</v>
      </c>
      <c r="E86" s="88" t="s">
        <v>148</v>
      </c>
      <c r="F86" s="88" t="s">
        <v>558</v>
      </c>
      <c r="G86" s="88" t="s">
        <v>727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10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59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R-SH_Att_ELC_HPN2-D</v>
      </c>
      <c r="AN86" s="206" t="str">
        <f t="shared" si="80"/>
        <v>Residential Electric Heat Pump - Air to Water - SH - Drated dwelling</v>
      </c>
      <c r="AO86" s="100" t="s">
        <v>13</v>
      </c>
      <c r="AP86" s="100" t="s">
        <v>175</v>
      </c>
      <c r="AQ86" s="100"/>
      <c r="AR86" s="100" t="s">
        <v>75</v>
      </c>
      <c r="AS86" s="4"/>
    </row>
    <row r="87" spans="3:45" ht="15" x14ac:dyDescent="0.25">
      <c r="C87" s="22" t="str">
        <f>"R-SH_Att"&amp;"_"&amp;RIGHT(E87,3)&amp;"_HPN2-C"</f>
        <v>R-SH_Att_ELC_HPN2-C</v>
      </c>
      <c r="D87" s="24" t="s">
        <v>704</v>
      </c>
      <c r="E87" s="24" t="s">
        <v>148</v>
      </c>
      <c r="F87" s="24" t="s">
        <v>558</v>
      </c>
      <c r="G87" s="24" t="s">
        <v>749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11">
        <v>20</v>
      </c>
      <c r="U87" s="23"/>
      <c r="V87" s="22">
        <f>V21/$V$20*$V$86</f>
        <v>8.5299999999999994</v>
      </c>
      <c r="W87" s="23">
        <f t="shared" ref="V87:Y91" si="82">W21/$V$20*$V$86</f>
        <v>8.5299999999999994</v>
      </c>
      <c r="X87" s="23">
        <f t="shared" si="82"/>
        <v>7.6769999999999987</v>
      </c>
      <c r="Y87" s="57">
        <f t="shared" si="82"/>
        <v>7.6769999999999987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59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R-SH_Att_ELC_HPN2-E</v>
      </c>
      <c r="AN87" s="206" t="str">
        <f t="shared" si="80"/>
        <v>Residential Electric Heat Pump - Air to Water - SH - E rated dwelling</v>
      </c>
      <c r="AO87" s="100" t="s">
        <v>13</v>
      </c>
      <c r="AP87" s="100" t="s">
        <v>175</v>
      </c>
      <c r="AQ87" s="100"/>
      <c r="AR87" s="100" t="s">
        <v>75</v>
      </c>
      <c r="AS87" s="4"/>
    </row>
    <row r="88" spans="3:45" ht="15" x14ac:dyDescent="0.25">
      <c r="C88" s="40" t="str">
        <f>"R-SH_Att"&amp;"_"&amp;RIGHT(E88,3)&amp;"_HPN2-D"</f>
        <v>R-SH_Att_ELC_HPN2-D</v>
      </c>
      <c r="D88" s="30" t="s">
        <v>754</v>
      </c>
      <c r="E88" s="30" t="s">
        <v>148</v>
      </c>
      <c r="F88" s="30" t="s">
        <v>558</v>
      </c>
      <c r="G88" s="30" t="s">
        <v>750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12">
        <v>20</v>
      </c>
      <c r="U88" s="29"/>
      <c r="V88" s="40">
        <f t="shared" si="82"/>
        <v>8.5299999999999994</v>
      </c>
      <c r="W88" s="29">
        <f t="shared" si="82"/>
        <v>8.5299999999999994</v>
      </c>
      <c r="X88" s="29">
        <f t="shared" si="82"/>
        <v>7.6769999999999987</v>
      </c>
      <c r="Y88" s="58">
        <f t="shared" si="82"/>
        <v>7.6769999999999987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59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R-SH_Att_ELC_HPN2-F</v>
      </c>
      <c r="AN88" s="206" t="str">
        <f t="shared" si="80"/>
        <v>Residential Electric Heat Pump - Air to Water - SH - F rated dwelling</v>
      </c>
      <c r="AO88" s="100" t="s">
        <v>13</v>
      </c>
      <c r="AP88" s="100" t="s">
        <v>175</v>
      </c>
      <c r="AQ88" s="100"/>
      <c r="AR88" s="100" t="s">
        <v>75</v>
      </c>
      <c r="AS88" s="4"/>
    </row>
    <row r="89" spans="3:45" ht="15" x14ac:dyDescent="0.25">
      <c r="C89" s="22" t="str">
        <f>"R-SH_Att"&amp;"_"&amp;RIGHT(E89,3)&amp;"_HPN2-E"</f>
        <v>R-SH_Att_ELC_HPN2-E</v>
      </c>
      <c r="D89" s="24" t="s">
        <v>706</v>
      </c>
      <c r="E89" s="24" t="s">
        <v>148</v>
      </c>
      <c r="F89" s="24" t="s">
        <v>558</v>
      </c>
      <c r="G89" s="24" t="s">
        <v>751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11">
        <v>20</v>
      </c>
      <c r="U89" s="23"/>
      <c r="V89" s="22">
        <f t="shared" si="82"/>
        <v>9.7103734818565393</v>
      </c>
      <c r="W89" s="23">
        <f t="shared" si="82"/>
        <v>9.7103734818565393</v>
      </c>
      <c r="X89" s="23">
        <f t="shared" si="82"/>
        <v>8.8573734818565377</v>
      </c>
      <c r="Y89" s="57">
        <f t="shared" si="82"/>
        <v>8.8573734818565377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59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R-SH_Att_ELC_HPN2-G</v>
      </c>
      <c r="AN89" s="206" t="str">
        <f t="shared" si="80"/>
        <v>Residential Electric Heat Pump - Air to Water - SH - G rated dwelling</v>
      </c>
      <c r="AO89" s="100" t="s">
        <v>13</v>
      </c>
      <c r="AP89" s="100" t="s">
        <v>175</v>
      </c>
      <c r="AQ89" s="100"/>
      <c r="AR89" s="100" t="s">
        <v>75</v>
      </c>
      <c r="AS89" s="4"/>
    </row>
    <row r="90" spans="3:45" ht="15" x14ac:dyDescent="0.25">
      <c r="C90" s="40" t="str">
        <f>"R-SH_Att"&amp;"_"&amp;RIGHT(E90,3)&amp;"_HPN2-F"</f>
        <v>R-SH_Att_ELC_HPN2-F</v>
      </c>
      <c r="D90" s="30" t="s">
        <v>707</v>
      </c>
      <c r="E90" s="30" t="s">
        <v>148</v>
      </c>
      <c r="F90" s="30" t="s">
        <v>558</v>
      </c>
      <c r="G90" s="30" t="s">
        <v>752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12">
        <v>20</v>
      </c>
      <c r="U90" s="29"/>
      <c r="V90" s="40">
        <f t="shared" si="82"/>
        <v>9.8579201670886061</v>
      </c>
      <c r="W90" s="29">
        <f t="shared" si="82"/>
        <v>9.8579201670886061</v>
      </c>
      <c r="X90" s="29">
        <f t="shared" si="82"/>
        <v>9.0049201670886081</v>
      </c>
      <c r="Y90" s="58">
        <f t="shared" si="82"/>
        <v>9.0049201670886081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59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R-SW_Att_ELC_HPN1-AB</v>
      </c>
      <c r="AN90" s="206" t="str">
        <f t="shared" si="80"/>
        <v>Residential Electric Heat Pump - Air to Water - SH + WH - AB rated dwelling</v>
      </c>
      <c r="AO90" s="100" t="s">
        <v>13</v>
      </c>
      <c r="AP90" s="100" t="s">
        <v>175</v>
      </c>
      <c r="AQ90" s="100"/>
      <c r="AR90" s="100" t="s">
        <v>75</v>
      </c>
      <c r="AS90" s="4"/>
    </row>
    <row r="91" spans="3:45" ht="15" x14ac:dyDescent="0.25">
      <c r="C91" s="246" t="str">
        <f>"R-SH_Att"&amp;"_"&amp;RIGHT(E91,3)&amp;"_HPN2-G"</f>
        <v>R-SH_Att_ELC_HPN2-G</v>
      </c>
      <c r="D91" s="27" t="s">
        <v>732</v>
      </c>
      <c r="E91" s="27" t="s">
        <v>148</v>
      </c>
      <c r="F91" s="27" t="s">
        <v>558</v>
      </c>
      <c r="G91" s="27" t="s">
        <v>753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4">
        <v>20</v>
      </c>
      <c r="U91" s="26"/>
      <c r="V91" s="246">
        <f t="shared" si="82"/>
        <v>10.005466852320673</v>
      </c>
      <c r="W91" s="26">
        <f t="shared" si="82"/>
        <v>10.005466852320673</v>
      </c>
      <c r="X91" s="26">
        <f t="shared" si="82"/>
        <v>9.1524668523206731</v>
      </c>
      <c r="Y91" s="59">
        <f t="shared" si="82"/>
        <v>9.1524668523206731</v>
      </c>
      <c r="Z91" s="64">
        <v>0.1</v>
      </c>
      <c r="AA91" s="67"/>
      <c r="AB91" s="515"/>
      <c r="AC91" s="515"/>
      <c r="AD91" s="515"/>
      <c r="AE91" s="515"/>
      <c r="AF91" s="49"/>
      <c r="AG91" s="64">
        <f t="shared" si="59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R-SW_Att_ELC_HPN1-C</v>
      </c>
      <c r="AN91" s="206" t="str">
        <f t="shared" si="80"/>
        <v>Residential Electric Heat Pump - Air to Water - SH + WH - C rated dwelling</v>
      </c>
      <c r="AO91" s="100" t="s">
        <v>13</v>
      </c>
      <c r="AP91" s="100" t="s">
        <v>175</v>
      </c>
      <c r="AQ91" s="100"/>
      <c r="AR91" s="100" t="s">
        <v>75</v>
      </c>
      <c r="AS91" s="4"/>
    </row>
    <row r="92" spans="3:45" ht="15" x14ac:dyDescent="0.25">
      <c r="C92" s="19" t="str">
        <f>"R-SW_Att"&amp;"_"&amp;RIGHT(E92,3)&amp;"_HPN1-AB"</f>
        <v>R-SW_Att_ELC_HPN1-AB</v>
      </c>
      <c r="D92" s="88" t="s">
        <v>711</v>
      </c>
      <c r="E92" s="88" t="s">
        <v>148</v>
      </c>
      <c r="F92" s="88" t="s">
        <v>660</v>
      </c>
      <c r="G92" s="88" t="s">
        <v>772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510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59"/>
        <v>0.26805600000000002</v>
      </c>
      <c r="AH92" s="87"/>
      <c r="AI92" s="88">
        <v>2019</v>
      </c>
      <c r="AJ92" s="87">
        <v>8.5</v>
      </c>
      <c r="AL92" s="100"/>
      <c r="AM92" s="206" t="str">
        <f t="shared" si="80"/>
        <v>R-SW_Att_ELC_HPN1-D</v>
      </c>
      <c r="AN92" s="206" t="str">
        <f t="shared" si="80"/>
        <v>Residential Electric Heat Pump - Air to Water - SH + WH - D rated dwelling</v>
      </c>
      <c r="AO92" s="100" t="s">
        <v>13</v>
      </c>
      <c r="AP92" s="100" t="s">
        <v>175</v>
      </c>
      <c r="AQ92" s="100"/>
      <c r="AR92" s="100" t="s">
        <v>75</v>
      </c>
      <c r="AS92" s="4"/>
    </row>
    <row r="93" spans="3:45" ht="15" x14ac:dyDescent="0.25">
      <c r="C93" s="22" t="str">
        <f>"R-SW_Att"&amp;"_"&amp;RIGHT(E93,3)&amp;"_HPN1-C"</f>
        <v>R-SW_Att_ELC_HPN1-C</v>
      </c>
      <c r="D93" s="24" t="s">
        <v>712</v>
      </c>
      <c r="E93" s="24" t="s">
        <v>148</v>
      </c>
      <c r="F93" s="24" t="s">
        <v>660</v>
      </c>
      <c r="G93" s="24" t="s">
        <v>773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511">
        <v>20</v>
      </c>
      <c r="U93" s="57"/>
      <c r="V93" s="22">
        <f t="shared" ref="V93:Y97" si="87">V21/$V$20*$V$92</f>
        <v>8.6019831223628689</v>
      </c>
      <c r="W93" s="23">
        <f t="shared" si="87"/>
        <v>8.6019831223628689</v>
      </c>
      <c r="X93" s="23">
        <f t="shared" si="87"/>
        <v>7.7417848101265809</v>
      </c>
      <c r="Y93" s="57">
        <f t="shared" si="87"/>
        <v>7.7417848101265809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80"/>
        <v>R-SW_Att_ELC_HPN1-E</v>
      </c>
      <c r="AN93" s="206" t="str">
        <f t="shared" si="80"/>
        <v>Residential Electric Heat Pump - Air to Water - SH + WH - E rated dwelling</v>
      </c>
      <c r="AO93" s="100" t="s">
        <v>13</v>
      </c>
      <c r="AP93" s="100" t="s">
        <v>175</v>
      </c>
      <c r="AQ93" s="100"/>
      <c r="AR93" s="100" t="s">
        <v>75</v>
      </c>
    </row>
    <row r="94" spans="3:45" ht="15" x14ac:dyDescent="0.25">
      <c r="C94" s="40" t="str">
        <f>"R-SW_Att"&amp;"_"&amp;RIGHT(E94,3)&amp;"_HPN1-D"</f>
        <v>R-SW_Att_ELC_HPN1-D</v>
      </c>
      <c r="D94" s="30" t="s">
        <v>713</v>
      </c>
      <c r="E94" s="30" t="s">
        <v>148</v>
      </c>
      <c r="F94" s="30" t="s">
        <v>660</v>
      </c>
      <c r="G94" s="30" t="s">
        <v>774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512">
        <v>20</v>
      </c>
      <c r="U94" s="58"/>
      <c r="V94" s="40">
        <f t="shared" si="87"/>
        <v>8.6019831223628689</v>
      </c>
      <c r="W94" s="29">
        <f t="shared" si="87"/>
        <v>8.6019831223628689</v>
      </c>
      <c r="X94" s="29">
        <f t="shared" si="87"/>
        <v>7.7417848101265809</v>
      </c>
      <c r="Y94" s="58">
        <f t="shared" si="87"/>
        <v>7.7417848101265809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59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R-SW_Att_ELC_HPN1-F</v>
      </c>
      <c r="AN94" s="206" t="str">
        <f t="shared" si="80"/>
        <v>Residential Electric Heat Pump - Air to Water - SH + WH - F rated dwelling</v>
      </c>
      <c r="AO94" s="100" t="s">
        <v>13</v>
      </c>
      <c r="AP94" s="100" t="s">
        <v>175</v>
      </c>
      <c r="AQ94" s="100"/>
      <c r="AR94" s="100" t="s">
        <v>75</v>
      </c>
    </row>
    <row r="95" spans="3:45" ht="15" x14ac:dyDescent="0.25">
      <c r="C95" s="22" t="str">
        <f>"R-SW_Att"&amp;"_"&amp;RIGHT(E95,3)&amp;"_HPN1-E"</f>
        <v>R-SW_Att_ELC_HPN1-E</v>
      </c>
      <c r="D95" s="24" t="s">
        <v>714</v>
      </c>
      <c r="E95" s="24" t="s">
        <v>148</v>
      </c>
      <c r="F95" s="24" t="s">
        <v>660</v>
      </c>
      <c r="G95" s="24" t="s">
        <v>775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511">
        <v>20</v>
      </c>
      <c r="U95" s="57"/>
      <c r="V95" s="22">
        <f t="shared" si="87"/>
        <v>9.7923175618722063</v>
      </c>
      <c r="W95" s="23">
        <f t="shared" si="87"/>
        <v>9.7923175618722063</v>
      </c>
      <c r="X95" s="23">
        <f t="shared" si="87"/>
        <v>8.9321192496359192</v>
      </c>
      <c r="Y95" s="57">
        <f t="shared" si="87"/>
        <v>8.9321192496359192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59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R-SW_Att_ELC_HPN1-G</v>
      </c>
      <c r="AN95" s="206" t="str">
        <f t="shared" si="80"/>
        <v>Residential Electric Heat Pump - Air to Water - SH + WH - G rated dwelling</v>
      </c>
      <c r="AO95" s="100" t="s">
        <v>13</v>
      </c>
      <c r="AP95" s="100" t="s">
        <v>175</v>
      </c>
      <c r="AQ95" s="100"/>
      <c r="AR95" s="100" t="s">
        <v>75</v>
      </c>
    </row>
    <row r="96" spans="3:45" ht="15" x14ac:dyDescent="0.25">
      <c r="C96" s="40" t="str">
        <f>"R-SW_Att"&amp;"_"&amp;RIGHT(E96,3)&amp;"_HPN1-F"</f>
        <v>R-SW_Att_ELC_HPN1-F</v>
      </c>
      <c r="D96" s="30" t="s">
        <v>715</v>
      </c>
      <c r="E96" s="30" t="s">
        <v>148</v>
      </c>
      <c r="F96" s="30" t="s">
        <v>660</v>
      </c>
      <c r="G96" s="30" t="s">
        <v>776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512">
        <v>20</v>
      </c>
      <c r="U96" s="58"/>
      <c r="V96" s="40">
        <f t="shared" si="87"/>
        <v>9.9411093668108741</v>
      </c>
      <c r="W96" s="29">
        <f t="shared" si="87"/>
        <v>9.9411093668108741</v>
      </c>
      <c r="X96" s="29">
        <f t="shared" si="87"/>
        <v>9.080911054574587</v>
      </c>
      <c r="Y96" s="58">
        <f t="shared" si="87"/>
        <v>9.080911054574587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59"/>
        <v>0.26805600000000002</v>
      </c>
      <c r="AH96" s="65"/>
      <c r="AI96" s="30">
        <v>2019</v>
      </c>
      <c r="AJ96" s="65">
        <v>8.5</v>
      </c>
      <c r="AL96" s="206"/>
      <c r="AM96" s="206" t="str">
        <f t="shared" si="80"/>
        <v>R-SW_Att_ELC_HPN2-AB</v>
      </c>
      <c r="AN96" s="206" t="str">
        <f t="shared" si="80"/>
        <v>Residential Electric Heat Pump - Air to Water - SH + WH + Solar - AB rated dwelling</v>
      </c>
      <c r="AO96" s="100" t="s">
        <v>13</v>
      </c>
      <c r="AP96" s="100" t="s">
        <v>175</v>
      </c>
      <c r="AQ96" s="100"/>
      <c r="AR96" s="100" t="s">
        <v>75</v>
      </c>
    </row>
    <row r="97" spans="3:44" ht="15" x14ac:dyDescent="0.25">
      <c r="C97" s="246" t="str">
        <f>"R-SW_Att"&amp;"_"&amp;RIGHT(E97,3)&amp;"_HPN1-G"</f>
        <v>R-SW_Att_ELC_HPN1-G</v>
      </c>
      <c r="D97" s="27" t="s">
        <v>734</v>
      </c>
      <c r="E97" s="27" t="s">
        <v>148</v>
      </c>
      <c r="F97" s="27" t="s">
        <v>660</v>
      </c>
      <c r="G97" s="27" t="s">
        <v>777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514">
        <v>20</v>
      </c>
      <c r="U97" s="59"/>
      <c r="V97" s="246">
        <f t="shared" si="87"/>
        <v>10.08990117174954</v>
      </c>
      <c r="W97" s="26">
        <f t="shared" si="87"/>
        <v>10.08990117174954</v>
      </c>
      <c r="X97" s="26">
        <f t="shared" si="87"/>
        <v>9.2297028595132531</v>
      </c>
      <c r="Y97" s="59">
        <f t="shared" si="87"/>
        <v>9.2297028595132531</v>
      </c>
      <c r="Z97" s="64">
        <v>0.1</v>
      </c>
      <c r="AA97" s="67"/>
      <c r="AB97" s="515"/>
      <c r="AC97" s="515"/>
      <c r="AD97" s="515"/>
      <c r="AE97" s="515"/>
      <c r="AF97" s="49"/>
      <c r="AG97" s="64">
        <f t="shared" si="59"/>
        <v>0.26805600000000002</v>
      </c>
      <c r="AH97" s="67"/>
      <c r="AI97" s="27">
        <v>2019</v>
      </c>
      <c r="AJ97" s="67">
        <v>8.5</v>
      </c>
      <c r="AL97" s="206"/>
      <c r="AM97" s="206" t="str">
        <f t="shared" si="80"/>
        <v>R-SW_Att_ELC_HPN2-C</v>
      </c>
      <c r="AN97" s="206" t="str">
        <f t="shared" si="80"/>
        <v>Residential Electric Heat Pump - Air to Water - SH + WH + Solar - C rated dwelling</v>
      </c>
      <c r="AO97" s="100" t="s">
        <v>13</v>
      </c>
      <c r="AP97" s="100" t="s">
        <v>175</v>
      </c>
      <c r="AQ97" s="100"/>
      <c r="AR97" s="100" t="s">
        <v>75</v>
      </c>
    </row>
    <row r="98" spans="3:44" ht="15" x14ac:dyDescent="0.25">
      <c r="C98" s="19" t="str">
        <f>"R-SW_Att"&amp;"_"&amp;RIGHT(E98,3)&amp;"_HPN2-AB"</f>
        <v>R-SW_Att_ELC_HPN2-AB</v>
      </c>
      <c r="D98" s="88" t="s">
        <v>755</v>
      </c>
      <c r="E98" s="88" t="s">
        <v>550</v>
      </c>
      <c r="F98" s="88" t="s">
        <v>660</v>
      </c>
      <c r="G98" s="88" t="s">
        <v>772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510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34">
        <v>5</v>
      </c>
      <c r="AG98" s="84">
        <f t="shared" si="59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88">C100</f>
        <v>R-SW_Att_ELC_HPN2-D</v>
      </c>
      <c r="AN98" s="206" t="str">
        <f t="shared" si="88"/>
        <v>Residential Electric Heat Pump - Air to Water - SH + WH + Solar - D rated dwelling</v>
      </c>
      <c r="AO98" s="100" t="s">
        <v>13</v>
      </c>
      <c r="AP98" s="100" t="s">
        <v>175</v>
      </c>
      <c r="AQ98" s="100"/>
      <c r="AR98" s="100" t="s">
        <v>75</v>
      </c>
    </row>
    <row r="99" spans="3:44" ht="15" x14ac:dyDescent="0.25">
      <c r="C99" s="22" t="str">
        <f>"R-SW_Att"&amp;"_"&amp;RIGHT(E99,3)&amp;"_HPN2-C"</f>
        <v>R-SW_Att_ELC_HPN2-C</v>
      </c>
      <c r="D99" s="24" t="s">
        <v>756</v>
      </c>
      <c r="E99" s="24" t="s">
        <v>550</v>
      </c>
      <c r="F99" s="24" t="s">
        <v>660</v>
      </c>
      <c r="G99" s="24" t="s">
        <v>773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511">
        <v>20</v>
      </c>
      <c r="U99" s="23"/>
      <c r="V99" s="22">
        <f t="shared" ref="V99:Y103" si="90">V21/$V$20*$V$98</f>
        <v>13.282644628099174</v>
      </c>
      <c r="W99" s="23">
        <f t="shared" si="90"/>
        <v>13.282644628099174</v>
      </c>
      <c r="X99" s="23">
        <f t="shared" si="90"/>
        <v>11.954380165289255</v>
      </c>
      <c r="Y99" s="57">
        <f t="shared" si="90"/>
        <v>11.954380165289255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35">
        <v>5</v>
      </c>
      <c r="AG99" s="63">
        <f t="shared" si="59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R-SW_Att_ELC_HPN2-E</v>
      </c>
      <c r="AN99" s="206" t="str">
        <f t="shared" si="88"/>
        <v>Residential Electric Heat Pump - Air to Water - SH + WH + Solar - E rated dwelling</v>
      </c>
      <c r="AO99" s="100" t="s">
        <v>13</v>
      </c>
      <c r="AP99" s="100" t="s">
        <v>175</v>
      </c>
      <c r="AQ99" s="100"/>
      <c r="AR99" s="100" t="s">
        <v>75</v>
      </c>
    </row>
    <row r="100" spans="3:44" ht="15" x14ac:dyDescent="0.25">
      <c r="C100" s="40" t="str">
        <f>"R-SW_Att"&amp;"_"&amp;RIGHT(E100,3)&amp;"_HPN2-D"</f>
        <v>R-SW_Att_ELC_HPN2-D</v>
      </c>
      <c r="D100" s="30" t="s">
        <v>757</v>
      </c>
      <c r="E100" s="30" t="s">
        <v>550</v>
      </c>
      <c r="F100" s="30" t="s">
        <v>660</v>
      </c>
      <c r="G100" s="30" t="s">
        <v>774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512">
        <v>20</v>
      </c>
      <c r="U100" s="29"/>
      <c r="V100" s="40">
        <f t="shared" si="90"/>
        <v>13.282644628099174</v>
      </c>
      <c r="W100" s="29">
        <f t="shared" si="90"/>
        <v>13.282644628099174</v>
      </c>
      <c r="X100" s="29">
        <f t="shared" si="90"/>
        <v>11.954380165289255</v>
      </c>
      <c r="Y100" s="58">
        <f t="shared" si="90"/>
        <v>11.954380165289255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36">
        <v>5</v>
      </c>
      <c r="AG100" s="62">
        <f t="shared" si="59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R-SW_Att_ELC_HPN2-F</v>
      </c>
      <c r="AN100" s="206" t="str">
        <f t="shared" si="88"/>
        <v>Residential Electric Heat Pump - Air to Water - SH + WH + Solar - F rated dwelling</v>
      </c>
      <c r="AO100" s="100" t="s">
        <v>13</v>
      </c>
      <c r="AP100" s="100" t="s">
        <v>175</v>
      </c>
      <c r="AQ100" s="100"/>
      <c r="AR100" s="100" t="s">
        <v>75</v>
      </c>
    </row>
    <row r="101" spans="3:44" ht="15" x14ac:dyDescent="0.25">
      <c r="C101" s="22" t="str">
        <f>"R-SW_Att"&amp;"_"&amp;RIGHT(E101,3)&amp;"_HPN2-E"</f>
        <v>R-SW_Att_ELC_HPN2-E</v>
      </c>
      <c r="D101" s="24" t="s">
        <v>758</v>
      </c>
      <c r="E101" s="24" t="s">
        <v>550</v>
      </c>
      <c r="F101" s="24" t="s">
        <v>660</v>
      </c>
      <c r="G101" s="24" t="s">
        <v>775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511">
        <v>20</v>
      </c>
      <c r="U101" s="23"/>
      <c r="V101" s="22">
        <f t="shared" si="90"/>
        <v>15.120684661854447</v>
      </c>
      <c r="W101" s="23">
        <f t="shared" si="90"/>
        <v>15.120684661854447</v>
      </c>
      <c r="X101" s="23">
        <f t="shared" si="90"/>
        <v>13.79242019904453</v>
      </c>
      <c r="Y101" s="57">
        <f t="shared" si="90"/>
        <v>13.79242019904453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35">
        <v>5</v>
      </c>
      <c r="AG101" s="63">
        <f t="shared" si="59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R-SW_Att_ELC_HPN2-G</v>
      </c>
      <c r="AN101" s="206" t="str">
        <f t="shared" si="88"/>
        <v>Residential Electric Heat Pump - Air to Water - SH + WH + Solar - G rated dwelling</v>
      </c>
      <c r="AO101" s="100" t="s">
        <v>13</v>
      </c>
      <c r="AP101" s="100" t="s">
        <v>175</v>
      </c>
      <c r="AQ101" s="100"/>
      <c r="AR101" s="100" t="s">
        <v>75</v>
      </c>
    </row>
    <row r="102" spans="3:44" ht="15" x14ac:dyDescent="0.25">
      <c r="C102" s="40" t="str">
        <f>"R-SW_Att"&amp;"_"&amp;RIGHT(E102,3)&amp;"_HPN2-F"</f>
        <v>R-SW_Att_ELC_HPN2-F</v>
      </c>
      <c r="D102" s="30" t="s">
        <v>759</v>
      </c>
      <c r="E102" s="30" t="s">
        <v>550</v>
      </c>
      <c r="F102" s="30" t="s">
        <v>660</v>
      </c>
      <c r="G102" s="30" t="s">
        <v>776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512">
        <v>20</v>
      </c>
      <c r="U102" s="29"/>
      <c r="V102" s="40">
        <f t="shared" si="90"/>
        <v>15.350439666073857</v>
      </c>
      <c r="W102" s="29">
        <f t="shared" si="90"/>
        <v>15.350439666073857</v>
      </c>
      <c r="X102" s="29">
        <f t="shared" si="90"/>
        <v>14.022175203263942</v>
      </c>
      <c r="Y102" s="58">
        <f t="shared" si="90"/>
        <v>14.022175203263942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36">
        <v>5</v>
      </c>
      <c r="AG102" s="62">
        <f t="shared" si="59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R-SH_Att_ELC_HPN3-AB</v>
      </c>
      <c r="AN102" s="206" t="str">
        <f t="shared" si="88"/>
        <v>Residential Electric Heat Pump - Ground to Water - SH - AB rated dwelling</v>
      </c>
      <c r="AO102" s="100" t="s">
        <v>13</v>
      </c>
      <c r="AP102" s="100" t="s">
        <v>175</v>
      </c>
      <c r="AQ102" s="100"/>
      <c r="AR102" s="100" t="s">
        <v>75</v>
      </c>
    </row>
    <row r="103" spans="3:44" ht="15" x14ac:dyDescent="0.25">
      <c r="C103" s="246" t="str">
        <f>"R-SW_Att"&amp;"_"&amp;RIGHT(E103,3)&amp;"_HPN2-G"</f>
        <v>R-SW_Att_ELC_HPN2-G</v>
      </c>
      <c r="D103" s="27" t="s">
        <v>760</v>
      </c>
      <c r="E103" s="27" t="s">
        <v>550</v>
      </c>
      <c r="F103" s="27" t="s">
        <v>660</v>
      </c>
      <c r="G103" s="27" t="s">
        <v>777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514">
        <v>20</v>
      </c>
      <c r="U103" s="26"/>
      <c r="V103" s="246">
        <f t="shared" si="90"/>
        <v>15.580194670293265</v>
      </c>
      <c r="W103" s="26">
        <f t="shared" si="90"/>
        <v>15.580194670293265</v>
      </c>
      <c r="X103" s="26">
        <f t="shared" si="90"/>
        <v>14.251930207483348</v>
      </c>
      <c r="Y103" s="59">
        <f t="shared" si="90"/>
        <v>14.251930207483348</v>
      </c>
      <c r="Z103" s="64">
        <f>((JRC_Data!BL18+JRC_Data!BL45)*0.8)/1000</f>
        <v>0.16960000000000003</v>
      </c>
      <c r="AA103" s="67"/>
      <c r="AB103" s="515">
        <v>0.66</v>
      </c>
      <c r="AC103" s="515"/>
      <c r="AD103" s="515"/>
      <c r="AE103" s="515"/>
      <c r="AF103" s="535">
        <v>5</v>
      </c>
      <c r="AG103" s="64">
        <f t="shared" si="59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R-SH_Att_ELC_HPN3-C</v>
      </c>
      <c r="AN103" s="206" t="str">
        <f t="shared" si="88"/>
        <v>Residential Electric Heat Pump - Ground to Water - SH - C rated dwelling</v>
      </c>
      <c r="AO103" s="100" t="s">
        <v>13</v>
      </c>
      <c r="AP103" s="100" t="s">
        <v>175</v>
      </c>
      <c r="AQ103" s="100"/>
      <c r="AR103" s="100" t="s">
        <v>75</v>
      </c>
    </row>
    <row r="104" spans="3:44" ht="15" x14ac:dyDescent="0.25">
      <c r="C104" s="19" t="str">
        <f>"R-SH_Att"&amp;"_"&amp;RIGHT(E104,3)&amp;"_HPN3-AB"</f>
        <v>R-SH_Att_ELC_HPN3-AB</v>
      </c>
      <c r="D104" s="88" t="s">
        <v>736</v>
      </c>
      <c r="E104" s="88" t="s">
        <v>148</v>
      </c>
      <c r="F104" s="88" t="s">
        <v>558</v>
      </c>
      <c r="G104" s="88" t="s">
        <v>727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10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59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R-SH_Att_ELC_HPN3-D</v>
      </c>
      <c r="AN104" s="206" t="str">
        <f t="shared" si="88"/>
        <v>Residential Electric Heat Pump - Ground to Water - SH - D rated dwelling</v>
      </c>
      <c r="AO104" s="100" t="s">
        <v>13</v>
      </c>
      <c r="AP104" s="100" t="s">
        <v>175</v>
      </c>
      <c r="AQ104" s="100"/>
      <c r="AR104" s="100" t="s">
        <v>75</v>
      </c>
    </row>
    <row r="105" spans="3:44" ht="15" x14ac:dyDescent="0.25">
      <c r="C105" s="22" t="str">
        <f>"R-SH_Att"&amp;"_"&amp;RIGHT(E105,3)&amp;"_HPN3-C"</f>
        <v>R-SH_Att_ELC_HPN3-C</v>
      </c>
      <c r="D105" s="24" t="s">
        <v>737</v>
      </c>
      <c r="E105" s="24" t="s">
        <v>148</v>
      </c>
      <c r="F105" s="24" t="s">
        <v>558</v>
      </c>
      <c r="G105" s="24" t="s">
        <v>749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11">
        <v>20</v>
      </c>
      <c r="U105" s="57"/>
      <c r="V105" s="22">
        <f t="shared" ref="V105:Y109" si="91">V21/$V$20*$V$104</f>
        <v>13.828571428571429</v>
      </c>
      <c r="W105" s="23">
        <f t="shared" si="91"/>
        <v>13.828571428571429</v>
      </c>
      <c r="X105" s="23">
        <f t="shared" si="91"/>
        <v>12.445714285714285</v>
      </c>
      <c r="Y105" s="57">
        <f t="shared" si="91"/>
        <v>12.445714285714285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59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R-SH_Att_ELC_HPN3-E</v>
      </c>
      <c r="AN105" s="206" t="str">
        <f t="shared" si="88"/>
        <v>Residential Electric Heat Pump - Ground to Water - SH - E rated dwelling</v>
      </c>
      <c r="AO105" s="100" t="s">
        <v>13</v>
      </c>
      <c r="AP105" s="100" t="s">
        <v>175</v>
      </c>
      <c r="AQ105" s="100"/>
      <c r="AR105" s="100" t="s">
        <v>75</v>
      </c>
    </row>
    <row r="106" spans="3:44" ht="15" x14ac:dyDescent="0.25">
      <c r="C106" s="40" t="str">
        <f>"R-SH_Att"&amp;"_"&amp;RIGHT(E106,3)&amp;"_HPN3-D"</f>
        <v>R-SH_Att_ELC_HPN3-D</v>
      </c>
      <c r="D106" s="30" t="s">
        <v>738</v>
      </c>
      <c r="E106" s="30" t="s">
        <v>148</v>
      </c>
      <c r="F106" s="30" t="s">
        <v>558</v>
      </c>
      <c r="G106" s="30" t="s">
        <v>750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12">
        <v>20</v>
      </c>
      <c r="U106" s="58"/>
      <c r="V106" s="40">
        <f t="shared" si="91"/>
        <v>13.828571428571429</v>
      </c>
      <c r="W106" s="29">
        <f t="shared" si="91"/>
        <v>13.828571428571429</v>
      </c>
      <c r="X106" s="29">
        <f t="shared" si="91"/>
        <v>12.445714285714285</v>
      </c>
      <c r="Y106" s="58">
        <f t="shared" si="91"/>
        <v>12.445714285714285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59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R-SH_Att_ELC_HPN3-F</v>
      </c>
      <c r="AN106" s="206" t="str">
        <f t="shared" si="88"/>
        <v>Residential Electric Heat Pump - Ground to Water - SH - F rated dwelling</v>
      </c>
      <c r="AO106" s="100" t="s">
        <v>13</v>
      </c>
      <c r="AP106" s="100" t="s">
        <v>175</v>
      </c>
      <c r="AQ106" s="100"/>
      <c r="AR106" s="100" t="s">
        <v>75</v>
      </c>
    </row>
    <row r="107" spans="3:44" ht="15" x14ac:dyDescent="0.25">
      <c r="C107" s="22" t="str">
        <f>"R-SH_Att"&amp;"_"&amp;RIGHT(E107,3)&amp;"_HPN3-E"</f>
        <v>R-SH_Att_ELC_HPN3-E</v>
      </c>
      <c r="D107" s="24" t="s">
        <v>739</v>
      </c>
      <c r="E107" s="24" t="s">
        <v>148</v>
      </c>
      <c r="F107" s="24" t="s">
        <v>558</v>
      </c>
      <c r="G107" s="24" t="s">
        <v>751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11">
        <v>20</v>
      </c>
      <c r="U107" s="57"/>
      <c r="V107" s="22">
        <f t="shared" si="91"/>
        <v>15.74215630620856</v>
      </c>
      <c r="W107" s="23">
        <f t="shared" si="91"/>
        <v>15.74215630620856</v>
      </c>
      <c r="X107" s="23">
        <f t="shared" si="91"/>
        <v>14.359299163351416</v>
      </c>
      <c r="Y107" s="57">
        <f t="shared" si="91"/>
        <v>14.359299163351416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59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R-SH_Att_ELC_HPN3-G</v>
      </c>
      <c r="AN107" s="206" t="str">
        <f t="shared" si="88"/>
        <v>Residential Electric Heat Pump - Ground to Water - SH - G rated dwelling</v>
      </c>
      <c r="AO107" s="100" t="s">
        <v>13</v>
      </c>
      <c r="AP107" s="100" t="s">
        <v>175</v>
      </c>
      <c r="AQ107" s="100"/>
      <c r="AR107" s="100" t="s">
        <v>75</v>
      </c>
    </row>
    <row r="108" spans="3:44" ht="15" x14ac:dyDescent="0.25">
      <c r="C108" s="40" t="str">
        <f>"R-SH_Att"&amp;"_"&amp;RIGHT(E108,3)&amp;"_HPN3-F"</f>
        <v>R-SH_Att_ELC_HPN3-F</v>
      </c>
      <c r="D108" s="30" t="s">
        <v>740</v>
      </c>
      <c r="E108" s="30" t="s">
        <v>148</v>
      </c>
      <c r="F108" s="30" t="s">
        <v>558</v>
      </c>
      <c r="G108" s="30" t="s">
        <v>752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12">
        <v>20</v>
      </c>
      <c r="U108" s="58"/>
      <c r="V108" s="40">
        <f t="shared" si="91"/>
        <v>15.9813544159132</v>
      </c>
      <c r="W108" s="29">
        <f t="shared" si="91"/>
        <v>15.9813544159132</v>
      </c>
      <c r="X108" s="29">
        <f t="shared" si="91"/>
        <v>14.59849727305606</v>
      </c>
      <c r="Y108" s="58">
        <f t="shared" si="91"/>
        <v>14.59849727305606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59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R-HC_Att_ELC_HPN2-AB</v>
      </c>
      <c r="AN108" s="206" t="str">
        <f t="shared" si="88"/>
        <v>Residential Electric Heat Pump - Ground to Water - SH + SC - AB rated dwelling</v>
      </c>
      <c r="AO108" s="100" t="s">
        <v>13</v>
      </c>
      <c r="AP108" s="100" t="s">
        <v>175</v>
      </c>
      <c r="AQ108" s="100"/>
      <c r="AR108" s="100" t="s">
        <v>75</v>
      </c>
    </row>
    <row r="109" spans="3:44" ht="15" x14ac:dyDescent="0.25">
      <c r="C109" s="246" t="str">
        <f>"R-SH_Att"&amp;"_"&amp;RIGHT(E109,3)&amp;"_HPN3-G"</f>
        <v>R-SH_Att_ELC_HPN3-G</v>
      </c>
      <c r="D109" s="27" t="s">
        <v>741</v>
      </c>
      <c r="E109" s="27" t="s">
        <v>148</v>
      </c>
      <c r="F109" s="27" t="s">
        <v>558</v>
      </c>
      <c r="G109" s="27" t="s">
        <v>753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4">
        <v>20</v>
      </c>
      <c r="U109" s="59"/>
      <c r="V109" s="246">
        <f t="shared" si="91"/>
        <v>16.22055252561784</v>
      </c>
      <c r="W109" s="26">
        <f t="shared" si="91"/>
        <v>16.22055252561784</v>
      </c>
      <c r="X109" s="26">
        <f t="shared" si="91"/>
        <v>14.837695382760698</v>
      </c>
      <c r="Y109" s="59">
        <f t="shared" si="91"/>
        <v>14.837695382760698</v>
      </c>
      <c r="Z109" s="64">
        <f>JRC_Data!BL20/1000</f>
        <v>0.2</v>
      </c>
      <c r="AA109" s="67"/>
      <c r="AB109" s="515"/>
      <c r="AC109" s="515"/>
      <c r="AD109" s="515"/>
      <c r="AE109" s="515"/>
      <c r="AF109" s="49"/>
      <c r="AG109" s="64">
        <f t="shared" si="59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R-HC_Att_ELC_HPN2-C</v>
      </c>
      <c r="AN109" s="206" t="str">
        <f t="shared" si="88"/>
        <v>Residential Electric Heat Pump - Ground to Water - SH + SC - C rated dwelling</v>
      </c>
      <c r="AO109" s="100" t="s">
        <v>13</v>
      </c>
      <c r="AP109" s="100" t="s">
        <v>175</v>
      </c>
      <c r="AQ109" s="100"/>
      <c r="AR109" s="100" t="s">
        <v>75</v>
      </c>
    </row>
    <row r="110" spans="3:44" ht="15" x14ac:dyDescent="0.25">
      <c r="C110" s="19" t="str">
        <f>"R-HC_Att"&amp;"_"&amp;RIGHT(E110,3)&amp;"_HPN2-AB"</f>
        <v>R-HC_Att_ELC_HPN2-AB</v>
      </c>
      <c r="D110" s="88" t="s">
        <v>742</v>
      </c>
      <c r="E110" s="88" t="s">
        <v>148</v>
      </c>
      <c r="F110" s="88" t="s">
        <v>558</v>
      </c>
      <c r="G110" s="88" t="s">
        <v>778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510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R-HC_Att_ELC_HPN2-D</v>
      </c>
      <c r="AN110" s="206" t="str">
        <f t="shared" si="88"/>
        <v>Residential Electric Heat Pump - Ground to Water - SH + SC - D rated dwelling</v>
      </c>
      <c r="AO110" s="100" t="s">
        <v>13</v>
      </c>
      <c r="AP110" s="100" t="s">
        <v>175</v>
      </c>
      <c r="AQ110" s="100"/>
      <c r="AR110" s="100" t="s">
        <v>75</v>
      </c>
    </row>
    <row r="111" spans="3:44" ht="15" x14ac:dyDescent="0.25">
      <c r="C111" s="22" t="str">
        <f>"R-HC_Att"&amp;"_"&amp;RIGHT(E111,3)&amp;"_HPN2-C"</f>
        <v>R-HC_Att_ELC_HPN2-C</v>
      </c>
      <c r="D111" s="24" t="s">
        <v>743</v>
      </c>
      <c r="E111" s="24" t="s">
        <v>148</v>
      </c>
      <c r="F111" s="24" t="s">
        <v>558</v>
      </c>
      <c r="G111" s="24" t="s">
        <v>779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511">
        <v>20</v>
      </c>
      <c r="U111" s="23"/>
      <c r="V111" s="22">
        <f t="shared" ref="V111:Y115" si="94">V21/$V$20*$V$110</f>
        <v>14</v>
      </c>
      <c r="W111" s="23">
        <f t="shared" si="94"/>
        <v>14</v>
      </c>
      <c r="X111" s="23">
        <f t="shared" si="94"/>
        <v>12.599999999999998</v>
      </c>
      <c r="Y111" s="57">
        <f t="shared" si="94"/>
        <v>12.599999999999998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R-HC_Att_ELC_HPN2-E</v>
      </c>
      <c r="AN111" s="206" t="str">
        <f t="shared" si="88"/>
        <v>Residential Electric Heat Pump - Ground to Water - SH + SC - E rated dwelling</v>
      </c>
      <c r="AO111" s="100" t="s">
        <v>13</v>
      </c>
      <c r="AP111" s="100" t="s">
        <v>175</v>
      </c>
      <c r="AQ111" s="100"/>
      <c r="AR111" s="100" t="s">
        <v>75</v>
      </c>
    </row>
    <row r="112" spans="3:44" ht="15" x14ac:dyDescent="0.25">
      <c r="C112" s="40" t="str">
        <f>"R-HC_Att"&amp;"_"&amp;RIGHT(E112,3)&amp;"_HPN2-D"</f>
        <v>R-HC_Att_ELC_HPN2-D</v>
      </c>
      <c r="D112" s="30" t="s">
        <v>744</v>
      </c>
      <c r="E112" s="30" t="s">
        <v>148</v>
      </c>
      <c r="F112" s="30" t="s">
        <v>558</v>
      </c>
      <c r="G112" s="30" t="s">
        <v>780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512">
        <v>20</v>
      </c>
      <c r="U112" s="29"/>
      <c r="V112" s="40">
        <f t="shared" si="94"/>
        <v>14</v>
      </c>
      <c r="W112" s="29">
        <f t="shared" si="94"/>
        <v>14</v>
      </c>
      <c r="X112" s="29">
        <f t="shared" si="94"/>
        <v>12.599999999999998</v>
      </c>
      <c r="Y112" s="58">
        <f t="shared" si="94"/>
        <v>12.599999999999998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88"/>
        <v>R-HC_Att_ELC_HPN2-F</v>
      </c>
      <c r="AN112" s="206" t="str">
        <f t="shared" si="88"/>
        <v>Residential Electric Heat Pump - Ground to Water - SH + SC - F rated dwelling</v>
      </c>
      <c r="AO112" s="100" t="s">
        <v>13</v>
      </c>
      <c r="AP112" s="100" t="s">
        <v>175</v>
      </c>
      <c r="AQ112" s="100"/>
      <c r="AR112" s="100" t="s">
        <v>75</v>
      </c>
    </row>
    <row r="113" spans="3:45" ht="15" x14ac:dyDescent="0.25">
      <c r="C113" s="22" t="str">
        <f>"R-HC_Att"&amp;"_"&amp;RIGHT(E113,3)&amp;"_HPN2-E"</f>
        <v>R-HC_Att_ELC_HPN2-E</v>
      </c>
      <c r="D113" s="24" t="s">
        <v>745</v>
      </c>
      <c r="E113" s="24" t="s">
        <v>148</v>
      </c>
      <c r="F113" s="24" t="s">
        <v>558</v>
      </c>
      <c r="G113" s="24" t="s">
        <v>781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511">
        <v>20</v>
      </c>
      <c r="U113" s="23"/>
      <c r="V113" s="22">
        <f t="shared" si="94"/>
        <v>15.937307004219409</v>
      </c>
      <c r="W113" s="23">
        <f t="shared" si="94"/>
        <v>15.937307004219409</v>
      </c>
      <c r="X113" s="23">
        <f t="shared" si="94"/>
        <v>14.537307004219407</v>
      </c>
      <c r="Y113" s="57">
        <f t="shared" si="94"/>
        <v>14.537307004219407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88"/>
        <v>R-HC_Att_ELC_HPN2-G</v>
      </c>
      <c r="AN113" s="206" t="str">
        <f t="shared" si="88"/>
        <v>Residential Electric Heat Pump - Ground to Water - SH + SC - G rated dwelling</v>
      </c>
      <c r="AO113" s="100" t="s">
        <v>13</v>
      </c>
      <c r="AP113" s="100" t="s">
        <v>175</v>
      </c>
      <c r="AQ113" s="100"/>
      <c r="AR113" s="100" t="s">
        <v>75</v>
      </c>
    </row>
    <row r="114" spans="3:45" ht="15" x14ac:dyDescent="0.25">
      <c r="C114" s="40" t="str">
        <f>"R-HC_Att"&amp;"_"&amp;RIGHT(E114,3)&amp;"_HPN2-F"</f>
        <v>R-HC_Att_ELC_HPN2-F</v>
      </c>
      <c r="D114" s="30" t="s">
        <v>746</v>
      </c>
      <c r="E114" s="30" t="s">
        <v>148</v>
      </c>
      <c r="F114" s="30" t="s">
        <v>558</v>
      </c>
      <c r="G114" s="30" t="s">
        <v>782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512">
        <v>20</v>
      </c>
      <c r="U114" s="29"/>
      <c r="V114" s="40">
        <f t="shared" si="94"/>
        <v>16.179470379746835</v>
      </c>
      <c r="W114" s="29">
        <f t="shared" si="94"/>
        <v>16.179470379746835</v>
      </c>
      <c r="X114" s="29">
        <f t="shared" si="94"/>
        <v>14.779470379746837</v>
      </c>
      <c r="Y114" s="58">
        <f t="shared" si="94"/>
        <v>14.779470379746837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R114" s="100" t="s">
        <v>75</v>
      </c>
      <c r="AS114" s="4"/>
    </row>
    <row r="115" spans="3:45" ht="15" x14ac:dyDescent="0.25">
      <c r="C115" s="246" t="str">
        <f>"R-HC_Att"&amp;"_"&amp;RIGHT(E115,3)&amp;"_HPN2-G"</f>
        <v>R-HC_Att_ELC_HPN2-G</v>
      </c>
      <c r="D115" s="27" t="s">
        <v>747</v>
      </c>
      <c r="E115" s="27" t="s">
        <v>148</v>
      </c>
      <c r="F115" s="27" t="s">
        <v>558</v>
      </c>
      <c r="G115" s="27" t="s">
        <v>783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46"/>
      <c r="Q115" s="26"/>
      <c r="R115" s="26"/>
      <c r="S115" s="59"/>
      <c r="T115" s="514">
        <v>20</v>
      </c>
      <c r="U115" s="26"/>
      <c r="V115" s="246">
        <f t="shared" si="94"/>
        <v>16.421633755274261</v>
      </c>
      <c r="W115" s="26">
        <f t="shared" si="94"/>
        <v>16.421633755274261</v>
      </c>
      <c r="X115" s="26">
        <f t="shared" si="94"/>
        <v>15.021633755274259</v>
      </c>
      <c r="Y115" s="59">
        <f t="shared" si="94"/>
        <v>15.021633755274259</v>
      </c>
      <c r="Z115" s="64">
        <f>JRC_Data!BL20/1000</f>
        <v>0.2</v>
      </c>
      <c r="AA115" s="67"/>
      <c r="AB115" s="515"/>
      <c r="AC115" s="515"/>
      <c r="AD115" s="515"/>
      <c r="AE115" s="515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6">C118</f>
        <v>R-SW_Att_GAS_HPN2</v>
      </c>
      <c r="AN115" s="206" t="str">
        <f t="shared" si="96"/>
        <v>Residential Gas Engine Heat Pump - Air to Water - SH + WH</v>
      </c>
      <c r="AO115" s="100" t="s">
        <v>13</v>
      </c>
      <c r="AP115" s="100" t="s">
        <v>175</v>
      </c>
      <c r="AQ115" s="100"/>
      <c r="AR115" s="100" t="s">
        <v>75</v>
      </c>
      <c r="AS115" s="4"/>
    </row>
    <row r="116" spans="3:45" ht="15" x14ac:dyDescent="0.25">
      <c r="C116" s="33" t="s">
        <v>272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7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/>
      <c r="AR116" s="100" t="s">
        <v>75</v>
      </c>
      <c r="AS116" s="4"/>
    </row>
    <row r="117" spans="3:45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694</v>
      </c>
      <c r="F117" s="88" t="s">
        <v>660</v>
      </c>
      <c r="G117" s="88" t="s">
        <v>722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7">I117*0.7</f>
        <v>1.2530864197530862</v>
      </c>
      <c r="R117" s="20">
        <f t="shared" ref="R117:R118" si="98">J117*0.7</f>
        <v>1.4691358024691357</v>
      </c>
      <c r="S117" s="56">
        <f t="shared" ref="S117:S118" si="99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59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/>
      <c r="AR117" s="100" t="s">
        <v>75</v>
      </c>
      <c r="AS117" s="4"/>
    </row>
    <row r="118" spans="3:45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694</v>
      </c>
      <c r="F118" s="27" t="s">
        <v>660</v>
      </c>
      <c r="G118" s="27" t="s">
        <v>722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97"/>
        <v>1.2055555555555555</v>
      </c>
      <c r="R118" s="26">
        <f t="shared" si="98"/>
        <v>1.2055555555555555</v>
      </c>
      <c r="S118" s="59">
        <f t="shared" si="99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0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/>
      <c r="AR118" s="100" t="s">
        <v>75</v>
      </c>
    </row>
    <row r="119" spans="3:45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/>
      <c r="AR119" s="100" t="s">
        <v>75</v>
      </c>
    </row>
    <row r="120" spans="3:45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695</v>
      </c>
      <c r="F120" s="115" t="s">
        <v>660</v>
      </c>
      <c r="G120" s="94" t="s">
        <v>722</v>
      </c>
      <c r="H120" s="373">
        <f>1*$AD$48+JRC_Data!AD18*(1.3-$AD$48)</f>
        <v>3.4850000000000003</v>
      </c>
      <c r="I120" s="373">
        <f>1*$AD$48+JRC_Data!AE18*(1.3-$AD$48)</f>
        <v>3.8650000000000007</v>
      </c>
      <c r="J120" s="373">
        <f>1*$AD$48+JRC_Data!AF18*(1.3-$AD$48)</f>
        <v>4.1500000000000004</v>
      </c>
      <c r="K120" s="373">
        <f>1*$AD$48+JRC_Data!AG18*(1.3-$AD$48)</f>
        <v>4.1500000000000004</v>
      </c>
      <c r="L120" s="49"/>
      <c r="M120" s="50"/>
      <c r="N120" s="50"/>
      <c r="O120" s="51"/>
      <c r="P120" s="246">
        <f>H120*0.7</f>
        <v>2.4395000000000002</v>
      </c>
      <c r="Q120" s="26">
        <f t="shared" ref="Q120" si="101">I120*0.7</f>
        <v>2.7055000000000002</v>
      </c>
      <c r="R120" s="26">
        <f t="shared" ref="R120" si="102">J120*0.7</f>
        <v>2.9050000000000002</v>
      </c>
      <c r="S120" s="59">
        <f t="shared" ref="S120" si="103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59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104">C126</f>
        <v>R-WH_Att_SOL_N1</v>
      </c>
      <c r="AN120" s="206" t="str">
        <f t="shared" ref="AN120" si="105">D126</f>
        <v xml:space="preserve">Residential Solar Water Heater </v>
      </c>
      <c r="AO120" s="100" t="s">
        <v>13</v>
      </c>
      <c r="AP120" s="100" t="s">
        <v>175</v>
      </c>
      <c r="AQ120" s="100"/>
      <c r="AR120" s="100" t="s">
        <v>75</v>
      </c>
    </row>
    <row r="121" spans="3:45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/>
      <c r="AR121" s="100" t="s">
        <v>75</v>
      </c>
    </row>
    <row r="122" spans="3:45" ht="15" x14ac:dyDescent="0.25">
      <c r="C122" s="19" t="str">
        <f>"R-SW_Att"&amp;"_"&amp;RIGHT(E122,3)&amp;"_N1"</f>
        <v>R-SW_Att_HET_N1</v>
      </c>
      <c r="D122" s="20" t="s">
        <v>114</v>
      </c>
      <c r="E122" s="88" t="s">
        <v>257</v>
      </c>
      <c r="F122" s="88"/>
      <c r="G122" s="88" t="s">
        <v>722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0.7</v>
      </c>
      <c r="Q122" s="241">
        <v>0.7</v>
      </c>
      <c r="R122" s="241">
        <v>0.7</v>
      </c>
      <c r="S122" s="242">
        <v>0.7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59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5" ht="15" x14ac:dyDescent="0.25">
      <c r="C123" s="246" t="str">
        <f>"R-SW_Att"&amp;"_"&amp;RIGHT(E123,3)&amp;"_N2"</f>
        <v>R-SW_Att_HET_N2</v>
      </c>
      <c r="D123" s="26" t="s">
        <v>115</v>
      </c>
      <c r="E123" s="27" t="s">
        <v>257</v>
      </c>
      <c r="F123" s="27"/>
      <c r="G123" s="27" t="s">
        <v>722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0.7</v>
      </c>
      <c r="Q123" s="248">
        <v>0.7</v>
      </c>
      <c r="R123" s="248">
        <v>0.7</v>
      </c>
      <c r="S123" s="249">
        <v>0.7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59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5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5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0.7</v>
      </c>
      <c r="Q125" s="241">
        <v>0.7</v>
      </c>
      <c r="R125" s="241">
        <v>0.7</v>
      </c>
      <c r="S125" s="242">
        <v>0.7</v>
      </c>
      <c r="T125" s="52">
        <v>20</v>
      </c>
      <c r="U125" s="48"/>
      <c r="V125" s="19">
        <f>(JRC_Data!BB48/1000)*($U$216/$U$216)</f>
        <v>4</v>
      </c>
      <c r="W125" s="19">
        <f>(JRC_Data!BC48/1000)*($U$216/$U$216)</f>
        <v>4</v>
      </c>
      <c r="X125" s="19">
        <f>(JRC_Data!BD48/1000)*($U$216/$U$216)</f>
        <v>4</v>
      </c>
      <c r="Y125" s="19">
        <f>(JRC_Data!BE48/1000)*($U$216/$U$216)</f>
        <v>4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59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5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266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</f>
        <v>5.4</v>
      </c>
      <c r="W126" s="22">
        <f>(JRC_Data!BC45/1000)*($U$216/$U$216)</f>
        <v>5.0999999999999996</v>
      </c>
      <c r="X126" s="22">
        <f>(JRC_Data!BD45/1000)*($U$216/$U$216)</f>
        <v>4.5999999999999996</v>
      </c>
      <c r="Y126" s="22">
        <f>(JRC_Data!BE45/1000)*($U$216/$U$216)</f>
        <v>3.7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59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5" ht="15" x14ac:dyDescent="0.25">
      <c r="C127" s="33" t="s">
        <v>276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5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643">
        <v>1</v>
      </c>
      <c r="M128" s="644">
        <f>JRC_Data!AD16/JRC_Data!$AC$16</f>
        <v>1.0666666666666667</v>
      </c>
      <c r="N128" s="644">
        <f>JRC_Data!AE16/JRC_Data!$AC$16</f>
        <v>1.2333333333333334</v>
      </c>
      <c r="O128" s="644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59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4" ht="15" x14ac:dyDescent="0.25">
      <c r="AL129" s="2"/>
      <c r="AM129" s="206"/>
      <c r="AN129" s="206"/>
      <c r="AO129" s="100"/>
      <c r="AP129" s="100"/>
      <c r="AQ129" s="100"/>
      <c r="AR129" s="100"/>
    </row>
    <row r="130" spans="3:44" ht="15" x14ac:dyDescent="0.25">
      <c r="AL130" s="2"/>
      <c r="AM130" s="206"/>
      <c r="AN130" s="206"/>
      <c r="AO130" s="100"/>
      <c r="AP130" s="100"/>
      <c r="AQ130" s="100"/>
      <c r="AR130" s="100"/>
    </row>
    <row r="133" spans="3:44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4" ht="45.75" thickBot="1" x14ac:dyDescent="0.25">
      <c r="C134" s="14" t="s">
        <v>21</v>
      </c>
      <c r="D134" s="15" t="s">
        <v>32</v>
      </c>
      <c r="E134" s="14" t="s">
        <v>23</v>
      </c>
      <c r="F134" s="14" t="s">
        <v>556</v>
      </c>
      <c r="G134" s="14" t="s">
        <v>24</v>
      </c>
      <c r="H134" s="17" t="s">
        <v>821</v>
      </c>
      <c r="I134" s="17" t="s">
        <v>729</v>
      </c>
      <c r="J134" s="17" t="s">
        <v>730</v>
      </c>
      <c r="K134" s="17" t="s">
        <v>731</v>
      </c>
      <c r="L134" s="17" t="s">
        <v>530</v>
      </c>
      <c r="M134" s="17" t="s">
        <v>531</v>
      </c>
      <c r="N134" s="17" t="s">
        <v>532</v>
      </c>
      <c r="O134" s="17" t="s">
        <v>533</v>
      </c>
      <c r="P134" s="17" t="s">
        <v>534</v>
      </c>
      <c r="Q134" s="17" t="s">
        <v>535</v>
      </c>
      <c r="R134" s="17" t="s">
        <v>536</v>
      </c>
      <c r="S134" s="17" t="s">
        <v>537</v>
      </c>
      <c r="T134" s="18" t="s">
        <v>26</v>
      </c>
      <c r="U134" s="18" t="s">
        <v>76</v>
      </c>
      <c r="V134" s="17" t="s">
        <v>822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280</v>
      </c>
      <c r="AC134" s="17" t="s">
        <v>281</v>
      </c>
      <c r="AD134" s="17" t="s">
        <v>282</v>
      </c>
      <c r="AE134" s="17" t="s">
        <v>693</v>
      </c>
      <c r="AF134" s="17" t="s">
        <v>238</v>
      </c>
      <c r="AG134" s="17" t="s">
        <v>77</v>
      </c>
      <c r="AH134" s="17" t="s">
        <v>267</v>
      </c>
      <c r="AI134" s="17" t="s">
        <v>78</v>
      </c>
      <c r="AJ134" s="17" t="s">
        <v>554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30</v>
      </c>
      <c r="AR134" s="12" t="s">
        <v>67</v>
      </c>
    </row>
    <row r="135" spans="3:44" ht="45" x14ac:dyDescent="0.2">
      <c r="C135" s="16" t="s">
        <v>79</v>
      </c>
      <c r="D135" s="16" t="s">
        <v>33</v>
      </c>
      <c r="E135" s="16" t="s">
        <v>80</v>
      </c>
      <c r="F135" s="16" t="s">
        <v>557</v>
      </c>
      <c r="G135" s="16" t="s">
        <v>81</v>
      </c>
      <c r="H135" s="611" t="s">
        <v>82</v>
      </c>
      <c r="I135" s="612"/>
      <c r="J135" s="612"/>
      <c r="K135" s="613"/>
      <c r="L135" s="611" t="s">
        <v>83</v>
      </c>
      <c r="M135" s="612"/>
      <c r="N135" s="612"/>
      <c r="O135" s="613"/>
      <c r="P135" s="611" t="s">
        <v>84</v>
      </c>
      <c r="Q135" s="612"/>
      <c r="R135" s="612"/>
      <c r="S135" s="613"/>
      <c r="T135" s="611" t="s">
        <v>85</v>
      </c>
      <c r="U135" s="613"/>
      <c r="V135" s="605" t="s">
        <v>86</v>
      </c>
      <c r="W135" s="606"/>
      <c r="X135" s="606"/>
      <c r="Y135" s="607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237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73</v>
      </c>
      <c r="AR135" s="205" t="s">
        <v>74</v>
      </c>
    </row>
    <row r="136" spans="3:44" ht="30" customHeight="1" thickBot="1" x14ac:dyDescent="0.3">
      <c r="C136" s="14" t="s">
        <v>551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175</v>
      </c>
      <c r="AQ136" s="100"/>
      <c r="AR136" s="100" t="s">
        <v>75</v>
      </c>
    </row>
    <row r="137" spans="3:44" ht="15" x14ac:dyDescent="0.25">
      <c r="C137" s="37" t="s">
        <v>269</v>
      </c>
      <c r="D137" s="38"/>
      <c r="E137" s="38"/>
      <c r="F137" s="38"/>
      <c r="G137" s="39"/>
      <c r="H137" s="608" t="s">
        <v>34</v>
      </c>
      <c r="I137" s="609"/>
      <c r="J137" s="609"/>
      <c r="K137" s="610"/>
      <c r="L137" s="609" t="s">
        <v>34</v>
      </c>
      <c r="M137" s="609"/>
      <c r="N137" s="609"/>
      <c r="O137" s="610"/>
      <c r="P137" s="608" t="s">
        <v>34</v>
      </c>
      <c r="Q137" s="609"/>
      <c r="R137" s="609"/>
      <c r="S137" s="610"/>
      <c r="T137" s="614" t="s">
        <v>68</v>
      </c>
      <c r="U137" s="615"/>
      <c r="V137" s="614" t="s">
        <v>503</v>
      </c>
      <c r="W137" s="616"/>
      <c r="X137" s="616"/>
      <c r="Y137" s="615"/>
      <c r="Z137" s="367" t="s">
        <v>515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283</v>
      </c>
      <c r="AH137" s="367" t="s">
        <v>34</v>
      </c>
      <c r="AI137" s="367" t="s">
        <v>94</v>
      </c>
      <c r="AJ137" s="367" t="s">
        <v>555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175</v>
      </c>
      <c r="AQ137" s="100"/>
      <c r="AR137" s="100" t="s">
        <v>75</v>
      </c>
    </row>
    <row r="138" spans="3:44" ht="15" x14ac:dyDescent="0.25">
      <c r="C138" s="19" t="str">
        <f>"R-SH_Det"&amp;"_"&amp;RIGHT(E138,3)&amp;"_N1"</f>
        <v>R-SH_Det_KER_N1</v>
      </c>
      <c r="D138" s="20" t="s">
        <v>96</v>
      </c>
      <c r="E138" s="88" t="s">
        <v>259</v>
      </c>
      <c r="F138" s="88"/>
      <c r="G138" s="509" t="s">
        <v>724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08">W142*1.3</f>
        <v>4.5825000000000005</v>
      </c>
      <c r="X138" s="373">
        <f t="shared" si="108"/>
        <v>4.5825000000000005</v>
      </c>
      <c r="Y138" s="373">
        <f t="shared" si="108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175</v>
      </c>
      <c r="AQ138" s="100"/>
      <c r="AR138" s="100" t="s">
        <v>75</v>
      </c>
    </row>
    <row r="139" spans="3:44" ht="15" x14ac:dyDescent="0.25">
      <c r="C139" s="22" t="str">
        <f>"R-SW_Det"&amp;"_"&amp;RIGHT(E139,3)&amp;"_N1"</f>
        <v>R-SW_Det_KER_N1</v>
      </c>
      <c r="D139" s="23" t="s">
        <v>97</v>
      </c>
      <c r="E139" s="24" t="s">
        <v>259</v>
      </c>
      <c r="F139" s="24"/>
      <c r="G139" s="57" t="s">
        <v>725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74">
        <f>V143*1.3</f>
        <v>4.9452075289575284</v>
      </c>
      <c r="W139" s="374">
        <f t="shared" ref="W139:Y139" si="113">W143*1.3</f>
        <v>4.9452075289575284</v>
      </c>
      <c r="X139" s="374">
        <f t="shared" si="113"/>
        <v>4.9452075289575284</v>
      </c>
      <c r="Y139" s="374">
        <f t="shared" si="113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175</v>
      </c>
      <c r="AQ139" s="100"/>
      <c r="AR139" s="100"/>
    </row>
    <row r="140" spans="3:44" ht="15" x14ac:dyDescent="0.25">
      <c r="C140" s="40" t="str">
        <f>"R-SW_Det"&amp;"_"&amp;RIGHT(E140,3)&amp;"_N2"</f>
        <v>R-SW_Det_KER_N2</v>
      </c>
      <c r="D140" s="29" t="s">
        <v>98</v>
      </c>
      <c r="E140" s="30" t="s">
        <v>261</v>
      </c>
      <c r="F140" s="30"/>
      <c r="G140" s="58" t="s">
        <v>725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175</v>
      </c>
      <c r="AQ140" s="100"/>
      <c r="AR140" s="100" t="s">
        <v>75</v>
      </c>
    </row>
    <row r="141" spans="3:44" ht="15" x14ac:dyDescent="0.25">
      <c r="C141" s="22" t="str">
        <f>"R-SW_Det"&amp;"_"&amp;RIGHT(E141,3)&amp;"_N3"</f>
        <v>R-SW_Det_KER_N3</v>
      </c>
      <c r="D141" s="23" t="s">
        <v>102</v>
      </c>
      <c r="E141" s="24" t="s">
        <v>262</v>
      </c>
      <c r="F141" s="24"/>
      <c r="G141" s="57" t="s">
        <v>725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175</v>
      </c>
      <c r="AQ141" s="100"/>
      <c r="AR141" s="100" t="s">
        <v>75</v>
      </c>
    </row>
    <row r="142" spans="3:44" ht="15" x14ac:dyDescent="0.25">
      <c r="C142" s="40" t="str">
        <f>"R-SH_Det"&amp;"_"&amp;RIGHT(E142,3)&amp;"_N1"</f>
        <v>R-SH_Det_GAS_N1</v>
      </c>
      <c r="D142" s="29" t="s">
        <v>95</v>
      </c>
      <c r="E142" s="30" t="s">
        <v>694</v>
      </c>
      <c r="F142" s="30"/>
      <c r="G142" s="58" t="s">
        <v>724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14">3.525</f>
        <v>3.5249999999999999</v>
      </c>
      <c r="X142" s="373">
        <f t="shared" si="114"/>
        <v>3.5249999999999999</v>
      </c>
      <c r="Y142" s="373">
        <f t="shared" si="114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175</v>
      </c>
      <c r="AQ142" s="100"/>
      <c r="AR142" s="100" t="s">
        <v>75</v>
      </c>
    </row>
    <row r="143" spans="3:44" ht="15" x14ac:dyDescent="0.25">
      <c r="C143" s="22" t="str">
        <f>"R-SW_Det"&amp;"_"&amp;RIGHT(E143,3)&amp;"_N1"</f>
        <v>R-SW_Det_GAS_N1</v>
      </c>
      <c r="D143" s="23" t="s">
        <v>99</v>
      </c>
      <c r="E143" s="24" t="s">
        <v>694</v>
      </c>
      <c r="F143" s="24"/>
      <c r="G143" s="57" t="s">
        <v>725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175</v>
      </c>
      <c r="AQ143" s="100"/>
      <c r="AR143" s="100" t="s">
        <v>75</v>
      </c>
    </row>
    <row r="144" spans="3:44" ht="15" x14ac:dyDescent="0.25">
      <c r="C144" s="40" t="str">
        <f>"R-SW_Det"&amp;"_"&amp;RIGHT(E144,3)&amp;"_N2"</f>
        <v>R-SW_Det_GAS_N2</v>
      </c>
      <c r="D144" s="29" t="s">
        <v>100</v>
      </c>
      <c r="E144" s="30" t="s">
        <v>696</v>
      </c>
      <c r="F144" s="30"/>
      <c r="G144" s="58" t="s">
        <v>725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175</v>
      </c>
      <c r="AQ144" s="100"/>
      <c r="AR144" s="100" t="s">
        <v>75</v>
      </c>
    </row>
    <row r="145" spans="1:44" ht="15" x14ac:dyDescent="0.25">
      <c r="C145" s="22" t="str">
        <f>"R-SW_Det"&amp;"_"&amp;RIGHT(E145,3)&amp;"_N3"</f>
        <v>R-SW_Det_GAS_N3</v>
      </c>
      <c r="D145" s="23" t="s">
        <v>101</v>
      </c>
      <c r="E145" s="24" t="s">
        <v>697</v>
      </c>
      <c r="F145" s="24"/>
      <c r="G145" s="57" t="s">
        <v>725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175</v>
      </c>
      <c r="AQ145" s="100"/>
      <c r="AR145" s="100" t="s">
        <v>75</v>
      </c>
    </row>
    <row r="146" spans="1:44" ht="15" x14ac:dyDescent="0.25">
      <c r="C146" s="40" t="str">
        <f>"R-SH_Det"&amp;"_"&amp;RIGHT(E146,3)&amp;"_N1"</f>
        <v>R-SH_Det_LPG_N1</v>
      </c>
      <c r="D146" s="29" t="s">
        <v>103</v>
      </c>
      <c r="E146" s="30" t="s">
        <v>260</v>
      </c>
      <c r="F146" s="30"/>
      <c r="G146" s="58" t="s">
        <v>724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18">V142+0.3</f>
        <v>3.8249999999999997</v>
      </c>
      <c r="W146" s="373">
        <f t="shared" si="118"/>
        <v>3.8249999999999997</v>
      </c>
      <c r="X146" s="373">
        <f t="shared" si="118"/>
        <v>3.8249999999999997</v>
      </c>
      <c r="Y146" s="373">
        <f t="shared" si="118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175</v>
      </c>
      <c r="AQ146" s="100"/>
      <c r="AR146" s="100" t="s">
        <v>75</v>
      </c>
    </row>
    <row r="147" spans="1:44" ht="15" x14ac:dyDescent="0.25">
      <c r="C147" s="22" t="str">
        <f>"R-SW_Det"&amp;"_"&amp;RIGHT(E147,3)&amp;"_N1"</f>
        <v>R-SW_Det_LPG_N1</v>
      </c>
      <c r="D147" s="23" t="s">
        <v>104</v>
      </c>
      <c r="E147" s="24" t="s">
        <v>260</v>
      </c>
      <c r="F147" s="24"/>
      <c r="G147" s="57" t="s">
        <v>725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74">
        <f t="shared" si="118"/>
        <v>4.1040057915057915</v>
      </c>
      <c r="W147" s="374">
        <f t="shared" si="118"/>
        <v>4.1040057915057915</v>
      </c>
      <c r="X147" s="374">
        <f t="shared" si="118"/>
        <v>4.1040057915057915</v>
      </c>
      <c r="Y147" s="374">
        <f t="shared" si="118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175</v>
      </c>
      <c r="AQ147" s="100"/>
      <c r="AR147" s="100" t="s">
        <v>75</v>
      </c>
    </row>
    <row r="148" spans="1:44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263</v>
      </c>
      <c r="F148" s="30"/>
      <c r="G148" s="58" t="s">
        <v>724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569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R148" s="100"/>
    </row>
    <row r="149" spans="1:44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263</v>
      </c>
      <c r="F149" s="24"/>
      <c r="G149" s="57" t="s">
        <v>725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570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R149" s="100"/>
    </row>
    <row r="150" spans="1:44" ht="15" x14ac:dyDescent="0.25">
      <c r="C150" s="40" t="str">
        <f>"R-SH_Det"&amp;"_"&amp;"FPL"&amp;"_N1"</f>
        <v>R-SH_Det_FPL_N1</v>
      </c>
      <c r="D150" s="29" t="s">
        <v>563</v>
      </c>
      <c r="E150" s="30" t="s">
        <v>560</v>
      </c>
      <c r="F150" s="30"/>
      <c r="G150" s="58" t="s">
        <v>724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R150" s="100" t="s">
        <v>75</v>
      </c>
    </row>
    <row r="151" spans="1:44" ht="15" x14ac:dyDescent="0.25">
      <c r="C151" s="22" t="str">
        <f>"R-SW_Det"&amp;"_"&amp;"FPL"&amp;"_N1"</f>
        <v>R-SW_Det_FPL_N1</v>
      </c>
      <c r="D151" s="23" t="s">
        <v>564</v>
      </c>
      <c r="E151" s="24" t="s">
        <v>560</v>
      </c>
      <c r="F151" s="24"/>
      <c r="G151" s="57" t="s">
        <v>725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6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R151" s="100" t="s">
        <v>75</v>
      </c>
    </row>
    <row r="152" spans="1:44" ht="15" x14ac:dyDescent="0.25">
      <c r="C152" s="40" t="s">
        <v>567</v>
      </c>
      <c r="D152" s="29" t="s">
        <v>256</v>
      </c>
      <c r="E152" s="30" t="s">
        <v>265</v>
      </c>
      <c r="F152" s="30"/>
      <c r="G152" s="58" t="s">
        <v>724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/>
      <c r="AR152" s="100" t="s">
        <v>75</v>
      </c>
    </row>
    <row r="153" spans="1:44" ht="15" x14ac:dyDescent="0.25">
      <c r="C153" s="22" t="s">
        <v>568</v>
      </c>
      <c r="D153" s="23" t="s">
        <v>526</v>
      </c>
      <c r="E153" s="24" t="s">
        <v>265</v>
      </c>
      <c r="F153" s="24"/>
      <c r="G153" s="57" t="s">
        <v>725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46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175</v>
      </c>
      <c r="AQ153" s="100"/>
      <c r="AR153" s="100" t="s">
        <v>75</v>
      </c>
    </row>
    <row r="154" spans="1:44" ht="15" x14ac:dyDescent="0.25">
      <c r="C154" s="33" t="s">
        <v>270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175</v>
      </c>
      <c r="AQ154" s="100"/>
      <c r="AR154" s="100" t="s">
        <v>75</v>
      </c>
    </row>
    <row r="155" spans="1:44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724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(JRC_Data!BB48/1000)*($U$223/$U$221)</f>
        <v>4.2809917355371896</v>
      </c>
      <c r="W155" s="78">
        <f>(JRC_Data!BC48/1000)*($U$223/$U$221)</f>
        <v>4.2809917355371896</v>
      </c>
      <c r="X155" s="78">
        <f>(JRC_Data!BD48/1000)*($U$223/$U$221)</f>
        <v>4.2809917355371896</v>
      </c>
      <c r="Y155" s="78">
        <f>(JRC_Data!BE48/1000)*($U$223/$U$221)</f>
        <v>4.2809917355371896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175</v>
      </c>
      <c r="AQ155" s="100"/>
      <c r="AR155" s="100" t="s">
        <v>75</v>
      </c>
    </row>
    <row r="156" spans="1:44" ht="15" x14ac:dyDescent="0.25">
      <c r="C156" s="33" t="s">
        <v>271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175</v>
      </c>
      <c r="AQ156" s="100"/>
      <c r="AR156" s="100" t="s">
        <v>75</v>
      </c>
    </row>
    <row r="157" spans="1:44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558</v>
      </c>
      <c r="G157" s="20" t="s">
        <v>724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175</v>
      </c>
      <c r="AQ157" s="100"/>
      <c r="AR157" s="100" t="s">
        <v>75</v>
      </c>
    </row>
    <row r="158" spans="1:44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558</v>
      </c>
      <c r="G158" s="23" t="s">
        <v>726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175</v>
      </c>
      <c r="AQ158" s="100"/>
      <c r="AR158" s="100" t="s">
        <v>75</v>
      </c>
    </row>
    <row r="159" spans="1:44" ht="15" x14ac:dyDescent="0.25">
      <c r="C159" s="19" t="str">
        <f>"R-SH_Det"&amp;"_"&amp;RIGHT(E159,3)&amp;"_HPN2-AB"</f>
        <v>R-SH_Det_ELC_HPN2-AB</v>
      </c>
      <c r="D159" s="88" t="s">
        <v>703</v>
      </c>
      <c r="E159" s="88" t="s">
        <v>148</v>
      </c>
      <c r="F159" s="88" t="s">
        <v>558</v>
      </c>
      <c r="G159" s="88" t="s">
        <v>728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10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175</v>
      </c>
      <c r="AQ159" s="100"/>
      <c r="AR159" s="100" t="s">
        <v>75</v>
      </c>
    </row>
    <row r="160" spans="1:44" ht="15" x14ac:dyDescent="0.25">
      <c r="C160" s="22" t="str">
        <f>"R-SH_Det"&amp;"_"&amp;RIGHT(E160,3)&amp;"_HPN2-C"</f>
        <v>R-SH_Det_ELC_HPN2-C</v>
      </c>
      <c r="D160" s="24" t="s">
        <v>704</v>
      </c>
      <c r="E160" s="24" t="s">
        <v>148</v>
      </c>
      <c r="F160" s="24" t="s">
        <v>558</v>
      </c>
      <c r="G160" s="24" t="s">
        <v>761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11">
        <v>20</v>
      </c>
      <c r="U160" s="23"/>
      <c r="V160" s="22">
        <f t="shared" ref="V160:Y164" si="132">V21/$V$20*$V$159</f>
        <v>9.8469999999999995</v>
      </c>
      <c r="W160" s="23">
        <f t="shared" si="132"/>
        <v>9.8469999999999995</v>
      </c>
      <c r="X160" s="23">
        <f t="shared" si="132"/>
        <v>8.8622999999999994</v>
      </c>
      <c r="Y160" s="57">
        <f t="shared" si="132"/>
        <v>8.8622999999999994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175</v>
      </c>
      <c r="AQ160" s="100"/>
      <c r="AR160" s="100" t="s">
        <v>75</v>
      </c>
    </row>
    <row r="161" spans="3:44" ht="15" x14ac:dyDescent="0.25">
      <c r="C161" s="40" t="str">
        <f>"R-SH_Det"&amp;"_"&amp;RIGHT(E161,3)&amp;"_HPN2-D"</f>
        <v>R-SH_Det_ELC_HPN2-D</v>
      </c>
      <c r="D161" s="30" t="s">
        <v>705</v>
      </c>
      <c r="E161" s="30" t="s">
        <v>148</v>
      </c>
      <c r="F161" s="30" t="s">
        <v>558</v>
      </c>
      <c r="G161" s="30" t="s">
        <v>762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12">
        <v>20</v>
      </c>
      <c r="U161" s="29"/>
      <c r="V161" s="40">
        <f t="shared" si="132"/>
        <v>9.8469999999999995</v>
      </c>
      <c r="W161" s="29">
        <f t="shared" si="132"/>
        <v>9.8469999999999995</v>
      </c>
      <c r="X161" s="29">
        <f t="shared" si="132"/>
        <v>8.8622999999999994</v>
      </c>
      <c r="Y161" s="58">
        <f t="shared" si="132"/>
        <v>8.8622999999999994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175</v>
      </c>
      <c r="AQ161" s="100"/>
      <c r="AR161" s="100" t="s">
        <v>75</v>
      </c>
    </row>
    <row r="162" spans="3:44" ht="15" x14ac:dyDescent="0.25">
      <c r="C162" s="22" t="str">
        <f>"R-SH_Det"&amp;"_"&amp;RIGHT(E162,3)&amp;"_HPN2-E"</f>
        <v>R-SH_Det_ELC_HPN2-E</v>
      </c>
      <c r="D162" s="24" t="s">
        <v>706</v>
      </c>
      <c r="E162" s="24" t="s">
        <v>148</v>
      </c>
      <c r="F162" s="24" t="s">
        <v>558</v>
      </c>
      <c r="G162" s="24" t="s">
        <v>763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11">
        <v>20</v>
      </c>
      <c r="U162" s="23"/>
      <c r="V162" s="22">
        <f t="shared" si="132"/>
        <v>11.209618719324894</v>
      </c>
      <c r="W162" s="23">
        <f t="shared" si="132"/>
        <v>11.209618719324894</v>
      </c>
      <c r="X162" s="23">
        <f t="shared" si="132"/>
        <v>10.224918719324894</v>
      </c>
      <c r="Y162" s="57">
        <f t="shared" si="132"/>
        <v>10.224918719324894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175</v>
      </c>
      <c r="AQ162" s="100"/>
      <c r="AR162" s="100" t="s">
        <v>75</v>
      </c>
    </row>
    <row r="163" spans="3:44" ht="15" x14ac:dyDescent="0.25">
      <c r="C163" s="40" t="str">
        <f>"R-SH_Det"&amp;"_"&amp;RIGHT(E163,3)&amp;"_HPN2-F"</f>
        <v>R-SH_Det_ELC_HPN2-F</v>
      </c>
      <c r="D163" s="30" t="s">
        <v>707</v>
      </c>
      <c r="E163" s="30" t="s">
        <v>148</v>
      </c>
      <c r="F163" s="30" t="s">
        <v>558</v>
      </c>
      <c r="G163" s="30" t="s">
        <v>765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12">
        <v>20</v>
      </c>
      <c r="U163" s="29"/>
      <c r="V163" s="40">
        <f t="shared" si="132"/>
        <v>11.379946059240504</v>
      </c>
      <c r="W163" s="29">
        <f t="shared" si="132"/>
        <v>11.379946059240504</v>
      </c>
      <c r="X163" s="29">
        <f t="shared" si="132"/>
        <v>10.395246059240506</v>
      </c>
      <c r="Y163" s="58">
        <f t="shared" si="132"/>
        <v>10.395246059240506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175</v>
      </c>
      <c r="AQ163" s="100"/>
      <c r="AR163" s="100" t="s">
        <v>75</v>
      </c>
    </row>
    <row r="164" spans="3:44" ht="15" x14ac:dyDescent="0.25">
      <c r="C164" s="246" t="str">
        <f>"R-SH_Det"&amp;"_"&amp;RIGHT(E164,3)&amp;"_HPN2-G"</f>
        <v>R-SH_Det_ELC_HPN2-G</v>
      </c>
      <c r="D164" s="27" t="s">
        <v>732</v>
      </c>
      <c r="E164" s="27" t="s">
        <v>148</v>
      </c>
      <c r="F164" s="27" t="s">
        <v>558</v>
      </c>
      <c r="G164" s="27" t="s">
        <v>764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4">
        <v>20</v>
      </c>
      <c r="U164" s="26"/>
      <c r="V164" s="246">
        <f t="shared" si="132"/>
        <v>11.550273399156117</v>
      </c>
      <c r="W164" s="26">
        <f t="shared" si="132"/>
        <v>11.550273399156117</v>
      </c>
      <c r="X164" s="26">
        <f t="shared" si="132"/>
        <v>10.565573399156117</v>
      </c>
      <c r="Y164" s="59">
        <f t="shared" si="132"/>
        <v>10.565573399156117</v>
      </c>
      <c r="Z164" s="64">
        <v>0.1</v>
      </c>
      <c r="AA164" s="67"/>
      <c r="AB164" s="515"/>
      <c r="AC164" s="515"/>
      <c r="AD164" s="515"/>
      <c r="AE164" s="515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175</v>
      </c>
      <c r="AQ164" s="100"/>
      <c r="AR164" s="100" t="s">
        <v>75</v>
      </c>
    </row>
    <row r="165" spans="3:44" ht="15" x14ac:dyDescent="0.25">
      <c r="C165" s="19" t="str">
        <f>"R-SW_Det"&amp;"_"&amp;RIGHT(E165,3)&amp;"_HPN1-AB"</f>
        <v>R-SW_Det_ELC_HPN1-AB</v>
      </c>
      <c r="D165" s="88" t="s">
        <v>711</v>
      </c>
      <c r="E165" s="88" t="s">
        <v>148</v>
      </c>
      <c r="F165" s="88" t="s">
        <v>660</v>
      </c>
      <c r="G165" s="88" t="s">
        <v>766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510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175</v>
      </c>
      <c r="AQ165" s="100"/>
      <c r="AR165" s="100" t="s">
        <v>75</v>
      </c>
    </row>
    <row r="166" spans="3:44" ht="14.25" customHeight="1" x14ac:dyDescent="0.25">
      <c r="C166" s="22" t="str">
        <f>"R-SW_Det"&amp;"_"&amp;RIGHT(E166,3)&amp;"_HPN1-C"</f>
        <v>R-SW_Det_ELC_HPN1-C</v>
      </c>
      <c r="D166" s="24" t="s">
        <v>712</v>
      </c>
      <c r="E166" s="24" t="s">
        <v>148</v>
      </c>
      <c r="F166" s="24" t="s">
        <v>660</v>
      </c>
      <c r="G166" s="24" t="s">
        <v>767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511">
        <v>20</v>
      </c>
      <c r="U166" s="57"/>
      <c r="V166" s="22">
        <f t="shared" ref="V166:Y170" si="135">V21/$V$20*$V$165</f>
        <v>9.9300970464135023</v>
      </c>
      <c r="W166" s="23">
        <f t="shared" si="135"/>
        <v>9.9300970464135023</v>
      </c>
      <c r="X166" s="23">
        <f t="shared" si="135"/>
        <v>8.9370873417721519</v>
      </c>
      <c r="Y166" s="57">
        <f t="shared" si="135"/>
        <v>8.9370873417721519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175</v>
      </c>
      <c r="AQ166" s="100"/>
      <c r="AR166" s="100" t="s">
        <v>75</v>
      </c>
    </row>
    <row r="167" spans="3:44" ht="15" x14ac:dyDescent="0.25">
      <c r="C167" s="40" t="str">
        <f>"R-SW_Det"&amp;"_"&amp;RIGHT(E167,3)&amp;"_HPN1-D"</f>
        <v>R-SW_Det_ELC_HPN1-D</v>
      </c>
      <c r="D167" s="30" t="s">
        <v>713</v>
      </c>
      <c r="E167" s="30" t="s">
        <v>148</v>
      </c>
      <c r="F167" s="30" t="s">
        <v>660</v>
      </c>
      <c r="G167" s="30" t="s">
        <v>768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512">
        <v>20</v>
      </c>
      <c r="U167" s="58"/>
      <c r="V167" s="40">
        <f t="shared" si="135"/>
        <v>9.9300970464135023</v>
      </c>
      <c r="W167" s="29">
        <f t="shared" si="135"/>
        <v>9.9300970464135023</v>
      </c>
      <c r="X167" s="29">
        <f t="shared" si="135"/>
        <v>8.9370873417721519</v>
      </c>
      <c r="Y167" s="58">
        <f t="shared" si="135"/>
        <v>8.9370873417721519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175</v>
      </c>
      <c r="AQ167" s="100"/>
      <c r="AR167" s="100" t="s">
        <v>75</v>
      </c>
    </row>
    <row r="168" spans="3:44" ht="15" x14ac:dyDescent="0.25">
      <c r="C168" s="22" t="str">
        <f>"R-SW_Det"&amp;"_"&amp;RIGHT(E168,3)&amp;"_HPN1-E"</f>
        <v>R-SW_Det_ELC_HPN1-E</v>
      </c>
      <c r="D168" s="24" t="s">
        <v>714</v>
      </c>
      <c r="E168" s="24" t="s">
        <v>148</v>
      </c>
      <c r="F168" s="24" t="s">
        <v>660</v>
      </c>
      <c r="G168" s="24" t="s">
        <v>769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511">
        <v>20</v>
      </c>
      <c r="U168" s="57"/>
      <c r="V168" s="22">
        <f t="shared" si="135"/>
        <v>11.304214657884598</v>
      </c>
      <c r="W168" s="23">
        <f t="shared" si="135"/>
        <v>11.304214657884598</v>
      </c>
      <c r="X168" s="23">
        <f t="shared" si="135"/>
        <v>10.311204953243248</v>
      </c>
      <c r="Y168" s="57">
        <f t="shared" si="135"/>
        <v>10.311204953243248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175</v>
      </c>
      <c r="AQ168" s="100"/>
      <c r="AR168" s="100" t="s">
        <v>75</v>
      </c>
    </row>
    <row r="169" spans="3:44" ht="15" x14ac:dyDescent="0.25">
      <c r="C169" s="40" t="str">
        <f>"R-SW_Det"&amp;"_"&amp;RIGHT(E169,3)&amp;"_HPN1-F"</f>
        <v>R-SW_Det_ELC_HPN1-F</v>
      </c>
      <c r="D169" s="30" t="s">
        <v>715</v>
      </c>
      <c r="E169" s="30" t="s">
        <v>148</v>
      </c>
      <c r="F169" s="30" t="s">
        <v>660</v>
      </c>
      <c r="G169" s="30" t="s">
        <v>770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512">
        <v>20</v>
      </c>
      <c r="U169" s="58"/>
      <c r="V169" s="40">
        <f t="shared" si="135"/>
        <v>11.475979359318485</v>
      </c>
      <c r="W169" s="29">
        <f t="shared" si="135"/>
        <v>11.475979359318485</v>
      </c>
      <c r="X169" s="29">
        <f t="shared" si="135"/>
        <v>10.482969654677136</v>
      </c>
      <c r="Y169" s="58">
        <f t="shared" si="135"/>
        <v>10.482969654677136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175</v>
      </c>
      <c r="AQ169" s="100"/>
      <c r="AR169" s="100" t="s">
        <v>75</v>
      </c>
    </row>
    <row r="170" spans="3:44" ht="15" x14ac:dyDescent="0.25">
      <c r="C170" s="246" t="str">
        <f>"R-SW_Det"&amp;"_"&amp;RIGHT(E170,3)&amp;"_HPN1-G"</f>
        <v>R-SW_Det_ELC_HPN1-G</v>
      </c>
      <c r="D170" s="27" t="s">
        <v>734</v>
      </c>
      <c r="E170" s="27" t="s">
        <v>148</v>
      </c>
      <c r="F170" s="27" t="s">
        <v>660</v>
      </c>
      <c r="G170" s="27" t="s">
        <v>771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514">
        <v>20</v>
      </c>
      <c r="U170" s="59"/>
      <c r="V170" s="246">
        <f t="shared" si="135"/>
        <v>11.647744060752371</v>
      </c>
      <c r="W170" s="26">
        <f t="shared" si="135"/>
        <v>11.647744060752371</v>
      </c>
      <c r="X170" s="26">
        <f t="shared" si="135"/>
        <v>10.654734356111021</v>
      </c>
      <c r="Y170" s="59">
        <f t="shared" si="135"/>
        <v>10.654734356111021</v>
      </c>
      <c r="Z170" s="64">
        <v>0.1</v>
      </c>
      <c r="AA170" s="67"/>
      <c r="AB170" s="515"/>
      <c r="AC170" s="515"/>
      <c r="AD170" s="515"/>
      <c r="AE170" s="515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175</v>
      </c>
      <c r="AQ170" s="100"/>
      <c r="AR170" s="100" t="s">
        <v>75</v>
      </c>
    </row>
    <row r="171" spans="3:44" ht="15" x14ac:dyDescent="0.25">
      <c r="C171" s="19" t="str">
        <f>"R-SW_Det"&amp;"_"&amp;RIGHT(E171,3)&amp;"_HPN2-AB"</f>
        <v>R-SW_Det_ELC_HPN2-AB</v>
      </c>
      <c r="D171" s="88" t="s">
        <v>755</v>
      </c>
      <c r="E171" s="88" t="s">
        <v>550</v>
      </c>
      <c r="F171" s="88" t="s">
        <v>660</v>
      </c>
      <c r="G171" s="88" t="s">
        <v>766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510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34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175</v>
      </c>
      <c r="AQ171" s="100"/>
      <c r="AR171" s="100" t="s">
        <v>75</v>
      </c>
    </row>
    <row r="172" spans="3:44" ht="15" x14ac:dyDescent="0.25">
      <c r="C172" s="22" t="str">
        <f>"R-SW_Det"&amp;"_"&amp;RIGHT(E172,3)&amp;"_HPN2-C"</f>
        <v>R-SW_Det_ELC_HPN2-C</v>
      </c>
      <c r="D172" s="24" t="s">
        <v>756</v>
      </c>
      <c r="E172" s="24" t="s">
        <v>550</v>
      </c>
      <c r="F172" s="24" t="s">
        <v>660</v>
      </c>
      <c r="G172" s="24" t="s">
        <v>767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511">
        <v>20</v>
      </c>
      <c r="U172" s="23"/>
      <c r="V172" s="22">
        <f t="shared" ref="V172:Y176" si="137">V21/$V$20*$V$171</f>
        <v>15.153057851239668</v>
      </c>
      <c r="W172" s="23">
        <f t="shared" si="137"/>
        <v>15.153057851239668</v>
      </c>
      <c r="X172" s="23">
        <f t="shared" si="137"/>
        <v>13.6377520661157</v>
      </c>
      <c r="Y172" s="57">
        <f t="shared" si="137"/>
        <v>13.6377520661157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35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175</v>
      </c>
      <c r="AQ172" s="100"/>
      <c r="AR172" s="100" t="s">
        <v>75</v>
      </c>
    </row>
    <row r="173" spans="3:44" ht="15" x14ac:dyDescent="0.25">
      <c r="C173" s="40" t="str">
        <f>"R-SW_Det"&amp;"_"&amp;RIGHT(E173,3)&amp;"_HPN2-D"</f>
        <v>R-SW_Det_ELC_HPN2-D</v>
      </c>
      <c r="D173" s="30" t="s">
        <v>757</v>
      </c>
      <c r="E173" s="30" t="s">
        <v>550</v>
      </c>
      <c r="F173" s="30" t="s">
        <v>660</v>
      </c>
      <c r="G173" s="30" t="s">
        <v>768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512">
        <v>20</v>
      </c>
      <c r="U173" s="29"/>
      <c r="V173" s="40">
        <f t="shared" si="137"/>
        <v>15.153057851239668</v>
      </c>
      <c r="W173" s="29">
        <f t="shared" si="137"/>
        <v>15.153057851239668</v>
      </c>
      <c r="X173" s="29">
        <f t="shared" si="137"/>
        <v>13.6377520661157</v>
      </c>
      <c r="Y173" s="58">
        <f t="shared" si="137"/>
        <v>13.6377520661157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36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175</v>
      </c>
      <c r="AQ173" s="100"/>
      <c r="AR173" s="100" t="s">
        <v>75</v>
      </c>
    </row>
    <row r="174" spans="3:44" ht="15" x14ac:dyDescent="0.25">
      <c r="C174" s="22" t="str">
        <f>"R-SW_Det"&amp;"_"&amp;RIGHT(E174,3)&amp;"_HPN2-E"</f>
        <v>R-SW_Det_ELC_HPN2-E</v>
      </c>
      <c r="D174" s="24" t="s">
        <v>758</v>
      </c>
      <c r="E174" s="24" t="s">
        <v>550</v>
      </c>
      <c r="F174" s="24" t="s">
        <v>660</v>
      </c>
      <c r="G174" s="24" t="s">
        <v>769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511">
        <v>20</v>
      </c>
      <c r="U174" s="23"/>
      <c r="V174" s="22">
        <f t="shared" si="137"/>
        <v>17.249923930564563</v>
      </c>
      <c r="W174" s="23">
        <f t="shared" si="137"/>
        <v>17.249923930564563</v>
      </c>
      <c r="X174" s="23">
        <f t="shared" si="137"/>
        <v>15.734618145440594</v>
      </c>
      <c r="Y174" s="57">
        <f t="shared" si="137"/>
        <v>15.734618145440594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35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175</v>
      </c>
      <c r="AQ174" s="100"/>
      <c r="AR174" s="100" t="s">
        <v>75</v>
      </c>
    </row>
    <row r="175" spans="3:44" ht="15" x14ac:dyDescent="0.25">
      <c r="C175" s="40" t="str">
        <f>"R-SW_Det"&amp;"_"&amp;RIGHT(E175,3)&amp;"_HPN2-F"</f>
        <v>R-SW_Det_ELC_HPN2-F</v>
      </c>
      <c r="D175" s="30" t="s">
        <v>759</v>
      </c>
      <c r="E175" s="30" t="s">
        <v>550</v>
      </c>
      <c r="F175" s="30" t="s">
        <v>660</v>
      </c>
      <c r="G175" s="30" t="s">
        <v>770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512">
        <v>20</v>
      </c>
      <c r="U175" s="29"/>
      <c r="V175" s="40">
        <f t="shared" si="137"/>
        <v>17.512032190480173</v>
      </c>
      <c r="W175" s="29">
        <f t="shared" si="137"/>
        <v>17.512032190480173</v>
      </c>
      <c r="X175" s="29">
        <f t="shared" si="137"/>
        <v>15.996726405356208</v>
      </c>
      <c r="Y175" s="58">
        <f t="shared" si="137"/>
        <v>15.996726405356208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36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175</v>
      </c>
      <c r="AQ175" s="100"/>
      <c r="AR175" s="100" t="s">
        <v>75</v>
      </c>
    </row>
    <row r="176" spans="3:44" ht="15" x14ac:dyDescent="0.25">
      <c r="C176" s="246" t="str">
        <f>"R-SW_Det"&amp;"_"&amp;RIGHT(E176,3)&amp;"_HPN2-G"</f>
        <v>R-SW_Det_ELC_HPN2-G</v>
      </c>
      <c r="D176" s="27" t="s">
        <v>760</v>
      </c>
      <c r="E176" s="27" t="s">
        <v>550</v>
      </c>
      <c r="F176" s="27" t="s">
        <v>660</v>
      </c>
      <c r="G176" s="27" t="s">
        <v>771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514">
        <v>20</v>
      </c>
      <c r="U176" s="26"/>
      <c r="V176" s="246">
        <f t="shared" si="137"/>
        <v>17.774140450395784</v>
      </c>
      <c r="W176" s="26">
        <f t="shared" si="137"/>
        <v>17.774140450395784</v>
      </c>
      <c r="X176" s="26">
        <f t="shared" si="137"/>
        <v>16.258834665271817</v>
      </c>
      <c r="Y176" s="59">
        <f t="shared" si="137"/>
        <v>16.258834665271817</v>
      </c>
      <c r="Z176" s="64">
        <f>((JRC_Data!BL18+JRC_Data!BL45)*0.8)/1000</f>
        <v>0.16960000000000003</v>
      </c>
      <c r="AA176" s="67"/>
      <c r="AB176" s="515">
        <v>0.66</v>
      </c>
      <c r="AC176" s="515"/>
      <c r="AD176" s="515"/>
      <c r="AE176" s="515"/>
      <c r="AF176" s="535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175</v>
      </c>
      <c r="AQ176" s="100"/>
      <c r="AR176" s="100" t="s">
        <v>75</v>
      </c>
    </row>
    <row r="177" spans="3:44" ht="15" x14ac:dyDescent="0.25">
      <c r="C177" s="19" t="str">
        <f>"R-SH_Det"&amp;"_"&amp;RIGHT(E177,3)&amp;"_HPN3-AB"</f>
        <v>R-SH_Det_ELC_HPN3-AB</v>
      </c>
      <c r="D177" s="88" t="s">
        <v>736</v>
      </c>
      <c r="E177" s="88" t="s">
        <v>148</v>
      </c>
      <c r="F177" s="88" t="s">
        <v>558</v>
      </c>
      <c r="G177" s="88" t="s">
        <v>728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10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175</v>
      </c>
      <c r="AQ177" s="100"/>
      <c r="AR177" s="100" t="s">
        <v>75</v>
      </c>
    </row>
    <row r="178" spans="3:44" ht="15" x14ac:dyDescent="0.25">
      <c r="C178" s="22" t="str">
        <f>"R-SH_Det"&amp;"_"&amp;RIGHT(E178,3)&amp;"_HPN3-C"</f>
        <v>R-SH_Det_ELC_HPN3-C</v>
      </c>
      <c r="D178" s="24" t="s">
        <v>737</v>
      </c>
      <c r="E178" s="24" t="s">
        <v>148</v>
      </c>
      <c r="F178" s="24" t="s">
        <v>558</v>
      </c>
      <c r="G178" s="24" t="s">
        <v>761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11">
        <v>20</v>
      </c>
      <c r="U178" s="57"/>
      <c r="V178" s="22">
        <f t="shared" ref="V178:Y182" si="138">V21/$V$20*$V$177</f>
        <v>14.8</v>
      </c>
      <c r="W178" s="23">
        <f t="shared" si="138"/>
        <v>14.8</v>
      </c>
      <c r="X178" s="23">
        <f t="shared" si="138"/>
        <v>13.319999999999999</v>
      </c>
      <c r="Y178" s="57">
        <f t="shared" si="138"/>
        <v>13.319999999999999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175</v>
      </c>
      <c r="AQ178" s="100"/>
      <c r="AR178" s="100" t="s">
        <v>75</v>
      </c>
    </row>
    <row r="179" spans="3:44" ht="15" x14ac:dyDescent="0.25">
      <c r="C179" s="40" t="str">
        <f>"R-SH_Det"&amp;"_"&amp;RIGHT(E179,3)&amp;"_HPN3-D"</f>
        <v>R-SH_Det_ELC_HPN3-D</v>
      </c>
      <c r="D179" s="30" t="s">
        <v>738</v>
      </c>
      <c r="E179" s="30" t="s">
        <v>148</v>
      </c>
      <c r="F179" s="30" t="s">
        <v>558</v>
      </c>
      <c r="G179" s="30" t="s">
        <v>762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12">
        <v>20</v>
      </c>
      <c r="U179" s="58"/>
      <c r="V179" s="40">
        <f t="shared" si="138"/>
        <v>14.8</v>
      </c>
      <c r="W179" s="29">
        <f t="shared" si="138"/>
        <v>14.8</v>
      </c>
      <c r="X179" s="29">
        <f t="shared" si="138"/>
        <v>13.319999999999999</v>
      </c>
      <c r="Y179" s="58">
        <f t="shared" si="138"/>
        <v>13.319999999999999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175</v>
      </c>
      <c r="AQ179" s="100"/>
      <c r="AR179" s="100" t="s">
        <v>75</v>
      </c>
    </row>
    <row r="180" spans="3:44" ht="15" x14ac:dyDescent="0.25">
      <c r="C180" s="22" t="str">
        <f>"R-SH_Det"&amp;"_"&amp;RIGHT(E180,3)&amp;"_HPN3-E"</f>
        <v>R-SH_Det_ELC_HPN3-E</v>
      </c>
      <c r="D180" s="24" t="s">
        <v>739</v>
      </c>
      <c r="E180" s="24" t="s">
        <v>148</v>
      </c>
      <c r="F180" s="24" t="s">
        <v>558</v>
      </c>
      <c r="G180" s="24" t="s">
        <v>763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11">
        <v>20</v>
      </c>
      <c r="U180" s="57"/>
      <c r="V180" s="22">
        <f t="shared" si="138"/>
        <v>16.848010261603378</v>
      </c>
      <c r="W180" s="23">
        <f t="shared" si="138"/>
        <v>16.848010261603378</v>
      </c>
      <c r="X180" s="23">
        <f t="shared" si="138"/>
        <v>15.368010261603375</v>
      </c>
      <c r="Y180" s="57">
        <f t="shared" si="138"/>
        <v>15.368010261603375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175</v>
      </c>
      <c r="AQ180" s="100"/>
      <c r="AR180" s="100" t="s">
        <v>75</v>
      </c>
    </row>
    <row r="181" spans="3:44" ht="15" x14ac:dyDescent="0.25">
      <c r="C181" s="40" t="str">
        <f>"R-SH_Det"&amp;"_"&amp;RIGHT(E181,3)&amp;"_HPN3-F"</f>
        <v>R-SH_Det_ELC_HPN3-F</v>
      </c>
      <c r="D181" s="30" t="s">
        <v>740</v>
      </c>
      <c r="E181" s="30" t="s">
        <v>148</v>
      </c>
      <c r="F181" s="30" t="s">
        <v>558</v>
      </c>
      <c r="G181" s="30" t="s">
        <v>765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12">
        <v>20</v>
      </c>
      <c r="U181" s="58"/>
      <c r="V181" s="40">
        <f t="shared" si="138"/>
        <v>17.104011544303798</v>
      </c>
      <c r="W181" s="29">
        <f t="shared" si="138"/>
        <v>17.104011544303798</v>
      </c>
      <c r="X181" s="29">
        <f t="shared" si="138"/>
        <v>15.6240115443038</v>
      </c>
      <c r="Y181" s="58">
        <f t="shared" si="138"/>
        <v>15.6240115443038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175</v>
      </c>
      <c r="AQ181" s="100"/>
      <c r="AR181" s="100" t="s">
        <v>75</v>
      </c>
    </row>
    <row r="182" spans="3:44" ht="15" x14ac:dyDescent="0.25">
      <c r="C182" s="246" t="str">
        <f>"R-SH_Det"&amp;"_"&amp;RIGHT(E182,3)&amp;"_HPN3-G"</f>
        <v>R-SH_Det_ELC_HPN3-G</v>
      </c>
      <c r="D182" s="27" t="s">
        <v>741</v>
      </c>
      <c r="E182" s="27" t="s">
        <v>148</v>
      </c>
      <c r="F182" s="27" t="s">
        <v>558</v>
      </c>
      <c r="G182" s="27" t="s">
        <v>764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4">
        <v>20</v>
      </c>
      <c r="U182" s="59"/>
      <c r="V182" s="246">
        <f t="shared" si="138"/>
        <v>17.360012827004219</v>
      </c>
      <c r="W182" s="26">
        <f t="shared" si="138"/>
        <v>17.360012827004219</v>
      </c>
      <c r="X182" s="26">
        <f t="shared" si="138"/>
        <v>15.880012827004217</v>
      </c>
      <c r="Y182" s="59">
        <f t="shared" si="138"/>
        <v>15.880012827004217</v>
      </c>
      <c r="Z182" s="64"/>
      <c r="AA182" s="67"/>
      <c r="AB182" s="515"/>
      <c r="AC182" s="515"/>
      <c r="AD182" s="515"/>
      <c r="AE182" s="515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175</v>
      </c>
      <c r="AQ182" s="100"/>
      <c r="AR182" s="100" t="s">
        <v>75</v>
      </c>
    </row>
    <row r="183" spans="3:44" ht="15" x14ac:dyDescent="0.25">
      <c r="C183" s="19" t="str">
        <f>"R-HC_Det"&amp;"_"&amp;RIGHT(E183,3)&amp;"_HPN2-AB"</f>
        <v>R-HC_Det_ELC_HPN2-AB</v>
      </c>
      <c r="D183" s="88" t="s">
        <v>742</v>
      </c>
      <c r="E183" s="88" t="s">
        <v>148</v>
      </c>
      <c r="F183" s="88" t="s">
        <v>558</v>
      </c>
      <c r="G183" s="88" t="s">
        <v>790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510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175</v>
      </c>
      <c r="AQ183" s="100"/>
      <c r="AR183" s="100" t="s">
        <v>75</v>
      </c>
    </row>
    <row r="184" spans="3:44" ht="15" x14ac:dyDescent="0.25">
      <c r="C184" s="22" t="str">
        <f>"R-HC_Det"&amp;"_"&amp;RIGHT(E184,3)&amp;"_HPN2-C"</f>
        <v>R-HC_Det_ELC_HPN2-C</v>
      </c>
      <c r="D184" s="24" t="s">
        <v>743</v>
      </c>
      <c r="E184" s="24" t="s">
        <v>148</v>
      </c>
      <c r="F184" s="24" t="s">
        <v>558</v>
      </c>
      <c r="G184" s="24" t="s">
        <v>791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511">
        <v>20</v>
      </c>
      <c r="U184" s="23"/>
      <c r="V184" s="22">
        <f t="shared" ref="V184:Y188" si="141">V21/$V$20*$V$183</f>
        <v>15.97142857142857</v>
      </c>
      <c r="W184" s="23">
        <f t="shared" si="141"/>
        <v>15.97142857142857</v>
      </c>
      <c r="X184" s="23">
        <f t="shared" si="141"/>
        <v>14.374285714285712</v>
      </c>
      <c r="Y184" s="57">
        <f t="shared" si="141"/>
        <v>14.374285714285712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175</v>
      </c>
      <c r="AQ184" s="100"/>
      <c r="AR184" s="100" t="s">
        <v>75</v>
      </c>
    </row>
    <row r="185" spans="3:44" ht="15" x14ac:dyDescent="0.25">
      <c r="C185" s="40" t="str">
        <f>"R-HC_Det"&amp;"_"&amp;RIGHT(E185,3)&amp;"_HPN2-D"</f>
        <v>R-HC_Det_ELC_HPN2-D</v>
      </c>
      <c r="D185" s="30" t="s">
        <v>744</v>
      </c>
      <c r="E185" s="30" t="s">
        <v>148</v>
      </c>
      <c r="F185" s="30" t="s">
        <v>558</v>
      </c>
      <c r="G185" s="30" t="s">
        <v>792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512">
        <v>20</v>
      </c>
      <c r="U185" s="29"/>
      <c r="V185" s="40">
        <f t="shared" si="141"/>
        <v>15.97142857142857</v>
      </c>
      <c r="W185" s="29">
        <f t="shared" si="141"/>
        <v>15.97142857142857</v>
      </c>
      <c r="X185" s="29">
        <f t="shared" si="141"/>
        <v>14.374285714285712</v>
      </c>
      <c r="Y185" s="58">
        <f t="shared" si="141"/>
        <v>14.374285714285712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R185" s="100" t="s">
        <v>75</v>
      </c>
    </row>
    <row r="186" spans="3:44" ht="15" x14ac:dyDescent="0.25">
      <c r="C186" s="22" t="str">
        <f>"R-HC_Det"&amp;"_"&amp;RIGHT(E186,3)&amp;"_HPN2-E"</f>
        <v>R-HC_Det_ELC_HPN2-E</v>
      </c>
      <c r="D186" s="24" t="s">
        <v>745</v>
      </c>
      <c r="E186" s="24" t="s">
        <v>148</v>
      </c>
      <c r="F186" s="24" t="s">
        <v>558</v>
      </c>
      <c r="G186" s="24" t="s">
        <v>793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511">
        <v>20</v>
      </c>
      <c r="U186" s="23"/>
      <c r="V186" s="22">
        <f t="shared" si="141"/>
        <v>18.181540031344181</v>
      </c>
      <c r="W186" s="23">
        <f t="shared" si="141"/>
        <v>18.181540031344181</v>
      </c>
      <c r="X186" s="23">
        <f t="shared" si="141"/>
        <v>16.584397174201321</v>
      </c>
      <c r="Y186" s="57">
        <f t="shared" si="141"/>
        <v>16.584397174201321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R186" s="100" t="s">
        <v>75</v>
      </c>
    </row>
    <row r="187" spans="3:44" ht="15" x14ac:dyDescent="0.25">
      <c r="C187" s="40" t="str">
        <f>"R-HC_Det"&amp;"_"&amp;RIGHT(E187,3)&amp;"_HPN2-F"</f>
        <v>R-HC_Det_ELC_HPN2-F</v>
      </c>
      <c r="D187" s="30" t="s">
        <v>746</v>
      </c>
      <c r="E187" s="30" t="s">
        <v>148</v>
      </c>
      <c r="F187" s="30" t="s">
        <v>558</v>
      </c>
      <c r="G187" s="30" t="s">
        <v>794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512">
        <v>20</v>
      </c>
      <c r="U187" s="29"/>
      <c r="V187" s="40">
        <f t="shared" si="141"/>
        <v>18.457803963833634</v>
      </c>
      <c r="W187" s="29">
        <f t="shared" si="141"/>
        <v>18.457803963833634</v>
      </c>
      <c r="X187" s="29">
        <f t="shared" si="141"/>
        <v>16.860661106690777</v>
      </c>
      <c r="Y187" s="58">
        <f t="shared" si="141"/>
        <v>16.860661106690777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/>
      <c r="AR187" s="100" t="s">
        <v>75</v>
      </c>
    </row>
    <row r="188" spans="3:44" ht="15" x14ac:dyDescent="0.25">
      <c r="C188" s="246" t="str">
        <f>"R-HC_Det"&amp;"_"&amp;RIGHT(E188,3)&amp;"_HPN2-G"</f>
        <v>R-HC_Det_ELC_HPN2-G</v>
      </c>
      <c r="D188" s="27" t="s">
        <v>747</v>
      </c>
      <c r="E188" s="27" t="s">
        <v>148</v>
      </c>
      <c r="F188" s="27" t="s">
        <v>558</v>
      </c>
      <c r="G188" s="27" t="s">
        <v>795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46"/>
      <c r="Q188" s="26"/>
      <c r="R188" s="26"/>
      <c r="S188" s="59"/>
      <c r="T188" s="514">
        <v>20</v>
      </c>
      <c r="U188" s="26"/>
      <c r="V188" s="246">
        <f t="shared" si="141"/>
        <v>18.734067896323083</v>
      </c>
      <c r="W188" s="26">
        <f t="shared" si="141"/>
        <v>18.734067896323083</v>
      </c>
      <c r="X188" s="26">
        <f t="shared" si="141"/>
        <v>17.136925039180223</v>
      </c>
      <c r="Y188" s="59">
        <f t="shared" si="141"/>
        <v>17.136925039180223</v>
      </c>
      <c r="Z188" s="64"/>
      <c r="AA188" s="67"/>
      <c r="AB188" s="515"/>
      <c r="AC188" s="515"/>
      <c r="AD188" s="515"/>
      <c r="AE188" s="515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/>
      <c r="AR188" s="100" t="s">
        <v>75</v>
      </c>
    </row>
    <row r="189" spans="3:44" ht="15" x14ac:dyDescent="0.25">
      <c r="C189" s="33" t="s">
        <v>272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/>
      <c r="AR189" s="100" t="s">
        <v>75</v>
      </c>
    </row>
    <row r="190" spans="3:44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694</v>
      </c>
      <c r="F190" s="88" t="s">
        <v>660</v>
      </c>
      <c r="G190" s="88" t="s">
        <v>725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/>
      <c r="AR190" s="100" t="s">
        <v>75</v>
      </c>
    </row>
    <row r="191" spans="3:44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694</v>
      </c>
      <c r="F191" s="27" t="s">
        <v>660</v>
      </c>
      <c r="G191" s="27" t="s">
        <v>725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R191" s="100" t="s">
        <v>75</v>
      </c>
    </row>
    <row r="192" spans="3:44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/>
      <c r="AR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695</v>
      </c>
      <c r="F193" s="115" t="s">
        <v>660</v>
      </c>
      <c r="G193" s="94" t="s">
        <v>725</v>
      </c>
      <c r="H193" s="373">
        <f>1*$AD$48+JRC_Data!AD18*(1.3-$AD$48)</f>
        <v>3.4850000000000003</v>
      </c>
      <c r="I193" s="373">
        <f>1*$AD$48+JRC_Data!AE18*(1.3-$AD$48)</f>
        <v>3.8650000000000007</v>
      </c>
      <c r="J193" s="373">
        <f>1*$AD$48+JRC_Data!AF18*(1.3-$AD$48)</f>
        <v>4.1500000000000004</v>
      </c>
      <c r="K193" s="373">
        <f>1*$AD$48+JRC_Data!AG18*(1.3-$AD$48)</f>
        <v>4.1500000000000004</v>
      </c>
      <c r="L193" s="49"/>
      <c r="M193" s="50"/>
      <c r="N193" s="50"/>
      <c r="O193" s="51"/>
      <c r="P193" s="246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"R-SW_Det"&amp;"_"&amp;RIGHT(E195,3)&amp;"_N1"</f>
        <v>R-SW_Det_HET_N1</v>
      </c>
      <c r="D195" s="20" t="s">
        <v>114</v>
      </c>
      <c r="E195" s="88" t="s">
        <v>257</v>
      </c>
      <c r="F195" s="88"/>
      <c r="G195" s="88" t="s">
        <v>725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0.7</v>
      </c>
      <c r="Q195" s="241">
        <v>0.7</v>
      </c>
      <c r="R195" s="241">
        <v>0.7</v>
      </c>
      <c r="S195" s="242">
        <v>0.7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2100</v>
      </c>
      <c r="AJ195" s="87">
        <v>38</v>
      </c>
      <c r="AL195" s="100"/>
    </row>
    <row r="196" spans="3:38" ht="15" x14ac:dyDescent="0.25">
      <c r="C196" s="246" t="str">
        <f>"R-SW_Det"&amp;"_"&amp;RIGHT(E196,3)&amp;"_N2"</f>
        <v>R-SW_Det_HET_N2</v>
      </c>
      <c r="D196" s="26" t="s">
        <v>115</v>
      </c>
      <c r="E196" s="27" t="s">
        <v>257</v>
      </c>
      <c r="F196" s="27"/>
      <c r="G196" s="27" t="s">
        <v>725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0.7</v>
      </c>
      <c r="Q196" s="248">
        <v>0.7</v>
      </c>
      <c r="R196" s="248">
        <v>0.7</v>
      </c>
      <c r="S196" s="249">
        <v>0.7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2100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0.7</v>
      </c>
      <c r="Q198" s="241">
        <v>0.7</v>
      </c>
      <c r="R198" s="241">
        <v>0.7</v>
      </c>
      <c r="S198" s="242">
        <v>0.7</v>
      </c>
      <c r="T198" s="52">
        <v>20</v>
      </c>
      <c r="U198" s="48"/>
      <c r="V198" s="19">
        <f>(JRC_Data!BB48/1000)*($U$217/$U$216)</f>
        <v>4.3022222222222215</v>
      </c>
      <c r="W198" s="19">
        <f>(JRC_Data!BC48/1000)*($U$217/$U$216)</f>
        <v>4.3022222222222215</v>
      </c>
      <c r="X198" s="19">
        <f>(JRC_Data!BD48/1000)*($U$217/$U$216)</f>
        <v>4.3022222222222215</v>
      </c>
      <c r="Y198" s="19">
        <f>(JRC_Data!BE48/1000)*($U$217/$U$216)</f>
        <v>4.3022222222222215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266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</f>
        <v>5.8079999999999998</v>
      </c>
      <c r="W199" s="22">
        <f>(JRC_Data!BC45/1000)*($U$217/$U$216)</f>
        <v>5.4853333333333323</v>
      </c>
      <c r="X199" s="22">
        <f>(JRC_Data!BD45/1000)*($U$217/$U$216)</f>
        <v>4.9475555555555539</v>
      </c>
      <c r="Y199" s="22">
        <f>(JRC_Data!BE45/1000)*($U$217/$U$216)</f>
        <v>3.9795555555555553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276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x14ac:dyDescent="0.2">
      <c r="J212" s="11"/>
    </row>
    <row r="213" spans="10:36" x14ac:dyDescent="0.2">
      <c r="J213" s="11"/>
      <c r="T213" s="3" t="s">
        <v>519</v>
      </c>
    </row>
    <row r="214" spans="10:36" x14ac:dyDescent="0.2">
      <c r="J214" s="11"/>
      <c r="T214" s="3" t="s">
        <v>210</v>
      </c>
      <c r="U214" s="3" t="s">
        <v>521</v>
      </c>
      <c r="V214" s="3" t="s">
        <v>516</v>
      </c>
    </row>
    <row r="215" spans="10:36" x14ac:dyDescent="0.2">
      <c r="J215" s="11"/>
      <c r="T215" s="370">
        <v>3</v>
      </c>
      <c r="U215" s="371">
        <f t="shared" ref="U215:U224" si="149">V215/$V$223</f>
        <v>0.72929037751472525</v>
      </c>
      <c r="V215" s="372">
        <f>(V216/V220)*V217</f>
        <v>1888.8620777631384</v>
      </c>
    </row>
    <row r="216" spans="10:36" x14ac:dyDescent="0.2">
      <c r="J216" s="11"/>
      <c r="T216" s="370">
        <v>5</v>
      </c>
      <c r="U216" s="371">
        <f t="shared" si="149"/>
        <v>0.79101166159768732</v>
      </c>
      <c r="V216" s="372">
        <f>(V217/V221)*V218</f>
        <v>2048.7202035380101</v>
      </c>
    </row>
    <row r="217" spans="10:36" ht="13.5" thickBot="1" x14ac:dyDescent="0.25">
      <c r="T217" s="370">
        <v>8</v>
      </c>
      <c r="U217" s="371">
        <f t="shared" si="149"/>
        <v>0.85077698714062355</v>
      </c>
      <c r="V217" s="372">
        <f>(V218/V221)*V219</f>
        <v>2203.5123966942151</v>
      </c>
      <c r="Z217" s="4"/>
      <c r="AC217" s="124"/>
      <c r="AE217" s="3"/>
      <c r="AG217" s="124" t="s">
        <v>816</v>
      </c>
      <c r="AH217" s="124" t="s">
        <v>815</v>
      </c>
    </row>
    <row r="218" spans="10:36" ht="13.5" thickBot="1" x14ac:dyDescent="0.25">
      <c r="T218" s="370">
        <v>10</v>
      </c>
      <c r="U218" s="371">
        <f t="shared" si="149"/>
        <v>0.86872586872586877</v>
      </c>
      <c r="V218" s="370">
        <f>V221-(V223-V221)</f>
        <v>2250</v>
      </c>
      <c r="Z218" s="617" t="s">
        <v>809</v>
      </c>
      <c r="AA218" s="618"/>
      <c r="AB218" s="618"/>
      <c r="AC218" s="619"/>
      <c r="AD218" s="124" t="s">
        <v>810</v>
      </c>
      <c r="AE218" s="124"/>
      <c r="AF218" s="124" t="s">
        <v>813</v>
      </c>
      <c r="AG218" s="124" t="s">
        <v>55</v>
      </c>
      <c r="AH218" s="124" t="s">
        <v>250</v>
      </c>
      <c r="AI218" s="549" t="s">
        <v>251</v>
      </c>
      <c r="AJ218" s="549" t="s">
        <v>252</v>
      </c>
    </row>
    <row r="219" spans="10:36" x14ac:dyDescent="0.2">
      <c r="L219" s="621" t="s">
        <v>504</v>
      </c>
      <c r="M219" s="621"/>
      <c r="N219" s="621"/>
      <c r="O219" s="621"/>
      <c r="P219" s="621"/>
      <c r="Q219" s="621"/>
      <c r="T219" s="3">
        <v>15</v>
      </c>
      <c r="U219" s="361">
        <f t="shared" si="149"/>
        <v>0.91505791505791501</v>
      </c>
      <c r="V219" s="3">
        <v>2370</v>
      </c>
      <c r="X219" s="4"/>
      <c r="Y219" s="4"/>
      <c r="Z219" s="546" t="s">
        <v>807</v>
      </c>
      <c r="AA219" s="547" t="s">
        <v>796</v>
      </c>
      <c r="AB219" s="547" t="s">
        <v>797</v>
      </c>
      <c r="AC219" s="548" t="s">
        <v>819</v>
      </c>
      <c r="AD219" s="124" t="s">
        <v>811</v>
      </c>
      <c r="AF219" s="620" t="s">
        <v>812</v>
      </c>
      <c r="AG219" s="620"/>
    </row>
    <row r="220" spans="10:36" x14ac:dyDescent="0.2">
      <c r="L220" s="124" t="s">
        <v>814</v>
      </c>
      <c r="M220" s="3" t="s">
        <v>512</v>
      </c>
      <c r="N220" s="3" t="s">
        <v>513</v>
      </c>
      <c r="O220" s="4" t="s">
        <v>510</v>
      </c>
      <c r="P220" s="360" t="s">
        <v>514</v>
      </c>
      <c r="Q220" s="4" t="s">
        <v>509</v>
      </c>
      <c r="T220" s="3">
        <v>18</v>
      </c>
      <c r="U220" s="361">
        <f t="shared" si="149"/>
        <v>0.92277992277992282</v>
      </c>
      <c r="V220" s="3">
        <v>2390</v>
      </c>
      <c r="X220" s="4"/>
      <c r="Y220" s="4"/>
      <c r="Z220" s="537" t="s">
        <v>798</v>
      </c>
      <c r="AA220" s="538" t="s">
        <v>802</v>
      </c>
      <c r="AB220" s="2">
        <v>35</v>
      </c>
      <c r="AC220" s="539">
        <v>3.33</v>
      </c>
      <c r="AD220" s="3">
        <v>630</v>
      </c>
      <c r="AF220" s="476">
        <v>4.3</v>
      </c>
      <c r="AG220" s="476">
        <v>1.6</v>
      </c>
      <c r="AH220" s="554">
        <f>$AD$224*$L$222*(AG220-1)</f>
        <v>1890.0000000000002</v>
      </c>
      <c r="AI220" s="554">
        <f>$AD$224*$L$223*(AG220-1)</f>
        <v>2646.0000000000005</v>
      </c>
      <c r="AJ220" s="554">
        <f>$AD$224*$L$224*(AG220-1)</f>
        <v>3780.0000000000005</v>
      </c>
    </row>
    <row r="221" spans="10:36" x14ac:dyDescent="0.2">
      <c r="M221" s="4">
        <v>111</v>
      </c>
      <c r="N221" s="4" t="s">
        <v>254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49"/>
        <v>0.93436293436293438</v>
      </c>
      <c r="V221" s="370">
        <f>AVERAGE(V220,V222)</f>
        <v>2420</v>
      </c>
      <c r="X221" s="4"/>
      <c r="Y221" s="4"/>
      <c r="Z221" s="540" t="s">
        <v>483</v>
      </c>
      <c r="AA221" s="541" t="s">
        <v>803</v>
      </c>
      <c r="AB221" s="542">
        <v>40</v>
      </c>
      <c r="AC221" s="543">
        <v>3.16</v>
      </c>
      <c r="AD221" s="4">
        <v>630</v>
      </c>
      <c r="AF221" s="3">
        <v>2.7</v>
      </c>
      <c r="AG221" s="476">
        <v>1.3</v>
      </c>
      <c r="AH221" s="554">
        <f>$AD$224*$L$222*(AG221-1)</f>
        <v>945.00000000000011</v>
      </c>
      <c r="AI221" s="554">
        <f>$AD$224*$L$223*(AG221-1)</f>
        <v>1323.0000000000002</v>
      </c>
      <c r="AJ221" s="554">
        <f>$AD$224*$L$224*(AG221-1)</f>
        <v>1890.0000000000002</v>
      </c>
    </row>
    <row r="222" spans="10:36" x14ac:dyDescent="0.2">
      <c r="L222" s="3">
        <v>5</v>
      </c>
      <c r="M222" s="4">
        <v>70</v>
      </c>
      <c r="N222" s="4" t="s">
        <v>505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49"/>
        <v>0.94594594594594594</v>
      </c>
      <c r="V222" s="3">
        <v>2450</v>
      </c>
      <c r="X222" s="4"/>
      <c r="Y222" s="4"/>
      <c r="Z222" s="537" t="s">
        <v>799</v>
      </c>
      <c r="AA222" s="538" t="s">
        <v>804</v>
      </c>
      <c r="AB222" s="2">
        <v>45</v>
      </c>
      <c r="AC222" s="539">
        <v>2.84</v>
      </c>
      <c r="AD222" s="4">
        <v>630</v>
      </c>
      <c r="AF222" s="476">
        <v>1.9</v>
      </c>
      <c r="AG222" s="476">
        <v>1.2</v>
      </c>
      <c r="AH222" s="554">
        <f>$AD$224*$L$222*(AG222-1)</f>
        <v>629.99999999999989</v>
      </c>
      <c r="AI222" s="554">
        <f>$AD$224*$L$223*(AG222-1)</f>
        <v>881.99999999999977</v>
      </c>
      <c r="AJ222" s="554">
        <f>$AD$224*$L$224*(AG222-1)</f>
        <v>1259.9999999999998</v>
      </c>
    </row>
    <row r="223" spans="10:36" x14ac:dyDescent="0.2">
      <c r="L223" s="3">
        <v>7</v>
      </c>
      <c r="M223" s="4">
        <v>99</v>
      </c>
      <c r="N223" s="4" t="s">
        <v>506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49"/>
        <v>1</v>
      </c>
      <c r="V223" s="3">
        <v>2590</v>
      </c>
      <c r="X223" s="4"/>
      <c r="Y223" s="4"/>
      <c r="Z223" s="540" t="s">
        <v>800</v>
      </c>
      <c r="AA223" s="541" t="s">
        <v>805</v>
      </c>
      <c r="AB223" s="542">
        <v>50</v>
      </c>
      <c r="AC223" s="543">
        <v>2.6</v>
      </c>
      <c r="AD223" s="4">
        <v>630</v>
      </c>
      <c r="AF223" s="542">
        <v>1.5</v>
      </c>
      <c r="AG223" s="3">
        <v>1.1000000000000001</v>
      </c>
      <c r="AH223" s="554">
        <f>$AD$224*$L$222*(AG223-1)</f>
        <v>315.00000000000028</v>
      </c>
      <c r="AI223" s="554">
        <f>$AD$224*$L$223*(AG223-1)</f>
        <v>441.0000000000004</v>
      </c>
      <c r="AJ223" s="554">
        <f>$AD$224*$L$224*(AG223-1)</f>
        <v>630.00000000000057</v>
      </c>
    </row>
    <row r="224" spans="10:36" ht="13.5" thickBot="1" x14ac:dyDescent="0.25">
      <c r="L224" s="3">
        <v>10</v>
      </c>
      <c r="M224" s="4">
        <v>150</v>
      </c>
      <c r="N224" s="4" t="s">
        <v>507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49"/>
        <v>1.0791505791505791</v>
      </c>
      <c r="V224" s="3">
        <v>2795</v>
      </c>
      <c r="Z224" s="544" t="s">
        <v>801</v>
      </c>
      <c r="AA224" s="545" t="s">
        <v>806</v>
      </c>
      <c r="AB224" s="545" t="s">
        <v>808</v>
      </c>
      <c r="AC224" s="555">
        <v>2.35</v>
      </c>
      <c r="AD224" s="4">
        <v>630</v>
      </c>
      <c r="AF224" s="476">
        <v>1</v>
      </c>
      <c r="AG224" s="3">
        <v>1</v>
      </c>
      <c r="AH224" s="554">
        <f>$AD$224*$L$222*(AG224-1)</f>
        <v>0</v>
      </c>
      <c r="AI224" s="554">
        <f>$AD$224*$L$223*(AG224-1)</f>
        <v>0</v>
      </c>
      <c r="AJ224" s="554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508</v>
      </c>
      <c r="N226" s="4"/>
      <c r="O226" s="4"/>
      <c r="P226" s="4"/>
      <c r="Q226" s="4"/>
    </row>
    <row r="227" spans="8:38" x14ac:dyDescent="0.2">
      <c r="M227" s="4" t="s">
        <v>511</v>
      </c>
      <c r="N227" s="4"/>
      <c r="O227" s="4"/>
      <c r="P227" s="4"/>
      <c r="Q227" s="4"/>
    </row>
    <row r="228" spans="8:38" x14ac:dyDescent="0.2">
      <c r="M228" s="201" t="s">
        <v>517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518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622" t="s">
        <v>818</v>
      </c>
      <c r="AC230" s="622"/>
      <c r="AD230" s="622"/>
      <c r="AE230" s="622"/>
      <c r="AG230" s="602" t="s">
        <v>815</v>
      </c>
      <c r="AH230" s="603"/>
      <c r="AI230" s="604"/>
      <c r="AJ230" s="602" t="s">
        <v>65</v>
      </c>
      <c r="AK230" s="603"/>
      <c r="AL230" s="604"/>
    </row>
    <row r="231" spans="8:38" ht="13.5" thickBot="1" x14ac:dyDescent="0.25">
      <c r="H231" s="4"/>
      <c r="I231" s="4"/>
      <c r="J231" s="4"/>
      <c r="K231" s="4"/>
      <c r="AB231" s="4"/>
      <c r="AC231" s="4" t="s">
        <v>250</v>
      </c>
      <c r="AD231" s="4" t="s">
        <v>251</v>
      </c>
      <c r="AE231" s="4" t="s">
        <v>252</v>
      </c>
      <c r="AG231" s="573" t="s">
        <v>250</v>
      </c>
      <c r="AH231" s="574" t="s">
        <v>251</v>
      </c>
      <c r="AI231" s="575" t="s">
        <v>252</v>
      </c>
      <c r="AJ231" s="576" t="s">
        <v>250</v>
      </c>
      <c r="AK231" s="574" t="s">
        <v>251</v>
      </c>
      <c r="AL231" s="575" t="s">
        <v>252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817</v>
      </c>
      <c r="AC232" s="550">
        <v>1.5</v>
      </c>
      <c r="AD232" s="550">
        <v>1.54</v>
      </c>
      <c r="AE232" s="550">
        <v>1.95</v>
      </c>
      <c r="AF232" s="124" t="s">
        <v>817</v>
      </c>
      <c r="AG232" s="556">
        <v>0</v>
      </c>
      <c r="AH232" s="557">
        <v>0</v>
      </c>
      <c r="AI232" s="558">
        <v>0</v>
      </c>
      <c r="AJ232" s="557">
        <v>1</v>
      </c>
      <c r="AK232" s="557">
        <v>1</v>
      </c>
      <c r="AL232" s="558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243</v>
      </c>
      <c r="AC233" s="550">
        <v>1.98</v>
      </c>
      <c r="AD233" s="550">
        <v>2.3199999999999998</v>
      </c>
      <c r="AE233" s="553">
        <v>2.61</v>
      </c>
      <c r="AF233" s="124" t="s">
        <v>243</v>
      </c>
      <c r="AG233" s="556">
        <v>0</v>
      </c>
      <c r="AH233" s="557">
        <v>0</v>
      </c>
      <c r="AI233" s="568">
        <f>AJ220-AJ222</f>
        <v>2520.0000000000009</v>
      </c>
      <c r="AJ233" s="557">
        <v>1</v>
      </c>
      <c r="AK233" s="557">
        <v>1</v>
      </c>
      <c r="AL233" s="559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244</v>
      </c>
      <c r="AC234" s="550">
        <v>2.23</v>
      </c>
      <c r="AD234" s="553">
        <v>2.85</v>
      </c>
      <c r="AE234" s="553">
        <v>3.01</v>
      </c>
      <c r="AF234" s="124" t="s">
        <v>244</v>
      </c>
      <c r="AG234" s="556">
        <v>0</v>
      </c>
      <c r="AH234" s="567">
        <f>AI220-AI222</f>
        <v>1764.0000000000007</v>
      </c>
      <c r="AI234" s="568">
        <f>AJ220-AJ222</f>
        <v>2520.0000000000009</v>
      </c>
      <c r="AJ234" s="557">
        <v>1</v>
      </c>
      <c r="AK234" s="560">
        <f>AC222/AC220</f>
        <v>0.85285285285285284</v>
      </c>
      <c r="AL234" s="559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245</v>
      </c>
      <c r="AC235" s="553">
        <v>2.7</v>
      </c>
      <c r="AD235" s="553">
        <v>3.5</v>
      </c>
      <c r="AE235" s="552">
        <v>3.78</v>
      </c>
      <c r="AF235" s="124" t="s">
        <v>245</v>
      </c>
      <c r="AG235" s="566">
        <f>AH220-AH222</f>
        <v>1260.0000000000005</v>
      </c>
      <c r="AH235" s="567">
        <f>AI220-AI222</f>
        <v>1764.0000000000007</v>
      </c>
      <c r="AI235" s="570">
        <f>AJ220-AJ223</f>
        <v>3150</v>
      </c>
      <c r="AJ235" s="560">
        <f>AC222/AC220</f>
        <v>0.85285285285285284</v>
      </c>
      <c r="AK235" s="560">
        <f>AC222/AC220</f>
        <v>0.85285285285285284</v>
      </c>
      <c r="AL235" s="572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246</v>
      </c>
      <c r="AC236" s="553">
        <v>3.3</v>
      </c>
      <c r="AD236" s="552">
        <v>4.1100000000000003</v>
      </c>
      <c r="AE236" s="552">
        <v>4.5</v>
      </c>
      <c r="AF236" s="124" t="s">
        <v>246</v>
      </c>
      <c r="AG236" s="566">
        <f>AH220-AH222</f>
        <v>1260.0000000000005</v>
      </c>
      <c r="AH236" s="569">
        <f>AI220-AI223</f>
        <v>2205</v>
      </c>
      <c r="AI236" s="570">
        <f>AJ220-AJ223</f>
        <v>3150</v>
      </c>
      <c r="AJ236" s="560">
        <f>AC223/AC221</f>
        <v>0.82278481012658222</v>
      </c>
      <c r="AK236" s="571">
        <f>AC223/AC220</f>
        <v>0.78078078078078084</v>
      </c>
      <c r="AL236" s="572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247</v>
      </c>
      <c r="AC237" s="551">
        <v>4.8</v>
      </c>
      <c r="AD237" s="551">
        <v>5.0999999999999996</v>
      </c>
      <c r="AE237" s="551">
        <v>6</v>
      </c>
      <c r="AF237" s="124" t="s">
        <v>247</v>
      </c>
      <c r="AG237" s="563">
        <f>AH220-AH223</f>
        <v>1575</v>
      </c>
      <c r="AH237" s="564">
        <f>AI220-AI224</f>
        <v>2646.0000000000005</v>
      </c>
      <c r="AI237" s="565">
        <f>AJ220-AJ224</f>
        <v>3780.0000000000005</v>
      </c>
      <c r="AJ237" s="561">
        <f>AC224/AC220</f>
        <v>0.70570570570570568</v>
      </c>
      <c r="AK237" s="561">
        <f>AC224/AC220</f>
        <v>0.70570570570570568</v>
      </c>
      <c r="AL237" s="562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820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602" t="s">
        <v>815</v>
      </c>
      <c r="AH240" s="603"/>
      <c r="AI240" s="604"/>
      <c r="AJ240" s="602" t="s">
        <v>65</v>
      </c>
      <c r="AK240" s="603"/>
      <c r="AL240" s="604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73" t="s">
        <v>250</v>
      </c>
      <c r="AH241" s="574" t="s">
        <v>251</v>
      </c>
      <c r="AI241" s="575" t="s">
        <v>252</v>
      </c>
      <c r="AJ241" s="576" t="s">
        <v>250</v>
      </c>
      <c r="AK241" s="574" t="s">
        <v>251</v>
      </c>
      <c r="AL241" s="575" t="s">
        <v>252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556">
        <v>0</v>
      </c>
      <c r="AH242" s="557">
        <v>0</v>
      </c>
      <c r="AI242" s="558">
        <v>0</v>
      </c>
      <c r="AJ242" s="578">
        <v>1</v>
      </c>
      <c r="AK242" s="579">
        <v>1</v>
      </c>
      <c r="AL242" s="580">
        <v>1</v>
      </c>
    </row>
    <row r="243" spans="8:38" x14ac:dyDescent="0.2">
      <c r="AG243" s="556">
        <v>0</v>
      </c>
      <c r="AH243" s="557">
        <v>0</v>
      </c>
      <c r="AI243" s="568">
        <f>AI233</f>
        <v>2520.0000000000009</v>
      </c>
      <c r="AJ243" s="578">
        <v>1</v>
      </c>
      <c r="AK243" s="579">
        <v>1</v>
      </c>
      <c r="AL243" s="581">
        <f>AL233</f>
        <v>0.85285285285285284</v>
      </c>
    </row>
    <row r="244" spans="8:38" x14ac:dyDescent="0.2">
      <c r="AG244" s="556">
        <v>0</v>
      </c>
      <c r="AH244" s="567">
        <f>AH234</f>
        <v>1764.0000000000007</v>
      </c>
      <c r="AI244" s="568">
        <f>AI243+(AI247-AI243)/4</f>
        <v>2835.0000000000009</v>
      </c>
      <c r="AJ244" s="578">
        <v>1</v>
      </c>
      <c r="AK244" s="582">
        <f>AK234</f>
        <v>0.85285285285285284</v>
      </c>
      <c r="AL244" s="581">
        <f>AL243+(AL247-AL243)/4</f>
        <v>0.81606606606606602</v>
      </c>
    </row>
    <row r="245" spans="8:38" x14ac:dyDescent="0.2">
      <c r="AG245" s="566">
        <f>AG235</f>
        <v>1260.0000000000005</v>
      </c>
      <c r="AH245" s="567">
        <f>AH244+(AH247-AH244)/3</f>
        <v>2058.0000000000005</v>
      </c>
      <c r="AI245" s="570">
        <f>AI244+(AI247-AI243)/4</f>
        <v>3150.0000000000009</v>
      </c>
      <c r="AJ245" s="583">
        <f>AJ235</f>
        <v>0.85285285285285284</v>
      </c>
      <c r="AK245" s="582">
        <f>AK244+(AK247-AK244)/3</f>
        <v>0.80380380380380378</v>
      </c>
      <c r="AL245" s="584">
        <f>AL244+(AL247-AL243)/4</f>
        <v>0.7792792792792792</v>
      </c>
    </row>
    <row r="246" spans="8:38" x14ac:dyDescent="0.2">
      <c r="AG246" s="566">
        <f>(AG247+AG245)/2</f>
        <v>1417.5000000000002</v>
      </c>
      <c r="AH246" s="569">
        <f>AH245+(AH247-AH244)/3</f>
        <v>2352.0000000000005</v>
      </c>
      <c r="AI246" s="570">
        <f>AI245+(AI247-AI243)/4</f>
        <v>3465.0000000000009</v>
      </c>
      <c r="AJ246" s="583">
        <f>(AJ247+AJ245)/2</f>
        <v>0.77927927927927931</v>
      </c>
      <c r="AK246" s="585">
        <f>AK245+(AK247-AK244)/3</f>
        <v>0.75475475475475473</v>
      </c>
      <c r="AL246" s="584">
        <f>AL245+(AL247-AL243)/4</f>
        <v>0.74249249249249238</v>
      </c>
    </row>
    <row r="247" spans="8:38" ht="13.5" thickBot="1" x14ac:dyDescent="0.25">
      <c r="AG247" s="577">
        <f t="shared" ref="AG247" si="150">AG237</f>
        <v>1575</v>
      </c>
      <c r="AH247" s="564">
        <f>AH237</f>
        <v>2646.0000000000005</v>
      </c>
      <c r="AI247" s="565">
        <f>AI237</f>
        <v>3780.0000000000005</v>
      </c>
      <c r="AJ247" s="586">
        <f t="shared" ref="AJ247" si="151">AJ237</f>
        <v>0.70570570570570568</v>
      </c>
      <c r="AK247" s="587">
        <f>AK237</f>
        <v>0.70570570570570568</v>
      </c>
      <c r="AL247" s="588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8">
    <mergeCell ref="AJ230:AL230"/>
    <mergeCell ref="Z218:AC218"/>
    <mergeCell ref="AF219:AG219"/>
    <mergeCell ref="L219:Q219"/>
    <mergeCell ref="AB230:AE230"/>
    <mergeCell ref="AG230:AI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552</v>
      </c>
      <c r="L4" s="17" t="s">
        <v>236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267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605" t="s">
        <v>86</v>
      </c>
      <c r="M5" s="606"/>
      <c r="N5" s="606"/>
      <c r="O5" s="607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614" t="s">
        <v>503</v>
      </c>
      <c r="M6" s="616"/>
      <c r="N6" s="616"/>
      <c r="O6" s="615"/>
      <c r="P6" s="367" t="s">
        <v>515</v>
      </c>
      <c r="Q6" s="61" t="s">
        <v>34</v>
      </c>
      <c r="R6" s="367" t="s">
        <v>291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264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260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284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553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527</v>
      </c>
      <c r="F21" s="117" t="s">
        <v>13</v>
      </c>
      <c r="G21" s="117" t="s">
        <v>121</v>
      </c>
      <c r="H21" s="117"/>
      <c r="I21" s="117"/>
      <c r="J21" s="118" t="s">
        <v>553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528</v>
      </c>
      <c r="F22" s="117" t="s">
        <v>13</v>
      </c>
      <c r="G22" s="117" t="s">
        <v>121</v>
      </c>
      <c r="H22" s="117"/>
      <c r="I22" s="117"/>
      <c r="J22" s="118" t="s">
        <v>553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529</v>
      </c>
      <c r="F23" s="117" t="s">
        <v>13</v>
      </c>
      <c r="G23" s="117" t="s">
        <v>121</v>
      </c>
      <c r="H23" s="117"/>
      <c r="I23" s="117"/>
      <c r="J23" s="118" t="s">
        <v>553</v>
      </c>
    </row>
    <row r="24" spans="3:17" x14ac:dyDescent="0.2">
      <c r="C24" s="116" t="s">
        <v>31</v>
      </c>
      <c r="D24" s="117" t="s">
        <v>286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553</v>
      </c>
    </row>
    <row r="25" spans="3:17" x14ac:dyDescent="0.2">
      <c r="C25" s="116" t="s">
        <v>31</v>
      </c>
      <c r="D25" s="117" t="s">
        <v>287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553</v>
      </c>
    </row>
    <row r="26" spans="3:17" x14ac:dyDescent="0.2">
      <c r="C26" s="116" t="s">
        <v>31</v>
      </c>
      <c r="D26" s="117" t="s">
        <v>288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553</v>
      </c>
      <c r="Q26" s="124"/>
    </row>
    <row r="27" spans="3:17" x14ac:dyDescent="0.2">
      <c r="C27" s="116" t="s">
        <v>31</v>
      </c>
      <c r="D27" s="117" t="s">
        <v>289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553</v>
      </c>
    </row>
    <row r="28" spans="3:17" x14ac:dyDescent="0.2">
      <c r="C28" s="116" t="s">
        <v>31</v>
      </c>
      <c r="D28" s="119" t="s">
        <v>290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553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236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05" t="s">
        <v>86</v>
      </c>
      <c r="M33" s="606"/>
      <c r="N33" s="606"/>
      <c r="O33" s="607"/>
    </row>
    <row r="34" spans="8:15" x14ac:dyDescent="0.2">
      <c r="H34" s="3" t="s">
        <v>133</v>
      </c>
      <c r="L34" s="614" t="s">
        <v>91</v>
      </c>
      <c r="M34" s="616"/>
      <c r="N34" s="616"/>
      <c r="O34" s="615"/>
    </row>
    <row r="35" spans="8:15" ht="14.25" customHeight="1" x14ac:dyDescent="0.2">
      <c r="H35" s="3" t="s">
        <v>284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285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264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260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286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287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288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289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290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552</v>
      </c>
      <c r="K3" s="17" t="s">
        <v>236</v>
      </c>
      <c r="L3" s="17" t="s">
        <v>88</v>
      </c>
      <c r="M3" s="17" t="s">
        <v>90</v>
      </c>
      <c r="N3" s="17" t="s">
        <v>61</v>
      </c>
      <c r="O3" s="17" t="s">
        <v>267</v>
      </c>
      <c r="P3" s="17" t="s">
        <v>77</v>
      </c>
      <c r="Q3" s="17" t="s">
        <v>78</v>
      </c>
      <c r="AA3" s="201" t="s">
        <v>539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611" t="s">
        <v>65</v>
      </c>
      <c r="I4" s="612"/>
      <c r="J4" s="613"/>
      <c r="K4" s="605" t="s">
        <v>86</v>
      </c>
      <c r="L4" s="606"/>
      <c r="M4" s="607"/>
      <c r="N4" s="60"/>
      <c r="O4" s="60" t="s">
        <v>87</v>
      </c>
      <c r="P4" s="60" t="s">
        <v>66</v>
      </c>
      <c r="Q4" s="60"/>
      <c r="X4" s="60" t="s">
        <v>209</v>
      </c>
      <c r="AA4" s="201" t="s">
        <v>540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623" t="s">
        <v>34</v>
      </c>
      <c r="I5" s="624"/>
      <c r="J5" s="625"/>
      <c r="K5" s="623" t="s">
        <v>292</v>
      </c>
      <c r="L5" s="624"/>
      <c r="M5" s="625"/>
      <c r="N5" s="376" t="s">
        <v>92</v>
      </c>
      <c r="O5" s="376" t="s">
        <v>34</v>
      </c>
      <c r="P5" s="377" t="s">
        <v>291</v>
      </c>
      <c r="Q5" s="376" t="s">
        <v>94</v>
      </c>
      <c r="X5" s="61" t="s">
        <v>210</v>
      </c>
      <c r="AA5" s="201"/>
      <c r="AB5" s="626" t="s">
        <v>541</v>
      </c>
      <c r="AC5" s="626"/>
      <c r="AD5" s="378"/>
      <c r="AE5" s="627" t="s">
        <v>65</v>
      </c>
      <c r="AF5" s="627"/>
      <c r="AG5" s="627" t="s">
        <v>542</v>
      </c>
      <c r="AH5" s="627"/>
      <c r="AI5" s="628" t="s">
        <v>543</v>
      </c>
      <c r="AJ5" s="628"/>
    </row>
    <row r="6" spans="3:37" x14ac:dyDescent="0.2">
      <c r="C6" s="422" t="str">
        <f t="shared" ref="C6:D11" si="0">D16</f>
        <v>R-LT_Apt_N1</v>
      </c>
      <c r="D6" s="423" t="str">
        <f t="shared" si="0"/>
        <v>Residential Lighting Apartment New</v>
      </c>
      <c r="E6" s="424" t="s">
        <v>148</v>
      </c>
      <c r="F6" s="425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7">
        <f>31.536*(X6/1000)</f>
        <v>2.0498399999999999E-4</v>
      </c>
      <c r="Q6" s="405">
        <v>2020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26" t="str">
        <f t="shared" si="0"/>
        <v>R-PF_Apt_N1</v>
      </c>
      <c r="D7" s="135" t="str">
        <f t="shared" si="0"/>
        <v>Residential Pumps &amp; Fans Apartment New</v>
      </c>
      <c r="E7" s="434" t="s">
        <v>148</v>
      </c>
      <c r="F7" s="435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2"/>
      <c r="O7" s="413"/>
      <c r="P7" s="418">
        <f t="shared" ref="P7:P10" si="3">31.536*(X7/1000)</f>
        <v>1.5768000000000002E-3</v>
      </c>
      <c r="Q7" s="414">
        <v>2020</v>
      </c>
      <c r="S7" s="201" t="s">
        <v>215</v>
      </c>
      <c r="X7" s="202">
        <v>0.05</v>
      </c>
      <c r="AA7" s="3" t="s">
        <v>544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7" t="str">
        <f t="shared" si="0"/>
        <v>R-LT_Att_N1</v>
      </c>
      <c r="D8" s="132" t="str">
        <f t="shared" si="0"/>
        <v>Residential Lighting Attached New</v>
      </c>
      <c r="E8" s="428" t="s">
        <v>148</v>
      </c>
      <c r="F8" s="433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5"/>
      <c r="O8" s="142"/>
      <c r="P8" s="419">
        <f t="shared" si="3"/>
        <v>2.0498399999999999E-4</v>
      </c>
      <c r="Q8" s="416">
        <v>2020</v>
      </c>
      <c r="S8" s="124" t="s">
        <v>216</v>
      </c>
      <c r="X8" s="202">
        <v>6.4999999999999997E-3</v>
      </c>
      <c r="AA8" s="3" t="s">
        <v>545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x14ac:dyDescent="0.2">
      <c r="C9" s="426" t="str">
        <f t="shared" si="0"/>
        <v>R-PF_Att_N1</v>
      </c>
      <c r="D9" s="135" t="str">
        <f t="shared" si="0"/>
        <v>Residential Pumps &amp; Fans Attached New</v>
      </c>
      <c r="E9" s="434" t="s">
        <v>148</v>
      </c>
      <c r="F9" s="435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2"/>
      <c r="O9" s="413"/>
      <c r="P9" s="418">
        <f t="shared" si="3"/>
        <v>1.5768000000000002E-3</v>
      </c>
      <c r="Q9" s="414">
        <v>2020</v>
      </c>
      <c r="X9" s="202">
        <v>0.05</v>
      </c>
      <c r="AA9" s="3" t="s">
        <v>546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7" t="str">
        <f t="shared" si="0"/>
        <v>R-LT_Det_N1</v>
      </c>
      <c r="D10" s="132" t="str">
        <f t="shared" si="0"/>
        <v>Residential Lighting Detached New</v>
      </c>
      <c r="E10" s="428" t="s">
        <v>148</v>
      </c>
      <c r="F10" s="433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9"/>
      <c r="O10" s="410"/>
      <c r="P10" s="420">
        <f t="shared" si="3"/>
        <v>2.0498399999999999E-4</v>
      </c>
      <c r="Q10" s="411">
        <v>2020</v>
      </c>
      <c r="X10" s="202">
        <v>6.4999999999999997E-3</v>
      </c>
      <c r="AA10" s="3" t="s">
        <v>547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9" t="str">
        <f t="shared" si="0"/>
        <v>R-PF_Det_N1</v>
      </c>
      <c r="D11" s="430" t="str">
        <f t="shared" si="0"/>
        <v>Residential Pumps &amp; Fans Detached New</v>
      </c>
      <c r="E11" s="431" t="s">
        <v>148</v>
      </c>
      <c r="F11" s="432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21">
        <f>31.536*(X11/1000)</f>
        <v>1.5768000000000002E-3</v>
      </c>
      <c r="Q11" s="408">
        <v>2020</v>
      </c>
      <c r="X11" s="202">
        <v>0.05</v>
      </c>
      <c r="AA11" s="3" t="s">
        <v>548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549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543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553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553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553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553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553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553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236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605" t="s">
        <v>86</v>
      </c>
      <c r="M27" s="606"/>
      <c r="N27" s="606"/>
      <c r="O27" s="607"/>
      <c r="T27" s="203"/>
      <c r="U27" s="203"/>
    </row>
    <row r="28" spans="3:21" x14ac:dyDescent="0.2">
      <c r="J28" s="3" t="s">
        <v>133</v>
      </c>
      <c r="L28" s="608" t="s">
        <v>91</v>
      </c>
      <c r="M28" s="609"/>
      <c r="N28" s="609"/>
      <c r="O28" s="610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topLeftCell="L7" zoomScale="80" zoomScaleNormal="80" workbookViewId="0">
      <selection activeCell="A45" sqref="A45:XFD45"/>
    </sheetView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89" ht="22.5" x14ac:dyDescent="0.2">
      <c r="A1" s="262" t="s">
        <v>293</v>
      </c>
      <c r="AC1" s="264">
        <v>100</v>
      </c>
      <c r="BB1" s="265" t="s">
        <v>294</v>
      </c>
      <c r="BC1" s="266"/>
      <c r="BD1" s="266" t="s">
        <v>295</v>
      </c>
      <c r="BE1" s="266" t="s">
        <v>296</v>
      </c>
      <c r="BF1" s="266" t="s">
        <v>297</v>
      </c>
    </row>
    <row r="2" spans="1:89" x14ac:dyDescent="0.2">
      <c r="A2" s="263" t="s">
        <v>559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298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89" x14ac:dyDescent="0.2">
      <c r="A3" s="263" t="s">
        <v>502</v>
      </c>
      <c r="B3" s="267" t="s">
        <v>243</v>
      </c>
      <c r="C3" s="267"/>
      <c r="D3" s="268" t="s">
        <v>243</v>
      </c>
      <c r="E3" s="268" t="s">
        <v>244</v>
      </c>
      <c r="F3" s="268" t="s">
        <v>245</v>
      </c>
      <c r="G3" s="268" t="s">
        <v>246</v>
      </c>
      <c r="H3" s="268" t="s">
        <v>247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89" s="275" customFormat="1" ht="36" customHeight="1" x14ac:dyDescent="0.2">
      <c r="A4" s="271" t="s">
        <v>299</v>
      </c>
      <c r="B4" s="272" t="s">
        <v>300</v>
      </c>
      <c r="C4" s="273" t="s">
        <v>301</v>
      </c>
      <c r="D4" s="629" t="s">
        <v>302</v>
      </c>
      <c r="E4" s="630"/>
      <c r="F4" s="630"/>
      <c r="G4" s="630"/>
      <c r="H4" s="631"/>
      <c r="I4" s="630" t="s">
        <v>303</v>
      </c>
      <c r="J4" s="630"/>
      <c r="K4" s="630"/>
      <c r="L4" s="630"/>
      <c r="M4" s="631"/>
      <c r="N4" s="630" t="s">
        <v>304</v>
      </c>
      <c r="O4" s="630"/>
      <c r="P4" s="630"/>
      <c r="Q4" s="630"/>
      <c r="R4" s="631"/>
      <c r="S4" s="630" t="s">
        <v>305</v>
      </c>
      <c r="T4" s="630"/>
      <c r="U4" s="630"/>
      <c r="V4" s="630"/>
      <c r="W4" s="631"/>
      <c r="X4" s="630" t="s">
        <v>306</v>
      </c>
      <c r="Y4" s="630"/>
      <c r="Z4" s="630"/>
      <c r="AA4" s="630"/>
      <c r="AB4" s="631"/>
      <c r="AC4" s="630" t="s">
        <v>307</v>
      </c>
      <c r="AD4" s="630"/>
      <c r="AE4" s="630"/>
      <c r="AF4" s="630"/>
      <c r="AG4" s="631"/>
      <c r="AH4" s="630" t="s">
        <v>308</v>
      </c>
      <c r="AI4" s="630"/>
      <c r="AJ4" s="630"/>
      <c r="AK4" s="630"/>
      <c r="AL4" s="631"/>
      <c r="AM4" s="630" t="s">
        <v>309</v>
      </c>
      <c r="AN4" s="630"/>
      <c r="AO4" s="630"/>
      <c r="AP4" s="630"/>
      <c r="AQ4" s="631"/>
      <c r="AR4" s="630" t="s">
        <v>310</v>
      </c>
      <c r="AS4" s="630"/>
      <c r="AT4" s="630"/>
      <c r="AU4" s="630"/>
      <c r="AV4" s="631"/>
      <c r="AW4" s="630" t="s">
        <v>311</v>
      </c>
      <c r="AX4" s="630"/>
      <c r="AY4" s="630"/>
      <c r="AZ4" s="630"/>
      <c r="BA4" s="630"/>
      <c r="BB4" s="629" t="s">
        <v>312</v>
      </c>
      <c r="BC4" s="630"/>
      <c r="BD4" s="630"/>
      <c r="BE4" s="630"/>
      <c r="BF4" s="631"/>
      <c r="BG4" s="630" t="s">
        <v>313</v>
      </c>
      <c r="BH4" s="630"/>
      <c r="BI4" s="630"/>
      <c r="BJ4" s="630"/>
      <c r="BK4" s="630"/>
      <c r="BL4" s="629" t="s">
        <v>314</v>
      </c>
      <c r="BM4" s="630"/>
      <c r="BN4" s="630"/>
      <c r="BO4" s="630"/>
      <c r="BP4" s="630"/>
      <c r="BQ4" s="629" t="s">
        <v>315</v>
      </c>
      <c r="BR4" s="630"/>
      <c r="BS4" s="630"/>
      <c r="BT4" s="630"/>
      <c r="BU4" s="631"/>
      <c r="BV4" s="274" t="s">
        <v>316</v>
      </c>
      <c r="BW4" s="632" t="s">
        <v>317</v>
      </c>
      <c r="BX4" s="633"/>
      <c r="BY4" s="633"/>
      <c r="BZ4" s="633"/>
      <c r="CA4" s="634"/>
      <c r="CB4" s="632" t="s">
        <v>318</v>
      </c>
      <c r="CC4" s="633"/>
      <c r="CD4" s="633"/>
      <c r="CE4" s="633"/>
      <c r="CF4" s="634"/>
      <c r="CG4" s="632" t="s">
        <v>319</v>
      </c>
      <c r="CH4" s="633"/>
      <c r="CI4" s="633"/>
      <c r="CJ4" s="633"/>
      <c r="CK4" s="634"/>
    </row>
    <row r="5" spans="1:89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89" s="293" customFormat="1" x14ac:dyDescent="0.2">
      <c r="A6" s="286" t="s">
        <v>320</v>
      </c>
      <c r="B6" s="287"/>
      <c r="C6" s="288"/>
      <c r="D6" s="289"/>
      <c r="E6" s="290"/>
      <c r="F6" s="290"/>
      <c r="G6" s="290"/>
      <c r="H6" s="291"/>
      <c r="I6" s="290"/>
      <c r="J6" s="290"/>
      <c r="K6" s="290"/>
      <c r="L6" s="290"/>
      <c r="M6" s="291"/>
      <c r="N6" s="290"/>
      <c r="O6" s="290"/>
      <c r="P6" s="290"/>
      <c r="Q6" s="290"/>
      <c r="R6" s="291"/>
      <c r="S6" s="290"/>
      <c r="T6" s="290"/>
      <c r="U6" s="290"/>
      <c r="V6" s="290"/>
      <c r="W6" s="291"/>
      <c r="X6" s="290"/>
      <c r="Y6" s="290"/>
      <c r="Z6" s="290"/>
      <c r="AA6" s="290"/>
      <c r="AB6" s="291"/>
      <c r="AC6" s="290">
        <v>0</v>
      </c>
      <c r="AD6" s="290">
        <v>0</v>
      </c>
      <c r="AE6" s="290">
        <v>0</v>
      </c>
      <c r="AF6" s="290">
        <v>0</v>
      </c>
      <c r="AG6" s="291">
        <v>0</v>
      </c>
      <c r="AH6" s="290">
        <v>0</v>
      </c>
      <c r="AI6" s="290">
        <v>0</v>
      </c>
      <c r="AJ6" s="290">
        <v>0</v>
      </c>
      <c r="AK6" s="290">
        <v>0</v>
      </c>
      <c r="AL6" s="291">
        <v>0</v>
      </c>
      <c r="AM6" s="290">
        <v>0</v>
      </c>
      <c r="AN6" s="290">
        <v>0</v>
      </c>
      <c r="AO6" s="290">
        <v>0</v>
      </c>
      <c r="AP6" s="290">
        <v>0</v>
      </c>
      <c r="AQ6" s="291">
        <v>0</v>
      </c>
      <c r="AR6" s="290"/>
      <c r="AS6" s="290"/>
      <c r="AT6" s="290"/>
      <c r="AU6" s="290"/>
      <c r="AV6" s="291"/>
      <c r="AW6" s="290"/>
      <c r="AX6" s="290"/>
      <c r="AY6" s="290"/>
      <c r="AZ6" s="290"/>
      <c r="BA6" s="291"/>
      <c r="BB6" s="290"/>
      <c r="BC6" s="290"/>
      <c r="BD6" s="290"/>
      <c r="BE6" s="290"/>
      <c r="BF6" s="291"/>
      <c r="BG6" s="290"/>
      <c r="BH6" s="290"/>
      <c r="BI6" s="290"/>
      <c r="BJ6" s="290"/>
      <c r="BK6" s="291"/>
      <c r="BL6" s="290"/>
      <c r="BM6" s="290"/>
      <c r="BN6" s="290"/>
      <c r="BO6" s="290"/>
      <c r="BP6" s="291"/>
      <c r="BQ6" s="289"/>
      <c r="BR6" s="290"/>
      <c r="BS6" s="290"/>
      <c r="BT6" s="290"/>
      <c r="BU6" s="291"/>
      <c r="BV6" s="292"/>
      <c r="BW6" s="290"/>
      <c r="BX6" s="290"/>
      <c r="BY6" s="290"/>
      <c r="BZ6" s="290"/>
      <c r="CA6" s="291"/>
      <c r="CB6" s="290"/>
      <c r="CC6" s="290"/>
      <c r="CD6" s="290"/>
      <c r="CE6" s="290"/>
      <c r="CF6" s="291"/>
      <c r="CG6" s="289"/>
      <c r="CH6" s="290"/>
      <c r="CI6" s="290"/>
      <c r="CJ6" s="290"/>
      <c r="CK6" s="291"/>
    </row>
    <row r="7" spans="1:89" s="293" customFormat="1" x14ac:dyDescent="0.2">
      <c r="A7" s="294" t="s">
        <v>321</v>
      </c>
      <c r="B7" s="295" t="s">
        <v>423</v>
      </c>
      <c r="C7" s="296" t="s">
        <v>322</v>
      </c>
      <c r="D7" s="297" t="s">
        <v>424</v>
      </c>
      <c r="E7" s="298" t="s">
        <v>424</v>
      </c>
      <c r="F7" s="298" t="s">
        <v>424</v>
      </c>
      <c r="G7" s="298" t="s">
        <v>424</v>
      </c>
      <c r="H7" s="299" t="s">
        <v>424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89" s="293" customFormat="1" x14ac:dyDescent="0.2">
      <c r="A8" s="294" t="s">
        <v>323</v>
      </c>
      <c r="B8" s="295" t="s">
        <v>322</v>
      </c>
      <c r="C8" s="296" t="s">
        <v>324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89" s="293" customFormat="1" x14ac:dyDescent="0.2">
      <c r="A9" s="294" t="s">
        <v>325</v>
      </c>
      <c r="B9" s="295" t="s">
        <v>326</v>
      </c>
      <c r="C9" s="296" t="s">
        <v>326</v>
      </c>
      <c r="D9" s="297" t="s">
        <v>425</v>
      </c>
      <c r="E9" s="298" t="s">
        <v>426</v>
      </c>
      <c r="F9" s="298" t="s">
        <v>427</v>
      </c>
      <c r="G9" s="298" t="s">
        <v>427</v>
      </c>
      <c r="H9" s="299" t="s">
        <v>428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429</v>
      </c>
      <c r="AS9" s="298" t="s">
        <v>430</v>
      </c>
      <c r="AT9" s="298" t="s">
        <v>431</v>
      </c>
      <c r="AU9" s="298" t="s">
        <v>432</v>
      </c>
      <c r="AV9" s="299" t="s">
        <v>432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327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89" s="293" customFormat="1" x14ac:dyDescent="0.2">
      <c r="A10" s="294" t="s">
        <v>328</v>
      </c>
      <c r="B10" s="295" t="s">
        <v>433</v>
      </c>
      <c r="C10" s="296" t="s">
        <v>329</v>
      </c>
      <c r="D10" s="297" t="s">
        <v>434</v>
      </c>
      <c r="E10" s="298" t="s">
        <v>434</v>
      </c>
      <c r="F10" s="298" t="s">
        <v>434</v>
      </c>
      <c r="G10" s="298" t="s">
        <v>434</v>
      </c>
      <c r="H10" s="299" t="s">
        <v>434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327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89" s="293" customFormat="1" x14ac:dyDescent="0.2">
      <c r="A11" s="294" t="s">
        <v>330</v>
      </c>
      <c r="B11" s="295" t="s">
        <v>435</v>
      </c>
      <c r="C11" s="296" t="s">
        <v>331</v>
      </c>
      <c r="D11" s="297" t="s">
        <v>436</v>
      </c>
      <c r="E11" s="298" t="s">
        <v>425</v>
      </c>
      <c r="F11" s="298" t="s">
        <v>437</v>
      </c>
      <c r="G11" s="298" t="s">
        <v>437</v>
      </c>
      <c r="H11" s="299" t="s">
        <v>437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332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89" s="293" customFormat="1" x14ac:dyDescent="0.2">
      <c r="A12" s="294" t="s">
        <v>333</v>
      </c>
      <c r="B12" s="295" t="s">
        <v>438</v>
      </c>
      <c r="C12" s="296" t="s">
        <v>334</v>
      </c>
      <c r="D12" s="297" t="s">
        <v>439</v>
      </c>
      <c r="E12" s="298" t="s">
        <v>439</v>
      </c>
      <c r="F12" s="298" t="s">
        <v>439</v>
      </c>
      <c r="G12" s="298" t="s">
        <v>439</v>
      </c>
      <c r="H12" s="299" t="s">
        <v>439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335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89" s="293" customFormat="1" x14ac:dyDescent="0.2">
      <c r="A13" s="294" t="s">
        <v>336</v>
      </c>
      <c r="B13" s="295" t="s">
        <v>440</v>
      </c>
      <c r="C13" s="296" t="s">
        <v>337</v>
      </c>
      <c r="D13" s="297" t="s">
        <v>441</v>
      </c>
      <c r="E13" s="298" t="s">
        <v>442</v>
      </c>
      <c r="F13" s="298" t="s">
        <v>443</v>
      </c>
      <c r="G13" s="298" t="s">
        <v>444</v>
      </c>
      <c r="H13" s="299" t="s">
        <v>444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338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89" s="293" customFormat="1" x14ac:dyDescent="0.2">
      <c r="A14" s="294"/>
      <c r="B14" s="295"/>
      <c r="C14" s="296" t="s">
        <v>339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89" s="293" customFormat="1" x14ac:dyDescent="0.2">
      <c r="A15" s="286" t="s">
        <v>340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89" s="293" customFormat="1" x14ac:dyDescent="0.2">
      <c r="A16" s="294" t="s">
        <v>341</v>
      </c>
      <c r="B16" s="295" t="s">
        <v>445</v>
      </c>
      <c r="C16" s="296" t="s">
        <v>342</v>
      </c>
      <c r="D16" s="297" t="s">
        <v>446</v>
      </c>
      <c r="E16" s="298" t="s">
        <v>446</v>
      </c>
      <c r="F16" s="298" t="s">
        <v>446</v>
      </c>
      <c r="G16" s="298" t="s">
        <v>446</v>
      </c>
      <c r="H16" s="299" t="s">
        <v>446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343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344</v>
      </c>
      <c r="B18" s="295" t="s">
        <v>447</v>
      </c>
      <c r="C18" s="296" t="s">
        <v>345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346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347</v>
      </c>
      <c r="B19" s="295" t="s">
        <v>448</v>
      </c>
      <c r="C19" s="296" t="s">
        <v>348</v>
      </c>
      <c r="D19" s="297" t="s">
        <v>449</v>
      </c>
      <c r="E19" s="298" t="s">
        <v>449</v>
      </c>
      <c r="F19" s="298" t="s">
        <v>449</v>
      </c>
      <c r="G19" s="298" t="s">
        <v>449</v>
      </c>
      <c r="H19" s="299" t="s">
        <v>449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450</v>
      </c>
      <c r="CC19" s="302" t="s">
        <v>450</v>
      </c>
      <c r="CD19" s="302" t="s">
        <v>450</v>
      </c>
      <c r="CE19" s="302" t="s">
        <v>450</v>
      </c>
      <c r="CF19" s="303" t="s">
        <v>450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349</v>
      </c>
      <c r="B20" s="295" t="s">
        <v>451</v>
      </c>
      <c r="C20" s="296" t="s">
        <v>350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351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352</v>
      </c>
      <c r="B21" s="295" t="s">
        <v>452</v>
      </c>
      <c r="C21" s="296" t="s">
        <v>353</v>
      </c>
      <c r="D21" s="297" t="s">
        <v>449</v>
      </c>
      <c r="E21" s="298" t="s">
        <v>449</v>
      </c>
      <c r="F21" s="298" t="s">
        <v>449</v>
      </c>
      <c r="G21" s="298" t="s">
        <v>449</v>
      </c>
      <c r="H21" s="299" t="s">
        <v>449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351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354</v>
      </c>
      <c r="B22" s="295" t="s">
        <v>453</v>
      </c>
      <c r="C22" s="296" t="s">
        <v>354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355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356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357</v>
      </c>
      <c r="B24" s="295" t="s">
        <v>454</v>
      </c>
      <c r="C24" s="296" t="s">
        <v>358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359</v>
      </c>
      <c r="B25" s="295" t="s">
        <v>455</v>
      </c>
      <c r="C25" s="296" t="s">
        <v>360</v>
      </c>
      <c r="D25" s="297" t="s">
        <v>456</v>
      </c>
      <c r="E25" s="298" t="s">
        <v>456</v>
      </c>
      <c r="F25" s="298" t="s">
        <v>456</v>
      </c>
      <c r="G25" s="298" t="s">
        <v>456</v>
      </c>
      <c r="H25" s="299" t="s">
        <v>456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450</v>
      </c>
      <c r="CC25" s="302" t="s">
        <v>450</v>
      </c>
      <c r="CD25" s="302" t="s">
        <v>450</v>
      </c>
      <c r="CE25" s="302" t="s">
        <v>450</v>
      </c>
      <c r="CF25" s="303" t="s">
        <v>450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524</v>
      </c>
      <c r="B26" s="295" t="s">
        <v>525</v>
      </c>
      <c r="C26" s="295" t="s">
        <v>358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361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362</v>
      </c>
      <c r="B28" s="295" t="s">
        <v>457</v>
      </c>
      <c r="C28" s="296" t="s">
        <v>363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364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365</v>
      </c>
      <c r="B29" s="295" t="s">
        <v>458</v>
      </c>
      <c r="C29" s="296" t="s">
        <v>366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364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367</v>
      </c>
      <c r="B30" s="295" t="s">
        <v>459</v>
      </c>
      <c r="C30" s="296" t="s">
        <v>368</v>
      </c>
      <c r="D30" s="297" t="s">
        <v>431</v>
      </c>
      <c r="E30" s="298" t="s">
        <v>431</v>
      </c>
      <c r="F30" s="298" t="s">
        <v>431</v>
      </c>
      <c r="G30" s="298" t="s">
        <v>431</v>
      </c>
      <c r="H30" s="299" t="s">
        <v>431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460</v>
      </c>
      <c r="AX30" s="298" t="s">
        <v>461</v>
      </c>
      <c r="AY30" s="298" t="s">
        <v>461</v>
      </c>
      <c r="AZ30" s="298" t="s">
        <v>461</v>
      </c>
      <c r="BA30" s="299" t="s">
        <v>461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369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370</v>
      </c>
      <c r="B31" s="295" t="s">
        <v>462</v>
      </c>
      <c r="C31" s="322" t="s">
        <v>371</v>
      </c>
      <c r="D31" s="297" t="s">
        <v>463</v>
      </c>
      <c r="E31" s="298" t="s">
        <v>463</v>
      </c>
      <c r="F31" s="298" t="s">
        <v>463</v>
      </c>
      <c r="G31" s="298" t="s">
        <v>463</v>
      </c>
      <c r="H31" s="299" t="s">
        <v>463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372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373</v>
      </c>
      <c r="B32" s="295" t="s">
        <v>453</v>
      </c>
      <c r="C32" s="296" t="s">
        <v>374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450</v>
      </c>
      <c r="BX32" s="302" t="s">
        <v>450</v>
      </c>
      <c r="BY32" s="302" t="s">
        <v>450</v>
      </c>
      <c r="BZ32" s="302" t="s">
        <v>450</v>
      </c>
      <c r="CA32" s="303" t="s">
        <v>450</v>
      </c>
      <c r="CB32" s="302" t="s">
        <v>450</v>
      </c>
      <c r="CC32" s="302" t="s">
        <v>450</v>
      </c>
      <c r="CD32" s="302" t="s">
        <v>450</v>
      </c>
      <c r="CE32" s="302" t="s">
        <v>450</v>
      </c>
      <c r="CF32" s="303" t="s">
        <v>450</v>
      </c>
      <c r="CG32" s="304" t="s">
        <v>450</v>
      </c>
      <c r="CH32" s="302" t="s">
        <v>450</v>
      </c>
      <c r="CI32" s="302" t="s">
        <v>450</v>
      </c>
      <c r="CJ32" s="302" t="s">
        <v>450</v>
      </c>
      <c r="CK32" s="303" t="s">
        <v>450</v>
      </c>
    </row>
    <row r="33" spans="1:89" s="293" customFormat="1" x14ac:dyDescent="0.2">
      <c r="A33" s="286" t="s">
        <v>375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376</v>
      </c>
      <c r="B34" s="295" t="s">
        <v>453</v>
      </c>
      <c r="C34" s="296" t="s">
        <v>377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355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378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379</v>
      </c>
      <c r="B36" s="295" t="s">
        <v>464</v>
      </c>
      <c r="C36" s="296" t="s">
        <v>380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465</v>
      </c>
      <c r="O36" s="298" t="s">
        <v>466</v>
      </c>
      <c r="P36" s="298" t="s">
        <v>466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467</v>
      </c>
      <c r="Y36" s="298" t="s">
        <v>467</v>
      </c>
      <c r="Z36" s="298" t="s">
        <v>468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469</v>
      </c>
      <c r="AY36" s="298" t="s">
        <v>469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381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450</v>
      </c>
      <c r="CF36" s="330" t="s">
        <v>450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382</v>
      </c>
      <c r="B37" s="295" t="s">
        <v>470</v>
      </c>
      <c r="C37" s="296" t="s">
        <v>383</v>
      </c>
      <c r="D37" s="297" t="s">
        <v>471</v>
      </c>
      <c r="E37" s="298" t="s">
        <v>471</v>
      </c>
      <c r="F37" s="298" t="s">
        <v>471</v>
      </c>
      <c r="G37" s="298">
        <v>0</v>
      </c>
      <c r="H37" s="299">
        <v>0</v>
      </c>
      <c r="I37" s="298" t="s">
        <v>472</v>
      </c>
      <c r="J37" s="298" t="s">
        <v>473</v>
      </c>
      <c r="K37" s="298" t="s">
        <v>474</v>
      </c>
      <c r="L37" s="298">
        <v>0</v>
      </c>
      <c r="M37" s="299">
        <v>0</v>
      </c>
      <c r="N37" s="298" t="s">
        <v>475</v>
      </c>
      <c r="O37" s="298" t="s">
        <v>475</v>
      </c>
      <c r="P37" s="298" t="s">
        <v>475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476</v>
      </c>
      <c r="Y37" s="298" t="s">
        <v>476</v>
      </c>
      <c r="Z37" s="298" t="s">
        <v>476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460</v>
      </c>
      <c r="AX37" s="298" t="s">
        <v>460</v>
      </c>
      <c r="AY37" s="298" t="s">
        <v>460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381</v>
      </c>
      <c r="BW37" s="306">
        <v>446.15384615384613</v>
      </c>
      <c r="BX37" s="306">
        <v>446.15384615384613</v>
      </c>
      <c r="BY37" s="306">
        <v>446.15384615384613</v>
      </c>
      <c r="BZ37" s="306" t="s">
        <v>450</v>
      </c>
      <c r="CA37" s="307" t="s">
        <v>450</v>
      </c>
      <c r="CB37" s="320">
        <v>1.2307692307692308</v>
      </c>
      <c r="CC37" s="331">
        <v>1.2307692307692308</v>
      </c>
      <c r="CD37" s="331">
        <v>1.2307692307692308</v>
      </c>
      <c r="CE37" s="331" t="s">
        <v>450</v>
      </c>
      <c r="CF37" s="332" t="s">
        <v>450</v>
      </c>
      <c r="CG37" s="304">
        <v>0</v>
      </c>
      <c r="CH37" s="302">
        <v>0</v>
      </c>
      <c r="CI37" s="302">
        <v>0</v>
      </c>
      <c r="CJ37" s="302" t="s">
        <v>450</v>
      </c>
      <c r="CK37" s="303" t="s">
        <v>450</v>
      </c>
    </row>
    <row r="38" spans="1:89" s="293" customFormat="1" x14ac:dyDescent="0.2">
      <c r="A38" s="294" t="s">
        <v>384</v>
      </c>
      <c r="B38" s="295" t="s">
        <v>453</v>
      </c>
      <c r="C38" s="296" t="s">
        <v>385</v>
      </c>
      <c r="D38" s="317" t="s">
        <v>386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355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387</v>
      </c>
      <c r="B39" s="295" t="s">
        <v>477</v>
      </c>
      <c r="C39" s="296" t="s">
        <v>388</v>
      </c>
      <c r="D39" s="297" t="s">
        <v>478</v>
      </c>
      <c r="E39" s="298" t="s">
        <v>479</v>
      </c>
      <c r="F39" s="298" t="s">
        <v>480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481</v>
      </c>
      <c r="O39" s="298" t="s">
        <v>481</v>
      </c>
      <c r="P39" s="298" t="s">
        <v>481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476</v>
      </c>
      <c r="Y39" s="298" t="s">
        <v>476</v>
      </c>
      <c r="Z39" s="298" t="s">
        <v>476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469</v>
      </c>
      <c r="AY39" s="298" t="s">
        <v>469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389</v>
      </c>
      <c r="BW39" s="306">
        <v>1263.1578947368421</v>
      </c>
      <c r="BX39" s="306">
        <v>875</v>
      </c>
      <c r="BY39" s="306">
        <v>909.09090909090912</v>
      </c>
      <c r="BZ39" s="306" t="s">
        <v>450</v>
      </c>
      <c r="CA39" s="307" t="s">
        <v>450</v>
      </c>
      <c r="CB39" s="306">
        <v>263.15789473684208</v>
      </c>
      <c r="CC39" s="306">
        <v>312.5</v>
      </c>
      <c r="CD39" s="306">
        <v>454.54545454545456</v>
      </c>
      <c r="CE39" s="306" t="s">
        <v>450</v>
      </c>
      <c r="CF39" s="307" t="s">
        <v>450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390</v>
      </c>
      <c r="B40" s="295" t="s">
        <v>482</v>
      </c>
      <c r="C40" s="296" t="s">
        <v>391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481</v>
      </c>
      <c r="O40" s="298" t="s">
        <v>481</v>
      </c>
      <c r="P40" s="298" t="s">
        <v>481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483</v>
      </c>
      <c r="Y40" s="298" t="s">
        <v>483</v>
      </c>
      <c r="Z40" s="298" t="s">
        <v>483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469</v>
      </c>
      <c r="AY40" s="298" t="s">
        <v>469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389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392</v>
      </c>
      <c r="B41" s="295" t="s">
        <v>484</v>
      </c>
      <c r="C41" s="296" t="s">
        <v>393</v>
      </c>
      <c r="D41" s="297" t="s">
        <v>485</v>
      </c>
      <c r="E41" s="298" t="s">
        <v>485</v>
      </c>
      <c r="F41" s="298" t="s">
        <v>485</v>
      </c>
      <c r="G41" s="298" t="s">
        <v>450</v>
      </c>
      <c r="H41" s="299" t="s">
        <v>450</v>
      </c>
      <c r="I41" s="298" t="s">
        <v>486</v>
      </c>
      <c r="J41" s="298" t="s">
        <v>486</v>
      </c>
      <c r="K41" s="298" t="s">
        <v>486</v>
      </c>
      <c r="L41" s="298">
        <v>0</v>
      </c>
      <c r="M41" s="299">
        <v>0</v>
      </c>
      <c r="N41" s="298" t="s">
        <v>487</v>
      </c>
      <c r="O41" s="298" t="s">
        <v>487</v>
      </c>
      <c r="P41" s="298" t="s">
        <v>487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488</v>
      </c>
      <c r="Y41" s="298" t="s">
        <v>488</v>
      </c>
      <c r="Z41" s="298" t="s">
        <v>488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489</v>
      </c>
      <c r="AX41" s="298" t="s">
        <v>490</v>
      </c>
      <c r="AY41" s="298" t="s">
        <v>490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389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394</v>
      </c>
      <c r="B42" s="295" t="s">
        <v>491</v>
      </c>
      <c r="C42" s="296" t="s">
        <v>395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476</v>
      </c>
      <c r="O42" s="298" t="s">
        <v>476</v>
      </c>
      <c r="P42" s="298" t="s">
        <v>476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476</v>
      </c>
      <c r="Y42" s="298" t="s">
        <v>476</v>
      </c>
      <c r="Z42" s="298" t="s">
        <v>476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469</v>
      </c>
      <c r="AY42" s="298" t="s">
        <v>469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389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396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397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398</v>
      </c>
      <c r="B45" s="295" t="s">
        <v>492</v>
      </c>
      <c r="C45" s="296" t="s">
        <v>399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400</v>
      </c>
      <c r="B46" s="295" t="s">
        <v>493</v>
      </c>
      <c r="C46" s="296" t="s">
        <v>401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402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403</v>
      </c>
      <c r="B48" s="295" t="s">
        <v>494</v>
      </c>
      <c r="C48" s="296" t="s">
        <v>404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405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406</v>
      </c>
      <c r="B49" s="295" t="s">
        <v>495</v>
      </c>
      <c r="C49" s="296" t="s">
        <v>407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405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408</v>
      </c>
      <c r="B50" s="295" t="s">
        <v>453</v>
      </c>
      <c r="C50" s="296" t="s">
        <v>408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355</v>
      </c>
      <c r="BW50" s="302" t="s">
        <v>450</v>
      </c>
      <c r="BX50" s="302" t="s">
        <v>450</v>
      </c>
      <c r="BY50" s="302" t="s">
        <v>450</v>
      </c>
      <c r="BZ50" s="302" t="s">
        <v>450</v>
      </c>
      <c r="CA50" s="303" t="s">
        <v>450</v>
      </c>
      <c r="CB50" s="302" t="s">
        <v>450</v>
      </c>
      <c r="CC50" s="302" t="s">
        <v>450</v>
      </c>
      <c r="CD50" s="302" t="s">
        <v>450</v>
      </c>
      <c r="CE50" s="302" t="s">
        <v>450</v>
      </c>
      <c r="CF50" s="303" t="s">
        <v>450</v>
      </c>
      <c r="CG50" s="304" t="s">
        <v>450</v>
      </c>
      <c r="CH50" s="302" t="s">
        <v>450</v>
      </c>
      <c r="CI50" s="302" t="s">
        <v>450</v>
      </c>
      <c r="CJ50" s="302" t="s">
        <v>450</v>
      </c>
      <c r="CK50" s="303" t="s">
        <v>450</v>
      </c>
    </row>
    <row r="51" spans="1:89" s="293" customFormat="1" x14ac:dyDescent="0.2">
      <c r="A51" s="294"/>
      <c r="B51" s="295"/>
      <c r="C51" s="296" t="s">
        <v>409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410</v>
      </c>
      <c r="B52" s="337" t="s">
        <v>453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355</v>
      </c>
      <c r="BW52" s="345" t="s">
        <v>450</v>
      </c>
      <c r="BX52" s="345" t="s">
        <v>450</v>
      </c>
      <c r="BY52" s="345" t="s">
        <v>450</v>
      </c>
      <c r="BZ52" s="345" t="s">
        <v>450</v>
      </c>
      <c r="CA52" s="346" t="s">
        <v>450</v>
      </c>
      <c r="CB52" s="345" t="s">
        <v>450</v>
      </c>
      <c r="CC52" s="345" t="s">
        <v>450</v>
      </c>
      <c r="CD52" s="345" t="s">
        <v>450</v>
      </c>
      <c r="CE52" s="345" t="s">
        <v>450</v>
      </c>
      <c r="CF52" s="346" t="s">
        <v>450</v>
      </c>
      <c r="CG52" s="345" t="s">
        <v>450</v>
      </c>
      <c r="CH52" s="345" t="s">
        <v>450</v>
      </c>
      <c r="CI52" s="345" t="s">
        <v>450</v>
      </c>
      <c r="CJ52" s="345" t="s">
        <v>450</v>
      </c>
      <c r="CK52" s="346" t="s">
        <v>450</v>
      </c>
    </row>
    <row r="53" spans="1:89" s="293" customFormat="1" x14ac:dyDescent="0.2">
      <c r="A53" s="336" t="s">
        <v>411</v>
      </c>
      <c r="B53" s="337" t="s">
        <v>453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355</v>
      </c>
      <c r="BW53" s="345" t="s">
        <v>450</v>
      </c>
      <c r="BX53" s="345" t="s">
        <v>450</v>
      </c>
      <c r="BY53" s="345" t="s">
        <v>450</v>
      </c>
      <c r="BZ53" s="345" t="s">
        <v>450</v>
      </c>
      <c r="CA53" s="346" t="s">
        <v>450</v>
      </c>
      <c r="CB53" s="345" t="s">
        <v>450</v>
      </c>
      <c r="CC53" s="345" t="s">
        <v>450</v>
      </c>
      <c r="CD53" s="345" t="s">
        <v>450</v>
      </c>
      <c r="CE53" s="345" t="s">
        <v>450</v>
      </c>
      <c r="CF53" s="346" t="s">
        <v>450</v>
      </c>
      <c r="CG53" s="345" t="s">
        <v>450</v>
      </c>
      <c r="CH53" s="345" t="s">
        <v>450</v>
      </c>
      <c r="CI53" s="345" t="s">
        <v>450</v>
      </c>
      <c r="CJ53" s="345" t="s">
        <v>450</v>
      </c>
      <c r="CK53" s="346" t="s">
        <v>450</v>
      </c>
    </row>
    <row r="54" spans="1:89" s="293" customFormat="1" x14ac:dyDescent="0.2">
      <c r="A54" s="336" t="s">
        <v>412</v>
      </c>
      <c r="B54" s="337" t="s">
        <v>453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355</v>
      </c>
      <c r="BW54" s="345" t="s">
        <v>450</v>
      </c>
      <c r="BX54" s="345" t="s">
        <v>450</v>
      </c>
      <c r="BY54" s="345" t="s">
        <v>450</v>
      </c>
      <c r="BZ54" s="345" t="s">
        <v>450</v>
      </c>
      <c r="CA54" s="346" t="s">
        <v>450</v>
      </c>
      <c r="CB54" s="345" t="s">
        <v>450</v>
      </c>
      <c r="CC54" s="345" t="s">
        <v>450</v>
      </c>
      <c r="CD54" s="345" t="s">
        <v>450</v>
      </c>
      <c r="CE54" s="345" t="s">
        <v>450</v>
      </c>
      <c r="CF54" s="346" t="s">
        <v>450</v>
      </c>
      <c r="CG54" s="345" t="s">
        <v>450</v>
      </c>
      <c r="CH54" s="345" t="s">
        <v>450</v>
      </c>
      <c r="CI54" s="345" t="s">
        <v>450</v>
      </c>
      <c r="CJ54" s="345" t="s">
        <v>450</v>
      </c>
      <c r="CK54" s="346" t="s">
        <v>450</v>
      </c>
    </row>
    <row r="55" spans="1:89" s="293" customFormat="1" x14ac:dyDescent="0.2">
      <c r="A55" s="336" t="s">
        <v>413</v>
      </c>
      <c r="B55" s="337" t="s">
        <v>453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355</v>
      </c>
      <c r="BW55" s="345" t="s">
        <v>450</v>
      </c>
      <c r="BX55" s="345" t="s">
        <v>450</v>
      </c>
      <c r="BY55" s="345" t="s">
        <v>450</v>
      </c>
      <c r="BZ55" s="345" t="s">
        <v>450</v>
      </c>
      <c r="CA55" s="346" t="s">
        <v>450</v>
      </c>
      <c r="CB55" s="345" t="s">
        <v>450</v>
      </c>
      <c r="CC55" s="345" t="s">
        <v>450</v>
      </c>
      <c r="CD55" s="345" t="s">
        <v>450</v>
      </c>
      <c r="CE55" s="345" t="s">
        <v>450</v>
      </c>
      <c r="CF55" s="346" t="s">
        <v>450</v>
      </c>
      <c r="CG55" s="345" t="s">
        <v>450</v>
      </c>
      <c r="CH55" s="345" t="s">
        <v>450</v>
      </c>
      <c r="CI55" s="345" t="s">
        <v>450</v>
      </c>
      <c r="CJ55" s="345" t="s">
        <v>450</v>
      </c>
      <c r="CK55" s="346" t="s">
        <v>450</v>
      </c>
    </row>
    <row r="56" spans="1:89" s="293" customFormat="1" x14ac:dyDescent="0.2">
      <c r="A56" s="336" t="s">
        <v>414</v>
      </c>
      <c r="B56" s="337" t="s">
        <v>453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355</v>
      </c>
      <c r="BW56" s="345" t="s">
        <v>450</v>
      </c>
      <c r="BX56" s="345" t="s">
        <v>450</v>
      </c>
      <c r="BY56" s="345" t="s">
        <v>450</v>
      </c>
      <c r="BZ56" s="345" t="s">
        <v>450</v>
      </c>
      <c r="CA56" s="346" t="s">
        <v>450</v>
      </c>
      <c r="CB56" s="345" t="s">
        <v>450</v>
      </c>
      <c r="CC56" s="345" t="s">
        <v>450</v>
      </c>
      <c r="CD56" s="345" t="s">
        <v>450</v>
      </c>
      <c r="CE56" s="345" t="s">
        <v>450</v>
      </c>
      <c r="CF56" s="346" t="s">
        <v>450</v>
      </c>
      <c r="CG56" s="345" t="s">
        <v>450</v>
      </c>
      <c r="CH56" s="345" t="s">
        <v>450</v>
      </c>
      <c r="CI56" s="345" t="s">
        <v>450</v>
      </c>
      <c r="CJ56" s="345" t="s">
        <v>450</v>
      </c>
      <c r="CK56" s="346" t="s">
        <v>450</v>
      </c>
    </row>
    <row r="57" spans="1:89" s="293" customFormat="1" x14ac:dyDescent="0.2">
      <c r="A57" s="336" t="s">
        <v>415</v>
      </c>
      <c r="B57" s="337" t="s">
        <v>453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355</v>
      </c>
      <c r="BW57" s="345" t="s">
        <v>450</v>
      </c>
      <c r="BX57" s="345" t="s">
        <v>450</v>
      </c>
      <c r="BY57" s="345" t="s">
        <v>450</v>
      </c>
      <c r="BZ57" s="345" t="s">
        <v>450</v>
      </c>
      <c r="CA57" s="346" t="s">
        <v>450</v>
      </c>
      <c r="CB57" s="345" t="s">
        <v>450</v>
      </c>
      <c r="CC57" s="345" t="s">
        <v>450</v>
      </c>
      <c r="CD57" s="345" t="s">
        <v>450</v>
      </c>
      <c r="CE57" s="345" t="s">
        <v>450</v>
      </c>
      <c r="CF57" s="346" t="s">
        <v>450</v>
      </c>
      <c r="CG57" s="345" t="s">
        <v>450</v>
      </c>
      <c r="CH57" s="345" t="s">
        <v>450</v>
      </c>
      <c r="CI57" s="345" t="s">
        <v>450</v>
      </c>
      <c r="CJ57" s="345" t="s">
        <v>450</v>
      </c>
      <c r="CK57" s="346" t="s">
        <v>450</v>
      </c>
    </row>
    <row r="58" spans="1:89" s="293" customFormat="1" x14ac:dyDescent="0.2">
      <c r="A58" s="336" t="s">
        <v>416</v>
      </c>
      <c r="B58" s="337" t="s">
        <v>453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355</v>
      </c>
      <c r="BW58" s="345" t="s">
        <v>450</v>
      </c>
      <c r="BX58" s="345" t="s">
        <v>450</v>
      </c>
      <c r="BY58" s="345" t="s">
        <v>450</v>
      </c>
      <c r="BZ58" s="345" t="s">
        <v>450</v>
      </c>
      <c r="CA58" s="346" t="s">
        <v>450</v>
      </c>
      <c r="CB58" s="345" t="s">
        <v>450</v>
      </c>
      <c r="CC58" s="345" t="s">
        <v>450</v>
      </c>
      <c r="CD58" s="345" t="s">
        <v>450</v>
      </c>
      <c r="CE58" s="345" t="s">
        <v>450</v>
      </c>
      <c r="CF58" s="346" t="s">
        <v>450</v>
      </c>
      <c r="CG58" s="345" t="s">
        <v>450</v>
      </c>
      <c r="CH58" s="345" t="s">
        <v>450</v>
      </c>
      <c r="CI58" s="345" t="s">
        <v>450</v>
      </c>
      <c r="CJ58" s="345" t="s">
        <v>450</v>
      </c>
      <c r="CK58" s="346" t="s">
        <v>450</v>
      </c>
    </row>
    <row r="59" spans="1:89" s="293" customFormat="1" x14ac:dyDescent="0.2">
      <c r="A59" s="336" t="s">
        <v>417</v>
      </c>
      <c r="B59" s="337" t="s">
        <v>453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355</v>
      </c>
      <c r="BW59" s="345" t="s">
        <v>450</v>
      </c>
      <c r="BX59" s="345" t="s">
        <v>450</v>
      </c>
      <c r="BY59" s="345" t="s">
        <v>450</v>
      </c>
      <c r="BZ59" s="345" t="s">
        <v>450</v>
      </c>
      <c r="CA59" s="346" t="s">
        <v>450</v>
      </c>
      <c r="CB59" s="345" t="s">
        <v>450</v>
      </c>
      <c r="CC59" s="345" t="s">
        <v>450</v>
      </c>
      <c r="CD59" s="345" t="s">
        <v>450</v>
      </c>
      <c r="CE59" s="345" t="s">
        <v>450</v>
      </c>
      <c r="CF59" s="346" t="s">
        <v>450</v>
      </c>
      <c r="CG59" s="345" t="s">
        <v>450</v>
      </c>
      <c r="CH59" s="345" t="s">
        <v>450</v>
      </c>
      <c r="CI59" s="345" t="s">
        <v>450</v>
      </c>
      <c r="CJ59" s="345" t="s">
        <v>450</v>
      </c>
      <c r="CK59" s="346" t="s">
        <v>450</v>
      </c>
    </row>
    <row r="60" spans="1:89" s="293" customFormat="1" x14ac:dyDescent="0.2">
      <c r="A60" s="336" t="s">
        <v>418</v>
      </c>
      <c r="B60" s="337" t="s">
        <v>496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483</v>
      </c>
      <c r="AX60" s="340" t="s">
        <v>483</v>
      </c>
      <c r="AY60" s="340" t="s">
        <v>483</v>
      </c>
      <c r="AZ60" s="340" t="s">
        <v>483</v>
      </c>
      <c r="BA60" s="341" t="s">
        <v>483</v>
      </c>
      <c r="BB60" s="339" t="s">
        <v>497</v>
      </c>
      <c r="BC60" s="340" t="s">
        <v>497</v>
      </c>
      <c r="BD60" s="340" t="s">
        <v>497</v>
      </c>
      <c r="BE60" s="340" t="s">
        <v>497</v>
      </c>
      <c r="BF60" s="341" t="s">
        <v>497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450</v>
      </c>
      <c r="BX60" s="345" t="s">
        <v>450</v>
      </c>
      <c r="BY60" s="345" t="s">
        <v>450</v>
      </c>
      <c r="BZ60" s="345" t="s">
        <v>450</v>
      </c>
      <c r="CA60" s="346" t="s">
        <v>450</v>
      </c>
      <c r="CB60" s="345" t="s">
        <v>450</v>
      </c>
      <c r="CC60" s="345" t="s">
        <v>450</v>
      </c>
      <c r="CD60" s="345" t="s">
        <v>450</v>
      </c>
      <c r="CE60" s="345" t="s">
        <v>450</v>
      </c>
      <c r="CF60" s="346" t="s">
        <v>450</v>
      </c>
      <c r="CG60" s="345" t="s">
        <v>450</v>
      </c>
      <c r="CH60" s="345" t="s">
        <v>450</v>
      </c>
      <c r="CI60" s="345" t="s">
        <v>450</v>
      </c>
      <c r="CJ60" s="345" t="s">
        <v>450</v>
      </c>
      <c r="CK60" s="346" t="s">
        <v>450</v>
      </c>
    </row>
    <row r="61" spans="1:89" s="293" customFormat="1" x14ac:dyDescent="0.2">
      <c r="A61" s="336" t="s">
        <v>419</v>
      </c>
      <c r="B61" s="337" t="s">
        <v>498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483</v>
      </c>
      <c r="AX61" s="340" t="s">
        <v>483</v>
      </c>
      <c r="AY61" s="340" t="s">
        <v>483</v>
      </c>
      <c r="AZ61" s="340" t="s">
        <v>483</v>
      </c>
      <c r="BA61" s="341" t="s">
        <v>483</v>
      </c>
      <c r="BB61" s="339" t="s">
        <v>499</v>
      </c>
      <c r="BC61" s="340" t="s">
        <v>499</v>
      </c>
      <c r="BD61" s="340" t="s">
        <v>499</v>
      </c>
      <c r="BE61" s="340" t="s">
        <v>499</v>
      </c>
      <c r="BF61" s="341" t="s">
        <v>499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500</v>
      </c>
      <c r="BM61" s="340" t="s">
        <v>500</v>
      </c>
      <c r="BN61" s="340" t="s">
        <v>500</v>
      </c>
      <c r="BO61" s="340" t="s">
        <v>500</v>
      </c>
      <c r="BP61" s="341" t="s">
        <v>500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450</v>
      </c>
      <c r="BX61" s="345" t="s">
        <v>450</v>
      </c>
      <c r="BY61" s="345" t="s">
        <v>450</v>
      </c>
      <c r="BZ61" s="345" t="s">
        <v>450</v>
      </c>
      <c r="CA61" s="346" t="s">
        <v>450</v>
      </c>
      <c r="CB61" s="345" t="s">
        <v>450</v>
      </c>
      <c r="CC61" s="345" t="s">
        <v>450</v>
      </c>
      <c r="CD61" s="345" t="s">
        <v>450</v>
      </c>
      <c r="CE61" s="345" t="s">
        <v>450</v>
      </c>
      <c r="CF61" s="346" t="s">
        <v>450</v>
      </c>
      <c r="CG61" s="345" t="s">
        <v>450</v>
      </c>
      <c r="CH61" s="345" t="s">
        <v>450</v>
      </c>
      <c r="CI61" s="345" t="s">
        <v>450</v>
      </c>
      <c r="CJ61" s="345" t="s">
        <v>450</v>
      </c>
      <c r="CK61" s="346" t="s">
        <v>450</v>
      </c>
    </row>
    <row r="62" spans="1:89" s="293" customFormat="1" x14ac:dyDescent="0.2">
      <c r="A62" s="294" t="s">
        <v>420</v>
      </c>
      <c r="B62" s="295" t="s">
        <v>501</v>
      </c>
      <c r="C62" s="296" t="s">
        <v>421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422</v>
      </c>
      <c r="B63" s="349" t="s">
        <v>453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355</v>
      </c>
      <c r="BW63" s="357" t="s">
        <v>450</v>
      </c>
      <c r="BX63" s="357" t="s">
        <v>450</v>
      </c>
      <c r="BY63" s="357" t="s">
        <v>450</v>
      </c>
      <c r="BZ63" s="357" t="s">
        <v>450</v>
      </c>
      <c r="CA63" s="358" t="s">
        <v>450</v>
      </c>
      <c r="CB63" s="357" t="s">
        <v>450</v>
      </c>
      <c r="CC63" s="357" t="s">
        <v>450</v>
      </c>
      <c r="CD63" s="357" t="s">
        <v>450</v>
      </c>
      <c r="CE63" s="357" t="s">
        <v>450</v>
      </c>
      <c r="CF63" s="358" t="s">
        <v>450</v>
      </c>
      <c r="CG63" s="357" t="s">
        <v>450</v>
      </c>
      <c r="CH63" s="357" t="s">
        <v>450</v>
      </c>
      <c r="CI63" s="357" t="s">
        <v>450</v>
      </c>
      <c r="CJ63" s="357" t="s">
        <v>450</v>
      </c>
      <c r="CK63" s="358" t="s">
        <v>450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workbookViewId="0">
      <selection sqref="A1:A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36" t="s">
        <v>585</v>
      </c>
      <c r="B1" s="638" t="s">
        <v>586</v>
      </c>
      <c r="C1" s="639"/>
      <c r="D1" s="639"/>
      <c r="E1" s="639"/>
      <c r="F1" s="640"/>
      <c r="G1" s="638" t="s">
        <v>587</v>
      </c>
      <c r="H1" s="639"/>
      <c r="I1" s="639"/>
      <c r="J1" s="639"/>
      <c r="K1" s="640"/>
      <c r="L1" s="3"/>
      <c r="M1" s="3"/>
      <c r="N1" s="3"/>
      <c r="O1" s="3"/>
      <c r="P1" s="3"/>
      <c r="Q1" s="3"/>
      <c r="R1" s="3"/>
    </row>
    <row r="2" spans="1:18" ht="13.5" thickBot="1" x14ac:dyDescent="0.25">
      <c r="A2" s="637"/>
      <c r="B2" s="443" t="s">
        <v>254</v>
      </c>
      <c r="C2" s="444" t="s">
        <v>588</v>
      </c>
      <c r="D2" s="444" t="s">
        <v>589</v>
      </c>
      <c r="E2" s="444" t="s">
        <v>590</v>
      </c>
      <c r="F2" s="445" t="s">
        <v>591</v>
      </c>
      <c r="G2" s="443" t="s">
        <v>254</v>
      </c>
      <c r="H2" s="444" t="s">
        <v>588</v>
      </c>
      <c r="I2" s="444" t="s">
        <v>589</v>
      </c>
      <c r="J2" s="444" t="s">
        <v>590</v>
      </c>
      <c r="K2" s="445" t="s">
        <v>591</v>
      </c>
      <c r="L2" s="3"/>
      <c r="M2" s="446"/>
      <c r="N2" s="3"/>
      <c r="O2" s="3"/>
      <c r="P2" s="3"/>
      <c r="Q2" s="3"/>
      <c r="R2" s="3"/>
    </row>
    <row r="3" spans="1:18" x14ac:dyDescent="0.2">
      <c r="A3" s="447" t="s">
        <v>592</v>
      </c>
      <c r="B3" s="448">
        <f>SUM(C3:F3)</f>
        <v>113.577</v>
      </c>
      <c r="C3" s="449">
        <v>94.888999999999996</v>
      </c>
      <c r="D3" s="450">
        <v>2.831</v>
      </c>
      <c r="E3" s="450"/>
      <c r="F3" s="451">
        <v>15.856999999999999</v>
      </c>
      <c r="G3" s="448">
        <f>B3/3.6</f>
        <v>31.549166666666665</v>
      </c>
      <c r="H3" s="452">
        <f>C3/3.6</f>
        <v>26.358055555555552</v>
      </c>
      <c r="I3" s="452">
        <f>D3/3.6</f>
        <v>0.7863888888888888</v>
      </c>
      <c r="J3" s="452">
        <f>E3/3.6</f>
        <v>0</v>
      </c>
      <c r="K3" s="453">
        <f>F3/3.6</f>
        <v>4.4047222222222215</v>
      </c>
      <c r="L3" s="3"/>
      <c r="M3" s="454"/>
      <c r="N3" s="455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635" t="s">
        <v>588</v>
      </c>
      <c r="B7" s="635"/>
      <c r="C7" s="635"/>
      <c r="D7" s="63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6" t="s">
        <v>593</v>
      </c>
      <c r="B8" s="456">
        <v>2015</v>
      </c>
      <c r="C8" s="456">
        <v>2020</v>
      </c>
      <c r="D8" s="456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594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595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596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597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598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599</v>
      </c>
      <c r="B14" s="3"/>
      <c r="C14" s="457">
        <f>(C11/C12)*C13</f>
        <v>15.311999999999998</v>
      </c>
      <c r="D14" s="457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600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601</v>
      </c>
      <c r="B16" s="457">
        <f>C3</f>
        <v>94.888999999999996</v>
      </c>
      <c r="C16" s="457">
        <f>C15/1000</f>
        <v>55.12319999999999</v>
      </c>
      <c r="D16" s="473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7"/>
      <c r="C17" s="457"/>
      <c r="D17" s="45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635" t="s">
        <v>602</v>
      </c>
      <c r="B18" s="635"/>
      <c r="C18" s="635"/>
      <c r="D18" s="63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6" t="s">
        <v>593</v>
      </c>
      <c r="B19" s="456"/>
      <c r="C19" s="456">
        <v>2020</v>
      </c>
      <c r="D19" s="456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603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604</v>
      </c>
      <c r="B21" s="3"/>
      <c r="C21" s="458">
        <v>0.127</v>
      </c>
      <c r="D21" s="459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605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606</v>
      </c>
      <c r="B23" s="3"/>
      <c r="C23" s="442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607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608</v>
      </c>
      <c r="B25" s="3"/>
      <c r="C25" s="442">
        <f>C24*3600</f>
        <v>20047.670103092783</v>
      </c>
      <c r="D25" s="442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609</v>
      </c>
      <c r="B26" s="3"/>
      <c r="C26" s="457">
        <f>C25/1000</f>
        <v>20.047670103092784</v>
      </c>
      <c r="D26" s="473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635" t="s">
        <v>610</v>
      </c>
      <c r="B28" s="635"/>
      <c r="C28" s="635"/>
      <c r="D28" s="63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6" t="s">
        <v>593</v>
      </c>
      <c r="B29" s="456">
        <v>2015</v>
      </c>
      <c r="C29" s="456">
        <v>2020</v>
      </c>
      <c r="D29" s="456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7"/>
      <c r="U29" s="438"/>
      <c r="V29" s="439" t="s">
        <v>571</v>
      </c>
      <c r="W29" s="439" t="s">
        <v>572</v>
      </c>
      <c r="X29" s="439" t="s">
        <v>573</v>
      </c>
      <c r="Y29" s="439" t="s">
        <v>574</v>
      </c>
    </row>
    <row r="30" spans="1:30" x14ac:dyDescent="0.2">
      <c r="A30" s="3" t="s">
        <v>611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7"/>
      <c r="U30" s="437" t="s">
        <v>575</v>
      </c>
      <c r="V30" s="437" t="s">
        <v>576</v>
      </c>
      <c r="W30" s="437" t="s">
        <v>577</v>
      </c>
      <c r="X30" s="437" t="s">
        <v>578</v>
      </c>
      <c r="Y30" s="437" t="s">
        <v>579</v>
      </c>
    </row>
    <row r="31" spans="1:30" ht="15" x14ac:dyDescent="0.25">
      <c r="A31" s="3" t="s">
        <v>612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8" t="s">
        <v>580</v>
      </c>
      <c r="U31" s="437">
        <v>311.65399600000001</v>
      </c>
      <c r="V31" s="437">
        <v>8845.3479520000001</v>
      </c>
      <c r="W31" s="437">
        <v>22461.807872000001</v>
      </c>
      <c r="X31" s="437">
        <v>28682.778717000001</v>
      </c>
      <c r="Y31" s="437">
        <v>8653.6989190000004</v>
      </c>
    </row>
    <row r="32" spans="1:30" ht="15" x14ac:dyDescent="0.25">
      <c r="A32" s="3" t="s">
        <v>613</v>
      </c>
      <c r="B32" s="442">
        <f>B30/B31</f>
        <v>72</v>
      </c>
      <c r="C32" s="442">
        <f>C30/C31</f>
        <v>312</v>
      </c>
      <c r="D32" s="442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8" t="s">
        <v>581</v>
      </c>
      <c r="U32" s="440">
        <v>2.9555506715861044E-3</v>
      </c>
      <c r="V32" s="471">
        <v>8.3884289678565108E-2</v>
      </c>
      <c r="W32" s="471">
        <v>0.21301511353355998</v>
      </c>
      <c r="X32" s="471">
        <v>0.2720112913295839</v>
      </c>
      <c r="Y32" s="471">
        <v>8.2066798372623442E-2</v>
      </c>
      <c r="AA32" s="472">
        <f>SUM(V32:Y32)</f>
        <v>0.65097749291433249</v>
      </c>
      <c r="AD32" t="s">
        <v>642</v>
      </c>
    </row>
    <row r="33" spans="1:30" ht="15" x14ac:dyDescent="0.25">
      <c r="A33" s="3" t="s">
        <v>614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8" t="s">
        <v>93</v>
      </c>
      <c r="U33" s="441"/>
      <c r="V33" s="441">
        <v>8</v>
      </c>
      <c r="W33" s="441">
        <v>6</v>
      </c>
      <c r="X33" s="441">
        <v>3.7</v>
      </c>
      <c r="Y33" s="441">
        <v>1.9</v>
      </c>
      <c r="AD33" s="388">
        <v>0.65</v>
      </c>
    </row>
    <row r="34" spans="1:30" ht="15" x14ac:dyDescent="0.25">
      <c r="A34" s="3" t="s">
        <v>615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8" t="s">
        <v>582</v>
      </c>
      <c r="U34" s="437"/>
      <c r="V34" s="437">
        <v>1387</v>
      </c>
      <c r="W34" s="437">
        <v>2642</v>
      </c>
      <c r="X34" s="437">
        <v>2080</v>
      </c>
      <c r="Y34" s="437">
        <v>322</v>
      </c>
    </row>
    <row r="35" spans="1:30" ht="15" x14ac:dyDescent="0.25">
      <c r="A35" s="3" t="s">
        <v>616</v>
      </c>
      <c r="B35" s="442">
        <f>(B32*8760*B33*B34)</f>
        <v>353203.19999999995</v>
      </c>
      <c r="C35" s="442">
        <f>(C32*8760*C33*C34)</f>
        <v>1530547.2</v>
      </c>
      <c r="D35" s="442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8" t="s">
        <v>583</v>
      </c>
      <c r="U35" s="437"/>
      <c r="V35" s="470">
        <f t="shared" ref="V35:X35" si="0">V34*110%</f>
        <v>1525.7</v>
      </c>
      <c r="W35" s="470">
        <f>W34*110%</f>
        <v>2906.2000000000003</v>
      </c>
      <c r="X35" s="470">
        <f t="shared" si="0"/>
        <v>2288</v>
      </c>
      <c r="Y35" s="470">
        <f>Y34*110%</f>
        <v>354.20000000000005</v>
      </c>
    </row>
    <row r="36" spans="1:30" x14ac:dyDescent="0.2">
      <c r="A36" s="3" t="s">
        <v>587</v>
      </c>
      <c r="B36" s="457">
        <f>B35/10^6</f>
        <v>0.35320319999999994</v>
      </c>
      <c r="C36" s="457">
        <f>C35/10^6</f>
        <v>1.5305472</v>
      </c>
      <c r="D36" s="457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2"/>
      <c r="U36" s="442"/>
      <c r="V36" s="442"/>
      <c r="W36" s="442"/>
      <c r="X36" s="442"/>
      <c r="Y36" s="442"/>
    </row>
    <row r="37" spans="1:30" x14ac:dyDescent="0.2">
      <c r="A37" s="3" t="s">
        <v>617</v>
      </c>
      <c r="B37" s="442">
        <f>B36*3600</f>
        <v>1271.5315199999998</v>
      </c>
      <c r="C37" s="442">
        <f>C36*3600</f>
        <v>5509.9699199999995</v>
      </c>
      <c r="D37" s="442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2" t="s">
        <v>584</v>
      </c>
      <c r="U37" s="442"/>
      <c r="V37" s="442"/>
      <c r="W37" s="442"/>
      <c r="X37" s="442"/>
      <c r="Y37" s="442"/>
    </row>
    <row r="38" spans="1:30" x14ac:dyDescent="0.2">
      <c r="A38" s="3" t="s">
        <v>586</v>
      </c>
      <c r="B38" s="1">
        <f>B37/1000</f>
        <v>1.2715315199999997</v>
      </c>
      <c r="C38" s="1">
        <f>C37/1000</f>
        <v>5.5099699199999996</v>
      </c>
      <c r="D38" s="474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629</v>
      </c>
      <c r="Z39">
        <v>2018</v>
      </c>
    </row>
    <row r="40" spans="1:30" ht="15" x14ac:dyDescent="0.25">
      <c r="A40" s="635" t="s">
        <v>591</v>
      </c>
      <c r="B40" s="635"/>
      <c r="C40" s="635"/>
      <c r="D40" s="63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630</v>
      </c>
      <c r="V40">
        <v>101.7</v>
      </c>
      <c r="W40" s="3" t="s">
        <v>13</v>
      </c>
      <c r="Y40" t="s">
        <v>633</v>
      </c>
      <c r="Z40">
        <v>4.6900000000000004</v>
      </c>
      <c r="AA40" t="s">
        <v>13</v>
      </c>
    </row>
    <row r="41" spans="1:30" ht="15" x14ac:dyDescent="0.25">
      <c r="A41" s="456" t="s">
        <v>593</v>
      </c>
      <c r="B41" s="456">
        <v>2015</v>
      </c>
      <c r="C41" s="3"/>
      <c r="D41" s="456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632</v>
      </c>
      <c r="T41" s="3" t="s">
        <v>631</v>
      </c>
      <c r="U41" s="3"/>
      <c r="V41">
        <v>26.74</v>
      </c>
      <c r="W41" s="3" t="s">
        <v>13</v>
      </c>
      <c r="Y41" t="s">
        <v>634</v>
      </c>
      <c r="Z41">
        <v>37.79</v>
      </c>
      <c r="AA41" t="s">
        <v>13</v>
      </c>
    </row>
    <row r="42" spans="1:30" ht="15" x14ac:dyDescent="0.25">
      <c r="A42" s="3" t="s">
        <v>618</v>
      </c>
      <c r="B42" s="1">
        <f>F3</f>
        <v>15.856999999999999</v>
      </c>
      <c r="C42" s="3"/>
      <c r="D42" s="475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635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635" t="s">
        <v>619</v>
      </c>
      <c r="B45" s="635"/>
      <c r="C45" s="635"/>
      <c r="D45" s="63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6" t="s">
        <v>593</v>
      </c>
      <c r="B46" s="456">
        <v>2018</v>
      </c>
      <c r="C46" s="456">
        <v>2020</v>
      </c>
      <c r="D46" s="456">
        <v>2030</v>
      </c>
      <c r="E46" s="3"/>
      <c r="F46" s="456" t="s">
        <v>620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621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637</v>
      </c>
    </row>
    <row r="48" spans="1:30" ht="30" customHeight="1" x14ac:dyDescent="0.25">
      <c r="A48" s="460" t="s">
        <v>622</v>
      </c>
      <c r="B48" s="461">
        <v>0.5</v>
      </c>
      <c r="C48" s="461">
        <f>B48</f>
        <v>0.5</v>
      </c>
      <c r="D48" s="461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636</v>
      </c>
      <c r="Z48" s="641" t="s">
        <v>574</v>
      </c>
      <c r="AA48" s="642"/>
      <c r="AB48" s="642"/>
    </row>
    <row r="49" spans="1:28" x14ac:dyDescent="0.2">
      <c r="A49" s="3" t="s">
        <v>623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633</v>
      </c>
      <c r="Z49" s="3">
        <v>0.35792764326805798</v>
      </c>
    </row>
    <row r="50" spans="1:28" x14ac:dyDescent="0.2">
      <c r="A50" s="3" t="s">
        <v>624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634</v>
      </c>
      <c r="Z50" s="3">
        <v>0.5922178577259587</v>
      </c>
    </row>
    <row r="51" spans="1:28" x14ac:dyDescent="0.2">
      <c r="A51" s="3" t="s">
        <v>625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635</v>
      </c>
      <c r="Z51" s="3">
        <v>5.2470383697893502E-2</v>
      </c>
    </row>
    <row r="52" spans="1:28" x14ac:dyDescent="0.2">
      <c r="A52" s="3" t="s">
        <v>626</v>
      </c>
      <c r="B52" s="457">
        <f>B51/10^6</f>
        <v>1.752</v>
      </c>
      <c r="C52" s="457">
        <f>C51/10^6</f>
        <v>3.0659999999999998</v>
      </c>
      <c r="D52" s="457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6" t="s">
        <v>641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627</v>
      </c>
      <c r="B53" s="442">
        <f>B52*3600</f>
        <v>6307.2</v>
      </c>
      <c r="C53" s="442">
        <f>C52*3600</f>
        <v>11037.599999999999</v>
      </c>
      <c r="D53" s="442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638</v>
      </c>
      <c r="Z53" s="641" t="s">
        <v>573</v>
      </c>
      <c r="AA53" s="642"/>
      <c r="AB53" s="642"/>
    </row>
    <row r="54" spans="1:28" x14ac:dyDescent="0.2">
      <c r="A54" s="3" t="s">
        <v>628</v>
      </c>
      <c r="B54" s="1">
        <f>B53/1000</f>
        <v>6.3071999999999999</v>
      </c>
      <c r="C54" s="1">
        <f>C53/1000</f>
        <v>11.037599999999999</v>
      </c>
      <c r="D54" s="474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633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634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635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6" t="s">
        <v>641</v>
      </c>
      <c r="AA57" s="3"/>
    </row>
    <row r="58" spans="1:28" ht="15" x14ac:dyDescent="0.25">
      <c r="A58" s="462" t="str">
        <f>A54</f>
        <v>Excess Heat Production (PJ)</v>
      </c>
      <c r="B58" s="462">
        <v>2020</v>
      </c>
      <c r="C58" s="462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3" t="str">
        <f>A7</f>
        <v>Power Plants</v>
      </c>
      <c r="B59" s="464">
        <f>C16</f>
        <v>55.12319999999999</v>
      </c>
      <c r="C59" s="464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639</v>
      </c>
      <c r="Z59" s="641" t="s">
        <v>640</v>
      </c>
      <c r="AA59" s="642"/>
      <c r="AB59" s="642"/>
    </row>
    <row r="60" spans="1:28" x14ac:dyDescent="0.2">
      <c r="A60" s="463" t="str">
        <f>A18</f>
        <v>Excess Renewable Electricity via Heat Pump</v>
      </c>
      <c r="B60" s="465">
        <f>C26</f>
        <v>20.047670103092784</v>
      </c>
      <c r="C60" s="465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633</v>
      </c>
      <c r="Z60">
        <v>0.20014125552486003</v>
      </c>
    </row>
    <row r="61" spans="1:28" x14ac:dyDescent="0.2">
      <c r="A61" s="463" t="str">
        <f>A28</f>
        <v>Waste Incinteration</v>
      </c>
      <c r="B61" s="464">
        <f>C38</f>
        <v>5.5099699199999996</v>
      </c>
      <c r="C61" s="464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634</v>
      </c>
      <c r="Z61">
        <v>0.54761388560430635</v>
      </c>
    </row>
    <row r="62" spans="1:28" x14ac:dyDescent="0.2">
      <c r="A62" s="463" t="str">
        <f>A40</f>
        <v>Industrial Excess Heat</v>
      </c>
      <c r="B62" s="464">
        <f>B42</f>
        <v>15.856999999999999</v>
      </c>
      <c r="C62" s="464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635</v>
      </c>
      <c r="Z62" s="3">
        <v>0.25224485887083364</v>
      </c>
    </row>
    <row r="63" spans="1:28" ht="13.5" thickBot="1" x14ac:dyDescent="0.25">
      <c r="A63" s="466" t="str">
        <f>A45</f>
        <v>Data Centres</v>
      </c>
      <c r="B63" s="467">
        <f>C54</f>
        <v>11.037599999999999</v>
      </c>
      <c r="C63" s="467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6" t="s">
        <v>641</v>
      </c>
    </row>
    <row r="64" spans="1:28" ht="15.75" thickTop="1" x14ac:dyDescent="0.25">
      <c r="A64" s="468" t="s">
        <v>254</v>
      </c>
      <c r="B64" s="469">
        <f>SUM(B59:B63)</f>
        <v>107.57544002309277</v>
      </c>
      <c r="C64" s="469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2022-04-01T10:27:40Z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41393458843231</vt:r8>
  </property>
</Properties>
</file>