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C1211F7-CC6D-48A0-8B6B-F18782C50C38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1" l="1"/>
  <c r="G30" i="1"/>
  <c r="F30" i="1"/>
  <c r="F56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H34" i="1"/>
  <c r="G34" i="1"/>
  <c r="F34" i="1"/>
  <c r="G10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H56" i="1" l="1"/>
  <c r="G56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B13" i="1"/>
  <c r="B9" i="1"/>
  <c r="B10" i="1"/>
  <c r="B11" i="1"/>
  <c r="B12" i="1"/>
  <c r="B8" i="1"/>
  <c r="A8" i="1"/>
  <c r="A13" i="1"/>
  <c r="A9" i="1"/>
  <c r="A10" i="1"/>
  <c r="A11" i="1"/>
  <c r="A12" i="1"/>
  <c r="H62" i="1"/>
  <c r="H63" i="1"/>
  <c r="H64" i="1"/>
  <c r="H13" i="1" s="1"/>
  <c r="H65" i="1"/>
  <c r="H12" i="1" s="1"/>
  <c r="H66" i="1"/>
  <c r="H11" i="1" s="1"/>
  <c r="H67" i="1"/>
  <c r="H10" i="1" s="1"/>
  <c r="H68" i="1"/>
  <c r="H9" i="1" s="1"/>
  <c r="H69" i="1"/>
  <c r="H8" i="1" s="1"/>
  <c r="H61" i="1"/>
  <c r="G62" i="1"/>
  <c r="G63" i="1"/>
  <c r="G64" i="1"/>
  <c r="H25" i="1" s="1"/>
  <c r="G65" i="1"/>
  <c r="H24" i="1" s="1"/>
  <c r="G66" i="1"/>
  <c r="H23" i="1" s="1"/>
  <c r="G67" i="1"/>
  <c r="H22" i="1" s="1"/>
  <c r="G68" i="1"/>
  <c r="H21" i="1" s="1"/>
  <c r="G69" i="1"/>
  <c r="H20" i="1" s="1"/>
  <c r="G61" i="1"/>
  <c r="F61" i="1"/>
  <c r="F62" i="1"/>
  <c r="F63" i="1"/>
  <c r="F64" i="1"/>
  <c r="H19" i="1" s="1"/>
  <c r="F65" i="1"/>
  <c r="H18" i="1" s="1"/>
  <c r="F66" i="1"/>
  <c r="H17" i="1" s="1"/>
  <c r="F67" i="1"/>
  <c r="H16" i="1" s="1"/>
  <c r="F68" i="1"/>
  <c r="H15" i="1" s="1"/>
  <c r="F69" i="1"/>
  <c r="H14" i="1" s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<sst xmlns="http://schemas.openxmlformats.org/spreadsheetml/2006/main" count="230" uniqueCount="133">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</sst>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3" fontId="1" fillId="10" borderId="29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0" xfId="0" applyNumberFormat="1" applyAlignment="1">
      <alignment horizontal="left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0" t="s">
        <v>78</v>
      </c>
      <c r="B16" s="60"/>
      <c r="C16" s="60"/>
      <c r="D16" s="60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59" t="s">
        <v>90</v>
      </c>
      <c r="C19" s="59"/>
      <c r="D19" s="59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59" t="s">
        <v>91</v>
      </c>
      <c r="C20" s="59"/>
      <c r="D20" s="59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59" t="s">
        <v>93</v>
      </c>
      <c r="C23" s="59"/>
      <c r="D23" s="59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59" t="s">
        <v>94</v>
      </c>
      <c r="C24" s="59"/>
      <c r="D24" s="5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59" t="s">
        <v>93</v>
      </c>
      <c r="C26" s="59"/>
      <c r="D26" s="5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59" t="s">
        <v>95</v>
      </c>
      <c r="C27" s="59"/>
      <c r="D27" s="5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1" t="s">
        <v>86</v>
      </c>
      <c r="C30" s="59"/>
      <c r="D30" s="59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59" t="s">
        <v>88</v>
      </c>
      <c r="C31" s="59"/>
      <c r="D31" s="59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69"/>
  <sheetViews>
    <sheetView tabSelected="1" zoomScale="80" zoomScaleNormal="80" workbookViewId="0">
      <selection activeCell="N51" sqref="N51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($E$69*F$29)/1000</f>
        <v>3.042234442534121</v>
      </c>
      <c r="G8" s="51">
        <f>(E69*G$28)/1000</f>
        <v>11.408379159502955</v>
      </c>
      <c r="H8" s="51">
        <f>(H69*H$27)/1000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($E$68*F$29)/1000</f>
        <v>2.4662346453768067</v>
      </c>
      <c r="G9" s="51">
        <f>(E68*G$28)/1000</f>
        <v>9.2483799201630248</v>
      </c>
      <c r="H9" s="51">
        <f>(H68*H$27)/1000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($E$67*F$29)/1000</f>
        <v>5.153575294552267</v>
      </c>
      <c r="G10" s="51">
        <f>(E67*G$28)/1000</f>
        <v>19.325907354571001</v>
      </c>
      <c r="H10" s="51">
        <f>(H67*H$27)/1000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($E$66*F$29)/1000</f>
        <v>8.7478683298212321</v>
      </c>
      <c r="G11" s="51">
        <f>(E66*G$28)/1000</f>
        <v>32.804506236829617</v>
      </c>
      <c r="H11" s="51">
        <f>(H66*H$27)/1000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($E$65*F$29)/1000</f>
        <v>11.78096068728674</v>
      </c>
      <c r="G12" s="51">
        <f>(E65*G$28)/1000</f>
        <v>44.178602577325279</v>
      </c>
      <c r="H12" s="51">
        <f>(H65*H$27)/1000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($E$64*F$29)/1000</f>
        <v>3.9848960750111653</v>
      </c>
      <c r="G13" s="52">
        <f>(E64*G$28)/1000</f>
        <v>14.943360281291868</v>
      </c>
      <c r="H13" s="52">
        <f>(H64*H$27)/1000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($C$69*F$29)/1000</f>
        <v>10.541334878817622</v>
      </c>
      <c r="G14" s="53">
        <f>(C69*G$28)/1000</f>
        <v>39.530005795566083</v>
      </c>
      <c r="H14" s="53">
        <f>(F69*H$27)/1000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($C$68*F$29)/1000</f>
        <v>10.024761205464234</v>
      </c>
      <c r="G15" s="54">
        <f>(C68*G$28)/1000</f>
        <v>37.592854520490874</v>
      </c>
      <c r="H15" s="54">
        <f>(F68*H$27)/1000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($C$67*F$29)/1000</f>
        <v>20.283779192369344</v>
      </c>
      <c r="G16" s="54">
        <f>(C67*G$28)/1000</f>
        <v>76.064171971385051</v>
      </c>
      <c r="H16" s="54">
        <f>(F67*H$27)/1000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($C$66*F$29)/1000</f>
        <v>37.525404475322098</v>
      </c>
      <c r="G17" s="54">
        <f>(C66*G$28)/1000</f>
        <v>140.72026678245786</v>
      </c>
      <c r="H17" s="54">
        <f>(F66*H$27)/1000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($C$65*F$29)/1000</f>
        <v>56.430305495129602</v>
      </c>
      <c r="G18" s="54">
        <f>(C65*G$28)/1000</f>
        <v>211.61364560673599</v>
      </c>
      <c r="H18" s="54">
        <f>(F65*H$27)/1000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($C$64*F$29)/1000</f>
        <v>9.9537699371858963</v>
      </c>
      <c r="G19" s="52">
        <f>(C64*G$28)/1000</f>
        <v>37.326637264447108</v>
      </c>
      <c r="H19" s="52">
        <f>(F64*H$27)/1000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($D$69*F$29)/1000</f>
        <v>15.687106688620966</v>
      </c>
      <c r="G20" s="53">
        <f>(D69*G$28)/1000</f>
        <v>58.826650082328619</v>
      </c>
      <c r="H20" s="53">
        <f>(G69*H$27)/1000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($D$68*F$29)/1000</f>
        <v>8.6482011525934226</v>
      </c>
      <c r="G21" s="54">
        <f>(D68*G$28)/1000</f>
        <v>32.43075432222534</v>
      </c>
      <c r="H21" s="54">
        <f>(G68*H$27)/1000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($D$67*F$29)/1000</f>
        <v>16.279339597911104</v>
      </c>
      <c r="G22" s="54">
        <f>(D67*G$28)/1000</f>
        <v>61.047523492166633</v>
      </c>
      <c r="H22" s="54">
        <f>(G67*H$27)/1000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($D$66*F$29)/1000</f>
        <v>33.333558282558243</v>
      </c>
      <c r="G23" s="54">
        <f>(D66*G$28)/1000</f>
        <v>125.00084355959343</v>
      </c>
      <c r="H23" s="54">
        <f>(G66*H$27)/1000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($D$65*F$29)/1000</f>
        <v>50.263786722748698</v>
      </c>
      <c r="G24" s="54">
        <f>(D65*G$28)/1000</f>
        <v>188.48920021030762</v>
      </c>
      <c r="H24" s="54">
        <f>(G65*H$27)/1000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($D$64*F$29)/1000</f>
        <v>10.693242008796334</v>
      </c>
      <c r="G25" s="52">
        <f>(D64*G$28)/1000</f>
        <v>40.099657532986257</v>
      </c>
      <c r="H25" s="52">
        <f>(G64*H$27)/1000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2" t="s">
        <v>96</v>
      </c>
      <c r="D27" s="63"/>
      <c r="E27" s="64"/>
      <c r="G27" s="2"/>
      <c r="H27" s="30">
        <v>0.95</v>
      </c>
    </row>
    <row r="28" spans="1:11" ht="20.100000000000001" customHeight="1" thickBot="1" x14ac:dyDescent="0.25">
      <c r="C28" s="65" t="s">
        <v>97</v>
      </c>
      <c r="D28" s="66"/>
      <c r="E28" s="67"/>
      <c r="G28" s="30">
        <v>0.75</v>
      </c>
    </row>
    <row r="29" spans="1:11" ht="20.100000000000001" customHeight="1" thickBot="1" x14ac:dyDescent="0.25">
      <c r="C29" s="68" t="s">
        <v>98</v>
      </c>
      <c r="D29" s="69"/>
      <c r="E29" s="70"/>
      <c r="F29" s="31">
        <v>0.2</v>
      </c>
      <c r="G29" s="2"/>
    </row>
    <row r="30" spans="1:11" x14ac:dyDescent="0.2">
      <c r="F30" s="80">
        <f>SUM(F8:F25)</f>
        <v>314.84035911209992</v>
      </c>
      <c r="G30" s="80">
        <f>SUM(G8:G25)</f>
        <v>1180.6513466703743</v>
      </c>
      <c r="H30" s="80">
        <f>SUM(H8:H25)</f>
        <v>1246.1932384285358</v>
      </c>
    </row>
    <row r="32" spans="1:11" ht="15" x14ac:dyDescent="0.2">
      <c r="D32" s="1" t="s">
        <v>72</v>
      </c>
      <c r="G32" s="2"/>
    </row>
    <row r="33" spans="1:11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  <c r="K33" s="3" t="s">
        <v>10</v>
      </c>
    </row>
    <row r="34" spans="1:11" x14ac:dyDescent="0.2">
      <c r="A34" s="2" t="str">
        <f>"UC_RSD_RTFT_"&amp;RIGHT(C34,5)</f>
        <v>UC_RSD_RTFT_Apt_G</v>
      </c>
      <c r="B34" s="2" t="str">
        <f>"Maximum number of deep retrofits from Apartment_" &amp;RIGHT(C34,1)</f>
        <v>Maximum number of deep retrofits from Apartment_G</v>
      </c>
      <c r="C34" s="2" t="s">
        <v>99</v>
      </c>
      <c r="D34" s="2" t="s">
        <v>129</v>
      </c>
      <c r="E34" s="2">
        <v>1</v>
      </c>
      <c r="F34" s="51">
        <f>($E$69*F$55)/1000</f>
        <v>0.30422344425341208</v>
      </c>
      <c r="G34" s="51">
        <f>(E69*G$54)/1000</f>
        <v>1.8253406655204725</v>
      </c>
      <c r="H34" s="51">
        <f>(H69*H$53)/1000</f>
        <v>3.1688674512046036</v>
      </c>
      <c r="I34" s="2">
        <v>5</v>
      </c>
      <c r="K34" s="2" t="s">
        <v>7</v>
      </c>
    </row>
    <row r="35" spans="1:11" x14ac:dyDescent="0.2">
      <c r="A35" s="2" t="str">
        <f t="shared" ref="A35:A38" si="4">"UC_RSD_RTFT_"&amp;RIGHT(C35,5)</f>
        <v>UC_RSD_RTFT_Apt_F</v>
      </c>
      <c r="B35" s="2" t="str">
        <f t="shared" ref="B35:B38" si="5">"Maximum number of deep retrofits from Apartment_" &amp;RIGHT(C35,1)</f>
        <v>Maximum number of deep retrofits from Apartment_F</v>
      </c>
      <c r="C35" s="2" t="s">
        <v>100</v>
      </c>
      <c r="D35" s="2" t="s">
        <v>129</v>
      </c>
      <c r="E35" s="2">
        <v>1</v>
      </c>
      <c r="F35" s="51">
        <f>($E$68*F$55)/1000</f>
        <v>0.24662346453768066</v>
      </c>
      <c r="G35" s="51">
        <f>(E68*G$54)/1000</f>
        <v>1.4797407872260839</v>
      </c>
      <c r="H35" s="51">
        <f>(H68*H$53)/1000</f>
        <v>2.5688916624906164</v>
      </c>
      <c r="I35" s="2">
        <v>5</v>
      </c>
      <c r="K35" s="2" t="s">
        <v>7</v>
      </c>
    </row>
    <row r="36" spans="1:11" x14ac:dyDescent="0.2">
      <c r="A36" s="2" t="str">
        <f t="shared" si="4"/>
        <v>UC_RSD_RTFT_Apt_E</v>
      </c>
      <c r="B36" s="2" t="str">
        <f t="shared" si="5"/>
        <v>Maximum number of deep retrofits from Apartment_E</v>
      </c>
      <c r="C36" s="2" t="s">
        <v>101</v>
      </c>
      <c r="D36" s="2" t="s">
        <v>129</v>
      </c>
      <c r="E36" s="2">
        <v>1</v>
      </c>
      <c r="F36" s="51">
        <f>($E$67*F$55)/1000</f>
        <v>0.51535752945522662</v>
      </c>
      <c r="G36" s="51">
        <f>(E67*G$54)/1000</f>
        <v>3.0921451767313601</v>
      </c>
      <c r="H36" s="51">
        <f>(H67*H$53)/1000</f>
        <v>5.3680928661880056</v>
      </c>
      <c r="I36" s="2">
        <v>5</v>
      </c>
      <c r="K36" s="2" t="s">
        <v>7</v>
      </c>
    </row>
    <row r="37" spans="1:11" x14ac:dyDescent="0.2">
      <c r="A37" s="2" t="str">
        <f t="shared" si="4"/>
        <v>UC_RSD_RTFT_Apt_D</v>
      </c>
      <c r="B37" s="2" t="str">
        <f t="shared" si="5"/>
        <v>Maximum number of deep retrofits from Apartment_D</v>
      </c>
      <c r="C37" s="2" t="s">
        <v>114</v>
      </c>
      <c r="D37" s="2" t="s">
        <v>129</v>
      </c>
      <c r="E37" s="2">
        <v>1</v>
      </c>
      <c r="F37" s="51">
        <f>($E$66*F$55)/1000</f>
        <v>0.87478683298212323</v>
      </c>
      <c r="G37" s="51">
        <f>(E66*G$54)/1000</f>
        <v>5.2487209978927387</v>
      </c>
      <c r="H37" s="51">
        <f>(H66*H$53)/1000</f>
        <v>9.1119983490500402</v>
      </c>
      <c r="I37" s="2">
        <v>5</v>
      </c>
      <c r="K37" s="2" t="s">
        <v>7</v>
      </c>
    </row>
    <row r="38" spans="1:11" x14ac:dyDescent="0.2">
      <c r="A38" s="2" t="str">
        <f t="shared" si="4"/>
        <v>UC_RSD_RTFT_Apt_C</v>
      </c>
      <c r="B38" s="2" t="str">
        <f t="shared" si="5"/>
        <v>Maximum number of deep retrofits from Apartment_C</v>
      </c>
      <c r="C38" s="2" t="s">
        <v>115</v>
      </c>
      <c r="D38" s="2" t="s">
        <v>129</v>
      </c>
      <c r="E38" s="2">
        <v>1</v>
      </c>
      <c r="F38" s="51">
        <f>($E$65*F$55)/1000</f>
        <v>1.1780960687286741</v>
      </c>
      <c r="G38" s="51">
        <f>(E65*G$54)/1000</f>
        <v>7.0685764123720434</v>
      </c>
      <c r="H38" s="51">
        <f>(H65*H$53)/1000</f>
        <v>12.271343175895051</v>
      </c>
      <c r="I38" s="2">
        <v>5</v>
      </c>
      <c r="K38" s="2" t="s">
        <v>7</v>
      </c>
    </row>
    <row r="39" spans="1:11" ht="13.5" thickBot="1" x14ac:dyDescent="0.25">
      <c r="A39" s="49" t="str">
        <f>"UC_RSD_RTFT_"&amp;RIGHT(C39,6)</f>
        <v>UC_RSD_RTFT_Apt_B3</v>
      </c>
      <c r="B39" s="49" t="str">
        <f>"Maximum number of deep retrofits from Apartment_" &amp;RIGHT(C39,2)</f>
        <v>Maximum number of deep retrofits from Apartment_B3</v>
      </c>
      <c r="C39" s="49" t="s">
        <v>116</v>
      </c>
      <c r="D39" s="49" t="s">
        <v>129</v>
      </c>
      <c r="E39" s="49">
        <v>1</v>
      </c>
      <c r="F39" s="52">
        <f>($E$64*F$55)/1000</f>
        <v>0.39848960750111651</v>
      </c>
      <c r="G39" s="52">
        <f>(E64*G$54)/1000</f>
        <v>2.3909376450066988</v>
      </c>
      <c r="H39" s="52">
        <f>(H64*H$53)/1000</f>
        <v>4.1507673741335047</v>
      </c>
      <c r="I39" s="49">
        <v>5</v>
      </c>
      <c r="K39" s="2" t="s">
        <v>7</v>
      </c>
    </row>
    <row r="40" spans="1:11" x14ac:dyDescent="0.2">
      <c r="A40" s="50" t="str">
        <f>"UC_RSD_RTFT_"&amp;RIGHT(C40,5)</f>
        <v>UC_RSD_RTFT_Att_G</v>
      </c>
      <c r="B40" s="50" t="str">
        <f>"Maximum number of deep retrofits from Attached_" &amp;RIGHT(C40,1)</f>
        <v>Maximum number of deep retrofits from Attached_G</v>
      </c>
      <c r="C40" s="50" t="s">
        <v>117</v>
      </c>
      <c r="D40" s="2" t="s">
        <v>129</v>
      </c>
      <c r="E40" s="50">
        <v>1</v>
      </c>
      <c r="F40" s="53">
        <f>($C$69*F$55)/1000</f>
        <v>1.0541334878817623</v>
      </c>
      <c r="G40" s="53">
        <f>(C69*G$54)/1000</f>
        <v>6.324800927290573</v>
      </c>
      <c r="H40" s="53">
        <f>(F69*H$53)/1000</f>
        <v>10.980117943148406</v>
      </c>
      <c r="I40" s="50">
        <v>5</v>
      </c>
      <c r="K40" s="2" t="s">
        <v>6</v>
      </c>
    </row>
    <row r="41" spans="1:11" x14ac:dyDescent="0.2">
      <c r="A41" s="13" t="str">
        <f t="shared" ref="A41:A44" si="6">"UC_RSD_RTFT_"&amp;RIGHT(C41,5)</f>
        <v>UC_RSD_RTFT_Att_F</v>
      </c>
      <c r="B41" s="13" t="str">
        <f>"Maximum number of deep retrofits from Attached_" &amp;RIGHT(C41,1)</f>
        <v>Maximum number of deep retrofits from Attached_F</v>
      </c>
      <c r="C41" s="13" t="s">
        <v>118</v>
      </c>
      <c r="D41" s="2" t="s">
        <v>129</v>
      </c>
      <c r="E41" s="13">
        <v>1</v>
      </c>
      <c r="F41" s="54">
        <f>($C$68*F$55)/1000</f>
        <v>1.0024761205464232</v>
      </c>
      <c r="G41" s="54">
        <f>(C68*G$54)/1000</f>
        <v>6.0148567232785402</v>
      </c>
      <c r="H41" s="54">
        <f>(F68*H$53)/1000</f>
        <v>10.442041890641681</v>
      </c>
      <c r="I41" s="13">
        <v>5</v>
      </c>
      <c r="K41" s="2" t="s">
        <v>6</v>
      </c>
    </row>
    <row r="42" spans="1:11" x14ac:dyDescent="0.2">
      <c r="A42" s="13" t="str">
        <f t="shared" si="6"/>
        <v>UC_RSD_RTFT_Att_E</v>
      </c>
      <c r="B42" s="13" t="str">
        <f>"Maximum number of deep retrofits from Attached_" &amp;RIGHT(C42,1)</f>
        <v>Maximum number of deep retrofits from Attached_E</v>
      </c>
      <c r="C42" s="13" t="s">
        <v>119</v>
      </c>
      <c r="D42" s="2" t="s">
        <v>129</v>
      </c>
      <c r="E42" s="13">
        <v>1</v>
      </c>
      <c r="F42" s="54">
        <f>($C$67*F$55)/1000</f>
        <v>2.0283779192369344</v>
      </c>
      <c r="G42" s="54">
        <f>(C67*G$54)/1000</f>
        <v>12.170267515421607</v>
      </c>
      <c r="H42" s="54">
        <f>(F67*H$53)/1000</f>
        <v>21.128091501251717</v>
      </c>
      <c r="I42" s="13">
        <v>5</v>
      </c>
      <c r="K42" s="2" t="s">
        <v>6</v>
      </c>
    </row>
    <row r="43" spans="1:11" x14ac:dyDescent="0.2">
      <c r="A43" s="13" t="str">
        <f t="shared" si="6"/>
        <v>UC_RSD_RTFT_Att_D</v>
      </c>
      <c r="B43" s="13" t="str">
        <f>"Maximum number of deep retrofits from Attached_" &amp;RIGHT(C43,1)</f>
        <v>Maximum number of deep retrofits from Attached_D</v>
      </c>
      <c r="C43" s="13" t="s">
        <v>120</v>
      </c>
      <c r="D43" s="2" t="s">
        <v>129</v>
      </c>
      <c r="E43" s="13">
        <v>1</v>
      </c>
      <c r="F43" s="54">
        <f>($C$66*F$55)/1000</f>
        <v>3.7525404475322093</v>
      </c>
      <c r="G43" s="54">
        <f>(C66*G$54)/1000</f>
        <v>22.515242685193254</v>
      </c>
      <c r="H43" s="54">
        <f>(F66*H$53)/1000</f>
        <v>39.087399436607377</v>
      </c>
      <c r="I43" s="13">
        <v>5</v>
      </c>
      <c r="K43" s="2" t="s">
        <v>6</v>
      </c>
    </row>
    <row r="44" spans="1:11" x14ac:dyDescent="0.2">
      <c r="A44" s="13" t="str">
        <f t="shared" si="6"/>
        <v>UC_RSD_RTFT_Att_C</v>
      </c>
      <c r="B44" s="13" t="str">
        <f>"Maximum number of deep retrofits from Attached_" &amp;RIGHT(C44,1)</f>
        <v>Maximum number of deep retrofits from Attached_C</v>
      </c>
      <c r="C44" s="13" t="s">
        <v>121</v>
      </c>
      <c r="D44" s="2" t="s">
        <v>129</v>
      </c>
      <c r="E44" s="13">
        <v>1</v>
      </c>
      <c r="F44" s="54">
        <f>($C$65*F$55)/1000</f>
        <v>5.64303054951296</v>
      </c>
      <c r="G44" s="54">
        <f>(C65*G$54)/1000</f>
        <v>33.858183297077751</v>
      </c>
      <c r="H44" s="54">
        <f>(F65*H$53)/1000</f>
        <v>58.779216961364369</v>
      </c>
      <c r="I44" s="13">
        <v>5</v>
      </c>
      <c r="K44" s="2" t="s">
        <v>6</v>
      </c>
    </row>
    <row r="45" spans="1:11" ht="13.5" thickBot="1" x14ac:dyDescent="0.25">
      <c r="A45" s="49" t="str">
        <f>"UC_RSD_RTFT_"&amp;RIGHT(C45,6)</f>
        <v>UC_RSD_RTFT_Att_B3</v>
      </c>
      <c r="B45" s="49" t="str">
        <f>"Maximum number of deep retrofits from Attached_" &amp;RIGHT(C45,2)</f>
        <v>Maximum number of deep retrofits from Attached_B3</v>
      </c>
      <c r="C45" s="49" t="s">
        <v>122</v>
      </c>
      <c r="D45" s="49" t="s">
        <v>129</v>
      </c>
      <c r="E45" s="49">
        <v>1</v>
      </c>
      <c r="F45" s="52">
        <f>($C$64*F$55)/1000</f>
        <v>0.99537699371858956</v>
      </c>
      <c r="G45" s="52">
        <f>(C64*G$54)/1000</f>
        <v>5.9722619623115367</v>
      </c>
      <c r="H45" s="52">
        <f>(F64*H$53)/1000</f>
        <v>10.368095610821257</v>
      </c>
      <c r="I45" s="49">
        <v>5</v>
      </c>
      <c r="K45" s="2" t="s">
        <v>6</v>
      </c>
    </row>
    <row r="46" spans="1:11" x14ac:dyDescent="0.2">
      <c r="A46" s="50" t="str">
        <f>"UC_RSD_RTFT_"&amp;RIGHT(C46,5)</f>
        <v>UC_RSD_RTFT_Det_G</v>
      </c>
      <c r="B46" s="50" t="str">
        <f>"Maximum number of deep retrofits from Detached_" &amp;RIGHT(C46,1)</f>
        <v>Maximum number of deep retrofits from Detached_G</v>
      </c>
      <c r="C46" s="50" t="s">
        <v>123</v>
      </c>
      <c r="D46" s="2" t="s">
        <v>129</v>
      </c>
      <c r="E46" s="50">
        <v>1</v>
      </c>
      <c r="F46" s="53">
        <f>($D$69*F$55)/1000</f>
        <v>1.5687106688620966</v>
      </c>
      <c r="G46" s="53">
        <f>(D69*G$54)/1000</f>
        <v>9.4122640131725781</v>
      </c>
      <c r="H46" s="53">
        <f>(G69*H$53)/1000</f>
        <v>16.340082504534813</v>
      </c>
      <c r="I46" s="50">
        <v>5</v>
      </c>
      <c r="K46" s="13" t="s">
        <v>8</v>
      </c>
    </row>
    <row r="47" spans="1:11" x14ac:dyDescent="0.2">
      <c r="A47" s="13" t="str">
        <f t="shared" ref="A47:A50" si="7">"UC_RSD_RTFT_"&amp;RIGHT(C47,5)</f>
        <v>UC_RSD_RTFT_Det_F</v>
      </c>
      <c r="B47" s="13" t="str">
        <f>"Maximum number of deep retrofits from Detached_" &amp;RIGHT(C47,1)</f>
        <v>Maximum number of deep retrofits from Detached_F</v>
      </c>
      <c r="C47" s="13" t="s">
        <v>124</v>
      </c>
      <c r="D47" s="2" t="s">
        <v>129</v>
      </c>
      <c r="E47" s="13">
        <v>1</v>
      </c>
      <c r="F47" s="54">
        <f>($D$68*F$55)/1000</f>
        <v>0.86482011525934233</v>
      </c>
      <c r="G47" s="54">
        <f>(D68*G$54)/1000</f>
        <v>5.1889206915560537</v>
      </c>
      <c r="H47" s="54">
        <f>(G68*H$53)/1000</f>
        <v>9.008182525570124</v>
      </c>
      <c r="I47" s="13">
        <v>5</v>
      </c>
      <c r="K47" s="13" t="s">
        <v>8</v>
      </c>
    </row>
    <row r="48" spans="1:11" x14ac:dyDescent="0.2">
      <c r="A48" s="13" t="str">
        <f t="shared" si="7"/>
        <v>UC_RSD_RTFT_Det_E</v>
      </c>
      <c r="B48" s="13" t="str">
        <f>"Maximum number of deep retrofits from Detached_" &amp;RIGHT(C48,1)</f>
        <v>Maximum number of deep retrofits from Detached_E</v>
      </c>
      <c r="C48" s="13" t="s">
        <v>125</v>
      </c>
      <c r="D48" s="2" t="s">
        <v>129</v>
      </c>
      <c r="E48" s="13">
        <v>1</v>
      </c>
      <c r="F48" s="54">
        <f>($D$67*F$55)/1000</f>
        <v>1.6279339597911102</v>
      </c>
      <c r="G48" s="54">
        <f>(D67*G$54)/1000</f>
        <v>9.7676037587466613</v>
      </c>
      <c r="H48" s="54">
        <f>(G67*H$53)/1000</f>
        <v>16.956967108674153</v>
      </c>
      <c r="I48" s="13">
        <v>5</v>
      </c>
      <c r="K48" s="13" t="s">
        <v>8</v>
      </c>
    </row>
    <row r="49" spans="1:13" x14ac:dyDescent="0.2">
      <c r="A49" s="13" t="str">
        <f t="shared" si="7"/>
        <v>UC_RSD_RTFT_Det_D</v>
      </c>
      <c r="B49" s="13" t="str">
        <f>"Maximum number of deep retrofits from Detached_" &amp;RIGHT(C49,1)</f>
        <v>Maximum number of deep retrofits from Detached_D</v>
      </c>
      <c r="C49" s="13" t="s">
        <v>126</v>
      </c>
      <c r="D49" s="2" t="s">
        <v>129</v>
      </c>
      <c r="E49" s="13">
        <v>1</v>
      </c>
      <c r="F49" s="54">
        <f>($D$66*F$55)/1000</f>
        <v>3.3333558282558249</v>
      </c>
      <c r="G49" s="54">
        <f>(D66*G$54)/1000</f>
        <v>20.000134969534948</v>
      </c>
      <c r="H49" s="54">
        <f>(G66*H$53)/1000</f>
        <v>34.721067646069734</v>
      </c>
      <c r="I49" s="13">
        <v>5</v>
      </c>
      <c r="K49" s="13" t="s">
        <v>8</v>
      </c>
    </row>
    <row r="50" spans="1:13" x14ac:dyDescent="0.2">
      <c r="A50" s="13" t="str">
        <f t="shared" si="7"/>
        <v>UC_RSD_RTFT_Det_C</v>
      </c>
      <c r="B50" s="13" t="str">
        <f>"Maximum number of deep retrofits from Detached_" &amp;RIGHT(C50,1)</f>
        <v>Maximum number of deep retrofits from Detached_C</v>
      </c>
      <c r="C50" s="13" t="s">
        <v>127</v>
      </c>
      <c r="D50" s="2" t="s">
        <v>129</v>
      </c>
      <c r="E50" s="13">
        <v>1</v>
      </c>
      <c r="F50" s="54">
        <f>($D$65*F$55)/1000</f>
        <v>5.0263786722748698</v>
      </c>
      <c r="G50" s="54">
        <f>(D65*G$54)/1000</f>
        <v>30.158272033649215</v>
      </c>
      <c r="H50" s="54">
        <f>(G65*H$53)/1000</f>
        <v>52.356016845083111</v>
      </c>
      <c r="I50" s="13">
        <v>5</v>
      </c>
      <c r="K50" s="13" t="s">
        <v>8</v>
      </c>
    </row>
    <row r="51" spans="1:13" ht="13.5" thickBot="1" x14ac:dyDescent="0.25">
      <c r="A51" s="49" t="str">
        <f>"UC_RSD_RTFT_"&amp;RIGHT(C51,6)</f>
        <v>UC_RSD_RTFT_Det_B3</v>
      </c>
      <c r="B51" s="49" t="str">
        <f>"Maximum number of deep retrofits from Detached_" &amp;RIGHT(C51,2)</f>
        <v>Maximum number of deep retrofits from Detached_B3</v>
      </c>
      <c r="C51" s="49" t="s">
        <v>128</v>
      </c>
      <c r="D51" s="49" t="s">
        <v>129</v>
      </c>
      <c r="E51" s="49">
        <v>1</v>
      </c>
      <c r="F51" s="52">
        <f>($D$64*F$55)/1000</f>
        <v>1.0693242008796335</v>
      </c>
      <c r="G51" s="52">
        <f>(D64*G$54)/1000</f>
        <v>6.4159452052778008</v>
      </c>
      <c r="H51" s="52">
        <f>(G64*H$53)/1000</f>
        <v>11.138348207412482</v>
      </c>
      <c r="I51" s="49">
        <v>5</v>
      </c>
      <c r="J51" s="13"/>
      <c r="K51" s="13" t="s">
        <v>8</v>
      </c>
    </row>
    <row r="52" spans="1:13" ht="13.5" thickBot="1" x14ac:dyDescent="0.25"/>
    <row r="53" spans="1:13" ht="15.75" thickBot="1" x14ac:dyDescent="0.25">
      <c r="C53" s="62" t="s">
        <v>130</v>
      </c>
      <c r="D53" s="63"/>
      <c r="E53" s="64"/>
      <c r="G53" s="2"/>
      <c r="H53" s="30">
        <v>0.25</v>
      </c>
    </row>
    <row r="54" spans="1:13" ht="15.75" thickBot="1" x14ac:dyDescent="0.25">
      <c r="C54" s="65" t="s">
        <v>131</v>
      </c>
      <c r="D54" s="66"/>
      <c r="E54" s="67"/>
      <c r="G54" s="30">
        <v>0.12</v>
      </c>
    </row>
    <row r="55" spans="1:13" ht="15.75" thickBot="1" x14ac:dyDescent="0.25">
      <c r="C55" s="68" t="s">
        <v>132</v>
      </c>
      <c r="D55" s="69"/>
      <c r="E55" s="70"/>
      <c r="F55" s="31">
        <v>0.02</v>
      </c>
      <c r="G55" s="2"/>
    </row>
    <row r="56" spans="1:13" x14ac:dyDescent="0.2">
      <c r="F56" s="80">
        <f>SUM(F34:F51)</f>
        <v>31.484035911209993</v>
      </c>
      <c r="G56" s="80">
        <f>SUM(G34:G51)</f>
        <v>188.90421546725989</v>
      </c>
      <c r="H56" s="80">
        <f>SUM(H34:H51)</f>
        <v>327.94558906014106</v>
      </c>
    </row>
    <row r="57" spans="1:13" ht="13.5" thickBot="1" x14ac:dyDescent="0.25">
      <c r="G57" s="2"/>
    </row>
    <row r="58" spans="1:13" ht="15.75" thickBot="1" x14ac:dyDescent="0.25">
      <c r="B58" s="71" t="s">
        <v>102</v>
      </c>
      <c r="C58" s="72"/>
      <c r="D58" s="72"/>
      <c r="E58" s="72"/>
      <c r="F58" s="72"/>
      <c r="G58" s="72"/>
      <c r="H58" s="73"/>
      <c r="K58" s="74" t="s">
        <v>113</v>
      </c>
      <c r="L58" s="75"/>
      <c r="M58" s="76"/>
    </row>
    <row r="59" spans="1:13" ht="15.75" thickBot="1" x14ac:dyDescent="0.25">
      <c r="B59" s="32"/>
      <c r="C59" s="71">
        <v>2018</v>
      </c>
      <c r="D59" s="72"/>
      <c r="E59" s="73"/>
      <c r="F59" s="62">
        <v>2070</v>
      </c>
      <c r="G59" s="63"/>
      <c r="H59" s="64"/>
      <c r="K59" s="77">
        <v>0.83330000000000004</v>
      </c>
      <c r="L59" s="78"/>
      <c r="M59" s="79"/>
    </row>
    <row r="60" spans="1:13" ht="15.75" thickBot="1" x14ac:dyDescent="0.25">
      <c r="B60" s="45" t="s">
        <v>112</v>
      </c>
      <c r="C60" s="46" t="s">
        <v>75</v>
      </c>
      <c r="D60" s="46" t="s">
        <v>76</v>
      </c>
      <c r="E60" s="46" t="s">
        <v>77</v>
      </c>
      <c r="F60" s="46" t="s">
        <v>75</v>
      </c>
      <c r="G60" s="46" t="s">
        <v>76</v>
      </c>
      <c r="H60" s="47" t="s">
        <v>77</v>
      </c>
    </row>
    <row r="61" spans="1:13" ht="15" x14ac:dyDescent="0.2">
      <c r="B61" s="33" t="s">
        <v>103</v>
      </c>
      <c r="C61" s="55">
        <v>37224.073727176743</v>
      </c>
      <c r="D61" s="55">
        <v>31387.706337556119</v>
      </c>
      <c r="E61" s="55">
        <v>14540.898856806734</v>
      </c>
      <c r="F61" s="34">
        <f>C61*$K$59</f>
        <v>31018.820636856381</v>
      </c>
      <c r="G61" s="34">
        <f>D61*$K$59</f>
        <v>26155.375691085515</v>
      </c>
      <c r="H61" s="39">
        <f>E61*$K$59</f>
        <v>12116.931017377052</v>
      </c>
    </row>
    <row r="62" spans="1:13" ht="15" x14ac:dyDescent="0.2">
      <c r="B62" s="35" t="s">
        <v>104</v>
      </c>
      <c r="C62" s="56">
        <v>9537.7783975583752</v>
      </c>
      <c r="D62" s="56">
        <v>9433.9012004747347</v>
      </c>
      <c r="E62" s="56">
        <v>7459.2913438514906</v>
      </c>
      <c r="F62" s="36">
        <f t="shared" ref="F62:F69" si="8">C62*$K$59</f>
        <v>7947.8307386853949</v>
      </c>
      <c r="G62" s="36">
        <f t="shared" ref="G62:G69" si="9">D62*$K$59</f>
        <v>7861.269870355597</v>
      </c>
      <c r="H62" s="40">
        <f t="shared" ref="H62:H69" si="10">E62*$K$59</f>
        <v>6215.8274768314477</v>
      </c>
    </row>
    <row r="63" spans="1:13" ht="15" x14ac:dyDescent="0.2">
      <c r="B63" s="37" t="s">
        <v>105</v>
      </c>
      <c r="C63" s="57">
        <v>17545.09295382088</v>
      </c>
      <c r="D63" s="57">
        <v>20090.949195825138</v>
      </c>
      <c r="E63" s="57">
        <v>14041.847426430093</v>
      </c>
      <c r="F63" s="38">
        <f t="shared" si="8"/>
        <v>14620.32595841894</v>
      </c>
      <c r="G63" s="38">
        <f t="shared" si="9"/>
        <v>16741.787964881089</v>
      </c>
      <c r="H63" s="41">
        <f t="shared" si="10"/>
        <v>11701.071460444196</v>
      </c>
    </row>
    <row r="64" spans="1:13" ht="15" x14ac:dyDescent="0.2">
      <c r="B64" s="35" t="s">
        <v>106</v>
      </c>
      <c r="C64" s="56">
        <v>49768.849685929476</v>
      </c>
      <c r="D64" s="56">
        <v>53466.210043981671</v>
      </c>
      <c r="E64" s="56">
        <v>19924.480375055824</v>
      </c>
      <c r="F64" s="36">
        <f t="shared" si="8"/>
        <v>41472.382443285031</v>
      </c>
      <c r="G64" s="36">
        <f t="shared" si="9"/>
        <v>44553.392829649929</v>
      </c>
      <c r="H64" s="40">
        <f t="shared" si="10"/>
        <v>16603.069496534019</v>
      </c>
    </row>
    <row r="65" spans="2:8" ht="15" x14ac:dyDescent="0.2">
      <c r="B65" s="37" t="s">
        <v>107</v>
      </c>
      <c r="C65" s="57">
        <v>282151.52747564798</v>
      </c>
      <c r="D65" s="57">
        <v>251318.93361374349</v>
      </c>
      <c r="E65" s="57">
        <v>58904.8034364337</v>
      </c>
      <c r="F65" s="38">
        <f t="shared" si="8"/>
        <v>235116.86784545748</v>
      </c>
      <c r="G65" s="38">
        <f t="shared" si="9"/>
        <v>209424.06738033245</v>
      </c>
      <c r="H65" s="41">
        <f t="shared" si="10"/>
        <v>49085.372703580208</v>
      </c>
    </row>
    <row r="66" spans="2:8" ht="15" x14ac:dyDescent="0.2">
      <c r="B66" s="35" t="s">
        <v>108</v>
      </c>
      <c r="C66" s="56">
        <v>187627.02237661046</v>
      </c>
      <c r="D66" s="56">
        <v>166667.79141279124</v>
      </c>
      <c r="E66" s="56">
        <v>43739.341649106158</v>
      </c>
      <c r="F66" s="36">
        <f t="shared" si="8"/>
        <v>156349.5977464295</v>
      </c>
      <c r="G66" s="36">
        <f t="shared" si="9"/>
        <v>138884.27058427894</v>
      </c>
      <c r="H66" s="40">
        <f t="shared" si="10"/>
        <v>36447.99339620016</v>
      </c>
    </row>
    <row r="67" spans="2:8" ht="15" x14ac:dyDescent="0.2">
      <c r="B67" s="37" t="s">
        <v>109</v>
      </c>
      <c r="C67" s="57">
        <v>101418.89596184672</v>
      </c>
      <c r="D67" s="57">
        <v>81396.697989555512</v>
      </c>
      <c r="E67" s="57">
        <v>25767.876472761334</v>
      </c>
      <c r="F67" s="38">
        <f t="shared" si="8"/>
        <v>84512.366005006872</v>
      </c>
      <c r="G67" s="38">
        <f t="shared" si="9"/>
        <v>67827.868434696618</v>
      </c>
      <c r="H67" s="41">
        <f t="shared" si="10"/>
        <v>21472.371464752021</v>
      </c>
    </row>
    <row r="68" spans="2:8" ht="15" x14ac:dyDescent="0.2">
      <c r="B68" s="35" t="s">
        <v>110</v>
      </c>
      <c r="C68" s="56">
        <v>50123.806027321167</v>
      </c>
      <c r="D68" s="56">
        <v>43241.005762967114</v>
      </c>
      <c r="E68" s="56">
        <v>12331.173226884033</v>
      </c>
      <c r="F68" s="36">
        <f t="shared" si="8"/>
        <v>41768.167562566727</v>
      </c>
      <c r="G68" s="36">
        <f t="shared" si="9"/>
        <v>36032.730102280497</v>
      </c>
      <c r="H68" s="40">
        <f t="shared" si="10"/>
        <v>10275.566649962466</v>
      </c>
    </row>
    <row r="69" spans="2:8" ht="15.75" thickBot="1" x14ac:dyDescent="0.25">
      <c r="B69" s="42" t="s">
        <v>111</v>
      </c>
      <c r="C69" s="58">
        <v>52706.674394088106</v>
      </c>
      <c r="D69" s="58">
        <v>78435.533443104825</v>
      </c>
      <c r="E69" s="58">
        <v>15211.172212670604</v>
      </c>
      <c r="F69" s="43">
        <f t="shared" si="8"/>
        <v>43920.471772593621</v>
      </c>
      <c r="G69" s="43">
        <f t="shared" si="9"/>
        <v>65360.330018139255</v>
      </c>
      <c r="H69" s="44">
        <f t="shared" si="10"/>
        <v>12675.469804818415</v>
      </c>
    </row>
  </sheetData>
  <mergeCells count="11">
    <mergeCell ref="K58:M58"/>
    <mergeCell ref="K59:M59"/>
    <mergeCell ref="C53:E53"/>
    <mergeCell ref="C54:E54"/>
    <mergeCell ref="C55:E55"/>
    <mergeCell ref="C27:E27"/>
    <mergeCell ref="C28:E28"/>
    <mergeCell ref="C29:E29"/>
    <mergeCell ref="C59:E59"/>
    <mergeCell ref="F59:H59"/>
    <mergeCell ref="B58:H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2022-04-01T14:18:22Z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257453560829162</vt:r8>
  </property>
</Properties>
</file>