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6B7FA0C5-E12C-4376-92CF-B2D036193208}" xr6:coauthVersionLast="45" xr6:coauthVersionMax="47" xr10:uidLastSave="{00000000-0000-0000-0000-000000000000}"/>
  <bookViews>
    <workbookView xWindow="-120" yWindow="-120" windowWidth="29040" windowHeight="15840" firstSheet="3" activeTab="12" xr2:uid="{F335C8D5-97D0-472C-8A37-4FEE0846C68E}"/>
  </bookViews>
  <sheets>
    <sheet name="Cover" sheetId="55" r:id="rId1"/>
    <sheet name="Intro" sheetId="35" r:id="rId2"/>
    <sheet name="Regions" sheetId="53" r:id="rId3"/>
    <sheet name="SETUP" sheetId="43" r:id="rId4"/>
    <sheet name="EB2018" sheetId="24" r:id="rId5"/>
    <sheet name="RSD_Balance" sheetId="22" r:id="rId6"/>
    <sheet name="Fuel-Age_Adj" sheetId="45" r:id="rId7"/>
    <sheet name="COMM" sheetId="9" r:id="rId8"/>
    <sheet name="EMIS" sheetId="3" r:id="rId9"/>
    <sheet name="Sector_Fuels" sheetId="54" r:id="rId10"/>
    <sheet name="ArchetypeDemand" sheetId="56" r:id="rId11"/>
    <sheet name="Non-ArchetypeDemand" sheetId="48" r:id="rId12"/>
    <sheet name="DwellingStocks" sheetId="27" r:id="rId13"/>
    <sheet name="SHWLP-Apt" sheetId="28" r:id="rId14"/>
    <sheet name="SHWLP-Att" sheetId="51" r:id="rId15"/>
    <sheet name="SHWLP-Det" sheetId="52" r:id="rId16"/>
    <sheet name="ApartmentEnergyData" sheetId="37" r:id="rId17"/>
    <sheet name="AttachedEnergyData" sheetId="40" r:id="rId18"/>
    <sheet name="DettachedEnergyData" sheetId="41" r:id="rId19"/>
  </sheets>
  <externalReferences>
    <externalReference r:id="rId20"/>
  </externalReferences>
  <definedNames>
    <definedName name="__123Graph_AEUMILKPN" localSheetId="0" hidden="1">#REF!</definedName>
    <definedName name="__123Graph_AEUMILKPN" localSheetId="9"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9"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3" hidden="1">2</definedName>
    <definedName name="solver_typ" localSheetId="14" hidden="1">2</definedName>
    <definedName name="solver_typ" localSheetId="15" hidden="1">2</definedName>
    <definedName name="solver_ver" localSheetId="13" hidden="1">17</definedName>
    <definedName name="solver_ver" localSheetId="14" hidden="1">17</definedName>
    <definedName name="solver_ver" localSheetId="15"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31" i="27" l="1"/>
  <c r="AA31" i="27"/>
  <c r="AB30" i="27"/>
  <c r="AA30" i="27"/>
  <c r="M42" i="52" l="1"/>
  <c r="M16" i="52"/>
  <c r="M42" i="51"/>
  <c r="M16" i="51"/>
  <c r="M42" i="28"/>
  <c r="M16" i="28"/>
  <c r="L48" i="56" l="1"/>
  <c r="L43" i="56"/>
  <c r="L38" i="56"/>
  <c r="L33" i="56"/>
  <c r="L28" i="56"/>
  <c r="L23" i="56"/>
  <c r="L18" i="56"/>
  <c r="L13" i="56"/>
  <c r="L8" i="56"/>
  <c r="M20" i="52" l="1"/>
  <c r="M20" i="51"/>
  <c r="M24" i="52"/>
  <c r="M23" i="52"/>
  <c r="M18" i="52"/>
  <c r="M14" i="52"/>
  <c r="M12" i="52"/>
  <c r="M8" i="52"/>
  <c r="M9" i="52"/>
  <c r="M10" i="52"/>
  <c r="M11" i="52"/>
  <c r="M7" i="52"/>
  <c r="M20" i="28"/>
  <c r="M24" i="51"/>
  <c r="M23" i="51"/>
  <c r="M18" i="51"/>
  <c r="M14" i="51"/>
  <c r="M12" i="51"/>
  <c r="M8" i="51"/>
  <c r="M9" i="51"/>
  <c r="M10" i="51"/>
  <c r="M11" i="51"/>
  <c r="M7" i="51"/>
  <c r="M7" i="28"/>
  <c r="M14" i="28"/>
  <c r="M24" i="28"/>
  <c r="M23" i="28"/>
  <c r="M18" i="28"/>
  <c r="M12" i="28"/>
  <c r="M9" i="28"/>
  <c r="M10" i="28"/>
  <c r="M11" i="28"/>
  <c r="M8" i="28"/>
  <c r="M33" i="28"/>
  <c r="Q24" i="52" l="1"/>
  <c r="Q23" i="52"/>
  <c r="Q20" i="52"/>
  <c r="Q18" i="52"/>
  <c r="Q16" i="52"/>
  <c r="Q14" i="52"/>
  <c r="Q12" i="52"/>
  <c r="Q11" i="52"/>
  <c r="Q10" i="52"/>
  <c r="Q9" i="52"/>
  <c r="Q8" i="52"/>
  <c r="Q7" i="52"/>
  <c r="Q24" i="51"/>
  <c r="Q23" i="51"/>
  <c r="Q20" i="51"/>
  <c r="Q18" i="51"/>
  <c r="Q16" i="51"/>
  <c r="Q14" i="51"/>
  <c r="Q12" i="51"/>
  <c r="Q11" i="51"/>
  <c r="Q10" i="51"/>
  <c r="Q9" i="51"/>
  <c r="Q8" i="51"/>
  <c r="Q7" i="51"/>
  <c r="Q16" i="28"/>
  <c r="Q24" i="28"/>
  <c r="Q23" i="28"/>
  <c r="Q20" i="28"/>
  <c r="Q18" i="28"/>
  <c r="Q14" i="28"/>
  <c r="Q12" i="28"/>
  <c r="Q11" i="28"/>
  <c r="Q10" i="28"/>
  <c r="Q9" i="28"/>
  <c r="Q8" i="28"/>
  <c r="Q7" i="28"/>
  <c r="O16" i="28"/>
  <c r="E136" i="56"/>
  <c r="E131" i="56"/>
  <c r="E126" i="56"/>
  <c r="E121" i="56"/>
  <c r="E116" i="56"/>
  <c r="E111" i="56"/>
  <c r="E106" i="56"/>
  <c r="E101" i="56"/>
  <c r="E96" i="56"/>
  <c r="E91" i="56"/>
  <c r="E86" i="56"/>
  <c r="E81" i="56"/>
  <c r="E76" i="56"/>
  <c r="E71" i="56"/>
  <c r="E66" i="56"/>
  <c r="E61" i="56"/>
  <c r="E56" i="56"/>
  <c r="E51" i="56"/>
  <c r="E46" i="56"/>
  <c r="E41" i="56"/>
  <c r="E36" i="56"/>
  <c r="E31" i="56"/>
  <c r="E26" i="56"/>
  <c r="E21" i="56"/>
  <c r="E16" i="56"/>
  <c r="E12" i="56"/>
  <c r="E11" i="56"/>
  <c r="E6" i="56"/>
  <c r="O14" i="9" l="1"/>
  <c r="O13" i="9"/>
  <c r="O12" i="9"/>
  <c r="O11" i="9"/>
  <c r="O10" i="9"/>
  <c r="O9" i="9"/>
  <c r="O26" i="9"/>
  <c r="O25" i="9"/>
  <c r="O24" i="9"/>
  <c r="O23" i="9"/>
  <c r="O22" i="9"/>
  <c r="O21" i="9"/>
  <c r="P20" i="9"/>
  <c r="O20" i="9"/>
  <c r="N20" i="9"/>
  <c r="P19" i="9"/>
  <c r="O19" i="9"/>
  <c r="N19" i="9"/>
  <c r="P18" i="9"/>
  <c r="O18" i="9"/>
  <c r="N18" i="9"/>
  <c r="O17" i="9"/>
  <c r="O16" i="9"/>
  <c r="O15" i="9"/>
  <c r="P23" i="9"/>
  <c r="N23" i="9"/>
  <c r="P22" i="9"/>
  <c r="N22" i="9"/>
  <c r="P21" i="9"/>
  <c r="N21" i="9"/>
  <c r="P17" i="9"/>
  <c r="N17" i="9"/>
  <c r="P16" i="9"/>
  <c r="N16" i="9"/>
  <c r="P15" i="9"/>
  <c r="N15" i="9"/>
  <c r="P14" i="9"/>
  <c r="N14" i="9"/>
  <c r="P13" i="9"/>
  <c r="N13" i="9"/>
  <c r="P12" i="9"/>
  <c r="N12" i="9"/>
  <c r="P11" i="9"/>
  <c r="N11" i="9"/>
  <c r="P10" i="9"/>
  <c r="N10" i="9"/>
  <c r="P9" i="9"/>
  <c r="N9" i="9"/>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6" i="56"/>
  <c r="K19" i="27"/>
  <c r="J19" i="27"/>
  <c r="I19" i="27"/>
  <c r="L40" i="56" l="1"/>
  <c r="L15" i="56"/>
  <c r="L65" i="56" l="1"/>
  <c r="L64" i="56"/>
  <c r="L49" i="56"/>
  <c r="B29" i="54" l="1"/>
  <c r="B28" i="54"/>
  <c r="R38" i="52" l="1"/>
  <c r="R37" i="52"/>
  <c r="R12" i="52"/>
  <c r="R11" i="52"/>
  <c r="R38" i="51"/>
  <c r="R37" i="51"/>
  <c r="R12" i="51"/>
  <c r="R11" i="51"/>
  <c r="R38" i="28"/>
  <c r="R37" i="28"/>
  <c r="R11" i="28"/>
  <c r="R12" i="28"/>
  <c r="S73" i="56" l="1"/>
  <c r="O71" i="56"/>
  <c r="O70" i="56"/>
  <c r="O69" i="56"/>
  <c r="E140" i="56"/>
  <c r="E139" i="56"/>
  <c r="E138" i="56"/>
  <c r="E137" i="56"/>
  <c r="G136" i="56"/>
  <c r="H136" i="56" s="1"/>
  <c r="F136" i="56"/>
  <c r="B136" i="56"/>
  <c r="E135" i="56"/>
  <c r="E134" i="56"/>
  <c r="E133" i="56"/>
  <c r="E132" i="56"/>
  <c r="G131" i="56"/>
  <c r="H131" i="56" s="1"/>
  <c r="F131" i="56"/>
  <c r="B131" i="56"/>
  <c r="E130" i="56"/>
  <c r="E129" i="56"/>
  <c r="E128" i="56"/>
  <c r="E127" i="56"/>
  <c r="G126" i="56"/>
  <c r="H126" i="56" s="1"/>
  <c r="F126" i="56"/>
  <c r="B126" i="56"/>
  <c r="E125" i="56"/>
  <c r="E124" i="56"/>
  <c r="E123" i="56"/>
  <c r="E122" i="56"/>
  <c r="L121" i="56"/>
  <c r="G121" i="56"/>
  <c r="H121" i="56" s="1"/>
  <c r="F121" i="56"/>
  <c r="B121" i="56"/>
  <c r="L120" i="56"/>
  <c r="E120" i="56"/>
  <c r="E119" i="56"/>
  <c r="E118" i="56"/>
  <c r="E117" i="56"/>
  <c r="G116" i="56"/>
  <c r="H116" i="56" s="1"/>
  <c r="F116" i="56"/>
  <c r="B116" i="56"/>
  <c r="E115" i="56"/>
  <c r="E114" i="56"/>
  <c r="E113" i="56"/>
  <c r="E112" i="56"/>
  <c r="G111" i="56"/>
  <c r="H111" i="56" s="1"/>
  <c r="F111" i="56"/>
  <c r="B111" i="56"/>
  <c r="E110" i="56"/>
  <c r="E109" i="56"/>
  <c r="E108" i="56"/>
  <c r="E107" i="56"/>
  <c r="H106" i="56"/>
  <c r="G106" i="56"/>
  <c r="F106" i="56"/>
  <c r="B106" i="56"/>
  <c r="E105" i="56"/>
  <c r="E104" i="56"/>
  <c r="E103" i="56"/>
  <c r="E102" i="56"/>
  <c r="G101" i="56"/>
  <c r="H101" i="56" s="1"/>
  <c r="F101" i="56"/>
  <c r="B101" i="56"/>
  <c r="E100" i="56"/>
  <c r="E99" i="56"/>
  <c r="E98" i="56"/>
  <c r="E97" i="56"/>
  <c r="G96" i="56"/>
  <c r="H96" i="56" s="1"/>
  <c r="F96" i="56"/>
  <c r="B96" i="56"/>
  <c r="L95" i="56"/>
  <c r="E95" i="56"/>
  <c r="E94" i="56"/>
  <c r="E93" i="56"/>
  <c r="E92" i="56"/>
  <c r="H91" i="56"/>
  <c r="G91" i="56"/>
  <c r="F91" i="56"/>
  <c r="B91" i="56"/>
  <c r="E90" i="56"/>
  <c r="E89" i="56"/>
  <c r="E88" i="56"/>
  <c r="E87" i="56"/>
  <c r="G86" i="56"/>
  <c r="H86" i="56" s="1"/>
  <c r="F86" i="56"/>
  <c r="B86" i="56"/>
  <c r="E85" i="56"/>
  <c r="L84" i="56"/>
  <c r="E84" i="56"/>
  <c r="E83" i="56"/>
  <c r="E82" i="56"/>
  <c r="G81" i="56"/>
  <c r="H81" i="56" s="1"/>
  <c r="F81" i="56"/>
  <c r="B81" i="56"/>
  <c r="E80" i="56"/>
  <c r="E79" i="56"/>
  <c r="L78" i="56"/>
  <c r="E78" i="56"/>
  <c r="E77" i="56"/>
  <c r="G76" i="56"/>
  <c r="H76" i="56" s="1"/>
  <c r="F76" i="56"/>
  <c r="B76" i="56"/>
  <c r="E75" i="56"/>
  <c r="E74" i="56"/>
  <c r="L73" i="56"/>
  <c r="E73" i="56"/>
  <c r="E72" i="56"/>
  <c r="G71" i="56"/>
  <c r="H71" i="56" s="1"/>
  <c r="F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B61" i="56"/>
  <c r="R60" i="56"/>
  <c r="P60" i="56"/>
  <c r="L60" i="56"/>
  <c r="E60" i="56"/>
  <c r="R59" i="56"/>
  <c r="P59" i="56"/>
  <c r="E59" i="56"/>
  <c r="R58" i="56"/>
  <c r="P58" i="56"/>
  <c r="E58" i="56"/>
  <c r="E57" i="56"/>
  <c r="AL56" i="56"/>
  <c r="L50" i="56" s="1"/>
  <c r="AK56" i="56"/>
  <c r="AJ56" i="56"/>
  <c r="AI56" i="56"/>
  <c r="L46" i="56" s="1"/>
  <c r="G56" i="56"/>
  <c r="H56" i="56" s="1"/>
  <c r="F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B51" i="56"/>
  <c r="AL50" i="56"/>
  <c r="AK50" i="56"/>
  <c r="L19" i="56" s="1"/>
  <c r="AJ50" i="56"/>
  <c r="AI50" i="56"/>
  <c r="E50" i="56"/>
  <c r="AL49" i="56"/>
  <c r="AK49" i="56"/>
  <c r="AJ49" i="56"/>
  <c r="AI49" i="56"/>
  <c r="L11" i="56" s="1"/>
  <c r="E49" i="56"/>
  <c r="AL48" i="56"/>
  <c r="AL57" i="56" s="1"/>
  <c r="AK48" i="56"/>
  <c r="AK57" i="56" s="1"/>
  <c r="AJ48" i="56"/>
  <c r="AJ57" i="56" s="1"/>
  <c r="AI48" i="56"/>
  <c r="AI57" i="56" s="1"/>
  <c r="E48" i="56"/>
  <c r="E47" i="56"/>
  <c r="G46" i="56"/>
  <c r="H46" i="56" s="1"/>
  <c r="F46" i="56"/>
  <c r="B46" i="56"/>
  <c r="L45" i="56"/>
  <c r="E45" i="56"/>
  <c r="E44" i="56"/>
  <c r="R43" i="56"/>
  <c r="P43" i="56"/>
  <c r="E43" i="56"/>
  <c r="R42" i="56"/>
  <c r="S42" i="56" s="1"/>
  <c r="P42" i="56"/>
  <c r="E42" i="56"/>
  <c r="AL41" i="56"/>
  <c r="AK41" i="56"/>
  <c r="L94" i="56" s="1"/>
  <c r="AJ41" i="56"/>
  <c r="L93" i="56" s="1"/>
  <c r="AI41" i="56"/>
  <c r="L91" i="56" s="1"/>
  <c r="R41" i="56"/>
  <c r="P41" i="56"/>
  <c r="L41" i="56"/>
  <c r="G41" i="56"/>
  <c r="H41" i="56" s="1"/>
  <c r="F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E38" i="56"/>
  <c r="AL37" i="56"/>
  <c r="L75" i="56" s="1"/>
  <c r="AK37" i="56"/>
  <c r="L74" i="56" s="1"/>
  <c r="AJ37" i="56"/>
  <c r="AI37" i="56"/>
  <c r="L71" i="56" s="1"/>
  <c r="E37" i="56"/>
  <c r="AL36" i="56"/>
  <c r="L70" i="56" s="1"/>
  <c r="AK36" i="56"/>
  <c r="L69" i="56" s="1"/>
  <c r="AJ36" i="56"/>
  <c r="L68" i="56" s="1"/>
  <c r="AI36" i="56"/>
  <c r="L66" i="56" s="1"/>
  <c r="L36" i="56"/>
  <c r="G36" i="56"/>
  <c r="H36" i="56" s="1"/>
  <c r="F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E33" i="56"/>
  <c r="Q32" i="56"/>
  <c r="D136" i="56" s="1"/>
  <c r="P32" i="56"/>
  <c r="C136" i="56" s="1"/>
  <c r="O32" i="56"/>
  <c r="E32" i="56"/>
  <c r="Q31" i="56"/>
  <c r="D131" i="56" s="1"/>
  <c r="P31" i="56"/>
  <c r="C131" i="56" s="1"/>
  <c r="O31" i="56"/>
  <c r="L31" i="56"/>
  <c r="G31" i="56"/>
  <c r="H31" i="56" s="1"/>
  <c r="F31" i="56"/>
  <c r="B31" i="56"/>
  <c r="Q30" i="56"/>
  <c r="D126" i="56" s="1"/>
  <c r="P30" i="56"/>
  <c r="C126" i="56" s="1"/>
  <c r="O30" i="56"/>
  <c r="L30" i="56"/>
  <c r="E30" i="56"/>
  <c r="Q29" i="56"/>
  <c r="D121" i="56" s="1"/>
  <c r="P29" i="56"/>
  <c r="C121" i="56" s="1"/>
  <c r="O29" i="56"/>
  <c r="L29" i="56"/>
  <c r="E29" i="56"/>
  <c r="Q28" i="56"/>
  <c r="D116" i="56" s="1"/>
  <c r="P28" i="56"/>
  <c r="C116" i="56" s="1"/>
  <c r="O28" i="56"/>
  <c r="E28" i="56"/>
  <c r="Q27" i="56"/>
  <c r="D111" i="56" s="1"/>
  <c r="P27" i="56"/>
  <c r="C111" i="56" s="1"/>
  <c r="O27" i="56"/>
  <c r="E27" i="56"/>
  <c r="Q26" i="56"/>
  <c r="D106" i="56" s="1"/>
  <c r="P26" i="56"/>
  <c r="C106" i="56" s="1"/>
  <c r="O26" i="56"/>
  <c r="L26" i="56"/>
  <c r="H26" i="56"/>
  <c r="G26" i="56"/>
  <c r="F26" i="56"/>
  <c r="B26" i="56"/>
  <c r="Q25" i="56"/>
  <c r="D101" i="56" s="1"/>
  <c r="P25" i="56"/>
  <c r="C101" i="56" s="1"/>
  <c r="O25" i="56"/>
  <c r="E25" i="56"/>
  <c r="Q24" i="56"/>
  <c r="D96" i="56" s="1"/>
  <c r="P24" i="56"/>
  <c r="C96" i="56" s="1"/>
  <c r="O24" i="56"/>
  <c r="L24" i="56"/>
  <c r="E24" i="56"/>
  <c r="Q23" i="56"/>
  <c r="D91" i="56" s="1"/>
  <c r="P23" i="56"/>
  <c r="C91" i="56" s="1"/>
  <c r="O23" i="56"/>
  <c r="E23" i="56"/>
  <c r="Q22" i="56"/>
  <c r="D86" i="56" s="1"/>
  <c r="P22" i="56"/>
  <c r="C86" i="56" s="1"/>
  <c r="O22" i="56"/>
  <c r="E22" i="56"/>
  <c r="Q21" i="56"/>
  <c r="D81" i="56" s="1"/>
  <c r="P21" i="56"/>
  <c r="C81" i="56" s="1"/>
  <c r="O21" i="56"/>
  <c r="L21" i="56"/>
  <c r="G21" i="56"/>
  <c r="H21" i="56" s="1"/>
  <c r="F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B16" i="56"/>
  <c r="Q15" i="56"/>
  <c r="D51" i="56" s="1"/>
  <c r="P15" i="56"/>
  <c r="C51" i="56" s="1"/>
  <c r="O15" i="56"/>
  <c r="E15" i="56"/>
  <c r="Q14" i="56"/>
  <c r="D46" i="56" s="1"/>
  <c r="P14" i="56"/>
  <c r="C46" i="56" s="1"/>
  <c r="O14" i="56"/>
  <c r="L14" i="56"/>
  <c r="E14" i="56"/>
  <c r="Q13" i="56"/>
  <c r="D41" i="56" s="1"/>
  <c r="P13" i="56"/>
  <c r="C41" i="56" s="1"/>
  <c r="O13" i="56"/>
  <c r="E13" i="56"/>
  <c r="Q12" i="56"/>
  <c r="D36" i="56" s="1"/>
  <c r="P12" i="56"/>
  <c r="C36" i="56" s="1"/>
  <c r="O12" i="56"/>
  <c r="Q11" i="56"/>
  <c r="D31" i="56" s="1"/>
  <c r="P11" i="56"/>
  <c r="C31" i="56" s="1"/>
  <c r="O11" i="56"/>
  <c r="G11" i="56"/>
  <c r="H11" i="56" s="1"/>
  <c r="F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B6" i="56"/>
  <c r="Q42" i="56" l="1"/>
  <c r="Q41" i="56"/>
  <c r="S43" i="56"/>
  <c r="S41" i="56"/>
  <c r="Q43" i="56"/>
  <c r="AJ42" i="56"/>
  <c r="AK42" i="56"/>
  <c r="L103" i="56"/>
  <c r="AI42" i="56"/>
  <c r="AK71" i="56"/>
  <c r="AL71" i="56"/>
  <c r="J18" i="54" l="1"/>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36" i="9" l="1"/>
  <c r="F38" i="9"/>
  <c r="S13" i="48" s="1"/>
  <c r="F37" i="9"/>
  <c r="S12" i="48" s="1"/>
  <c r="F36" i="9"/>
  <c r="S11" i="48" s="1"/>
  <c r="F35" i="9"/>
  <c r="S10" i="48" s="1"/>
  <c r="F34" i="9"/>
  <c r="S9" i="48" s="1"/>
  <c r="F33" i="9"/>
  <c r="F32" i="9"/>
  <c r="S5" i="48" s="1"/>
  <c r="P38" i="9"/>
  <c r="N60" i="52" s="1"/>
  <c r="P37" i="9"/>
  <c r="N60" i="51" s="1"/>
  <c r="AI59" i="51" s="1"/>
  <c r="P36" i="9"/>
  <c r="N60" i="28" s="1"/>
  <c r="P35" i="9"/>
  <c r="N59" i="52" s="1"/>
  <c r="P34" i="9"/>
  <c r="N59" i="51" s="1"/>
  <c r="AI58" i="51" s="1"/>
  <c r="P33" i="9"/>
  <c r="N59" i="28" s="1"/>
  <c r="P32" i="9"/>
  <c r="P31" i="9"/>
  <c r="P30" i="9"/>
  <c r="P29" i="9"/>
  <c r="P28" i="9"/>
  <c r="P27" i="9"/>
  <c r="P26" i="9"/>
  <c r="P25" i="9"/>
  <c r="P24" i="9"/>
  <c r="O38" i="9"/>
  <c r="Q60" i="52" s="1"/>
  <c r="O37" i="9"/>
  <c r="O35" i="9"/>
  <c r="Q59" i="52" s="1"/>
  <c r="O34" i="9"/>
  <c r="O33" i="9"/>
  <c r="M59" i="28" s="1"/>
  <c r="O32" i="9"/>
  <c r="Q51" i="52" s="1"/>
  <c r="O31" i="9"/>
  <c r="Q51" i="51" s="1"/>
  <c r="O30" i="9"/>
  <c r="O29" i="9"/>
  <c r="O28" i="9"/>
  <c r="O27" i="9"/>
  <c r="O8" i="9"/>
  <c r="P71" i="56" s="1"/>
  <c r="O7" i="9"/>
  <c r="P70" i="56" s="1"/>
  <c r="P7" i="9"/>
  <c r="Q70" i="56" s="1"/>
  <c r="P8" i="9"/>
  <c r="Q71" i="56" s="1"/>
  <c r="O6" i="9"/>
  <c r="P69" i="56" s="1"/>
  <c r="P6" i="9"/>
  <c r="Q69" i="56" s="1"/>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31" i="9"/>
  <c r="N6" i="9"/>
  <c r="L59" i="52"/>
  <c r="L23" i="52"/>
  <c r="AG16" i="51"/>
  <c r="AG47" i="28"/>
  <c r="B6" i="54"/>
  <c r="D37" i="9"/>
  <c r="AG38" i="28"/>
  <c r="Q10" i="48"/>
  <c r="D6" i="9"/>
  <c r="L49" i="52"/>
  <c r="L18" i="52"/>
  <c r="L49" i="51"/>
  <c r="AG10" i="28"/>
  <c r="L20" i="28"/>
  <c r="B12" i="48"/>
  <c r="J14" i="54"/>
  <c r="D24" i="9"/>
  <c r="N38"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24" i="9"/>
  <c r="N32" i="9"/>
  <c r="AG9" i="52"/>
  <c r="L33" i="52"/>
  <c r="L10" i="52"/>
  <c r="AG47" i="51"/>
  <c r="AG18" i="28"/>
  <c r="L50" i="28"/>
  <c r="J9" i="54"/>
  <c r="D21" i="9"/>
  <c r="N35" i="9"/>
  <c r="L40" i="28"/>
  <c r="B22" i="48"/>
  <c r="B8" i="54"/>
  <c r="D15" i="9"/>
  <c r="N37"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25" i="9"/>
  <c r="N33" i="9"/>
  <c r="AG41" i="52"/>
  <c r="L11" i="51"/>
  <c r="AG37" i="51"/>
  <c r="AG36" i="28"/>
  <c r="L16" i="28"/>
  <c r="Q8" i="48"/>
  <c r="D13" i="9"/>
  <c r="N27" i="9"/>
  <c r="L8" i="28"/>
  <c r="D7" i="9"/>
  <c r="N29" i="9"/>
  <c r="AG46" i="52"/>
  <c r="L14" i="52"/>
  <c r="AG41" i="51"/>
  <c r="AG22" i="28"/>
  <c r="L42" i="28"/>
  <c r="D8" i="9"/>
  <c r="N30"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26" i="9"/>
  <c r="N34"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28" i="9"/>
  <c r="N36"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59" i="28"/>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B18" i="43"/>
  <c r="E16" i="9" s="1"/>
  <c r="I5" i="3" s="1"/>
  <c r="E23" i="9"/>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L18" i="54"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O50" i="51" l="1"/>
  <c r="C17" i="54"/>
  <c r="E28" i="54"/>
  <c r="C28" i="54"/>
  <c r="C10" i="54"/>
  <c r="A17" i="43"/>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AH8" i="51" s="1"/>
  <c r="K5" i="3"/>
  <c r="O40" i="28"/>
  <c r="M40" i="28" s="1"/>
  <c r="AH39" i="28" s="1"/>
  <c r="G5" i="3"/>
  <c r="O10" i="52"/>
  <c r="AH10" i="52" s="1"/>
  <c r="F5" i="3"/>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AH21" i="28" s="1"/>
  <c r="O48" i="52"/>
  <c r="O22" i="51"/>
  <c r="O22" i="28"/>
  <c r="O48" i="28"/>
  <c r="O22" i="52"/>
  <c r="O48" i="51"/>
  <c r="R9" i="51"/>
  <c r="A14" i="43"/>
  <c r="A20" i="43"/>
  <c r="E11" i="54"/>
  <c r="C11" i="54"/>
  <c r="K11" i="54" s="1"/>
  <c r="O7" i="28"/>
  <c r="AH7" i="28" s="1"/>
  <c r="O33" i="28"/>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AH9" i="28" s="1"/>
  <c r="AE107" i="27" a="1"/>
  <c r="AE107" i="27" s="1"/>
  <c r="M110" i="27" s="1"/>
  <c r="F26" i="27"/>
  <c r="E17" i="9"/>
  <c r="C18" i="54" s="1"/>
  <c r="K18" i="54" s="1"/>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AH12" i="28" s="1"/>
  <c r="O60" i="52"/>
  <c r="O37" i="28"/>
  <c r="O59" i="28"/>
  <c r="O37" i="52"/>
  <c r="O11" i="51"/>
  <c r="O11" i="28"/>
  <c r="O12" i="52"/>
  <c r="AH12" i="52" s="1"/>
  <c r="O59" i="52"/>
  <c r="O38" i="51"/>
  <c r="M38" i="51" s="1"/>
  <c r="AH38" i="51" s="1"/>
  <c r="O12" i="5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AH20" i="51"/>
  <c r="M46" i="28"/>
  <c r="AH45" i="28" s="1"/>
  <c r="AH20" i="52"/>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50" i="51"/>
  <c r="AH47" i="51" s="1"/>
  <c r="O50" i="28"/>
  <c r="M50" i="28" s="1"/>
  <c r="AH47" i="28" s="1"/>
  <c r="O24" i="28"/>
  <c r="D22" i="48"/>
  <c r="Q49" i="52"/>
  <c r="AH59" i="28"/>
  <c r="O8" i="28"/>
  <c r="AH8" i="28" s="1"/>
  <c r="O10" i="51"/>
  <c r="O36" i="52"/>
  <c r="O34" i="28"/>
  <c r="O35" i="28"/>
  <c r="O36" i="28"/>
  <c r="O36" i="51"/>
  <c r="O10" i="28"/>
  <c r="AH10" i="28" s="1"/>
  <c r="O9" i="51"/>
  <c r="AH9" i="51" s="1"/>
  <c r="O35" i="51"/>
  <c r="Q38" i="52"/>
  <c r="Q50" i="52"/>
  <c r="Q37" i="52"/>
  <c r="Q36" i="52"/>
  <c r="Q35" i="52"/>
  <c r="D5" i="48"/>
  <c r="Q42" i="52"/>
  <c r="C9" i="48"/>
  <c r="D25" i="4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O42" i="52" l="1"/>
  <c r="O42" i="28"/>
  <c r="O16" i="52"/>
  <c r="O16" i="51"/>
  <c r="AH16" i="28"/>
  <c r="O42" i="51"/>
  <c r="AH41" i="51" s="1"/>
  <c r="R32" i="5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AH12" i="51"/>
  <c r="AH11" i="52"/>
  <c r="M37" i="51"/>
  <c r="AH37" i="51" s="1"/>
  <c r="G24" i="51"/>
  <c r="U24" i="51" s="1"/>
  <c r="U50" i="51" s="1"/>
  <c r="R6" i="51"/>
  <c r="AH11" i="28"/>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AH21" i="51"/>
  <c r="AH18" i="51"/>
  <c r="M49" i="28"/>
  <c r="AH46" i="28" s="1"/>
  <c r="M36" i="51"/>
  <c r="AH36" i="51" s="1"/>
  <c r="M44" i="52"/>
  <c r="AH43" i="52" s="1"/>
  <c r="AH18" i="52"/>
  <c r="AH18" i="28"/>
  <c r="M36" i="28"/>
  <c r="AH36" i="28" s="1"/>
  <c r="AH22" i="28"/>
  <c r="M44" i="51"/>
  <c r="AH43" i="51" s="1"/>
  <c r="M49" i="51"/>
  <c r="AH46" i="51" s="1"/>
  <c r="M34" i="51"/>
  <c r="AH34" i="51" s="1"/>
  <c r="AH7" i="52"/>
  <c r="M50" i="52"/>
  <c r="AH47" i="52" s="1"/>
  <c r="AH16" i="52"/>
  <c r="AH41" i="52"/>
  <c r="M36" i="52"/>
  <c r="AH36" i="52" s="1"/>
  <c r="AH8" i="52"/>
  <c r="AH14" i="28"/>
  <c r="AH21" i="52"/>
  <c r="AH16" i="51"/>
  <c r="M35" i="51"/>
  <c r="AH35" i="51" s="1"/>
  <c r="AH10" i="51"/>
  <c r="AH9" i="52"/>
  <c r="AH14" i="52"/>
  <c r="M40" i="51"/>
  <c r="AH39" i="51" s="1"/>
  <c r="M34" i="52"/>
  <c r="AH34" i="52" s="1"/>
  <c r="M40" i="52"/>
  <c r="AH39" i="52" s="1"/>
  <c r="AH41" i="28"/>
  <c r="AH22" i="52"/>
  <c r="AH22" i="51"/>
  <c r="M44" i="28"/>
  <c r="AH43" i="28" s="1"/>
  <c r="AH14" i="5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<sst xmlns="http://schemas.openxmlformats.org/spreadsheetml/2006/main" count="68813" uniqueCount="930">
  <si>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</si>
  <si>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</si>
  <si>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</si>
  <si>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</si>
  <si>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</si>
  <si>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</si>
  <si>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</si>
  <si>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</si>
  <si>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</si>
  <si>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</si>
  <si>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</si>
  <si>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</si>
  <si>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</si>
  <si>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</si>
  <si>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</si>
  <si>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</si>
  <si>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</si>
  <si>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</si>
  <si>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</si>
  <si>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</si>
  <si>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</si>
  <si>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</si>
  <si>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</si>
  <si>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</si>
  <si>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</si>
  <si>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</si>
  <si>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</si>
  <si>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</si>
  <si>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</si>
  <si>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</si>
  <si>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</si>
  <si>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</si>
  <si>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</si>
  <si>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</si>
  <si>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</si>
  <si>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</si>
  <si>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</si>
  <si>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</si>
  <si>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</si>
  <si>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</si>
  <si>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</si>
  <si>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</si>
  <si>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</si>
  <si>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</si>
  <si>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</si>
  <si>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</si>
  <si>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</si>
  <si>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</si>
  <si>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</si>
  <si>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</si>
  <si>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</si>
  <si>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</si>
  <si>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</si>
  <si>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</si>
  <si>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</si>
  <si>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</si>
  <si>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</si>
  <si>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</si>
  <si>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</si>
  <si>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</si>
  <si>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</si>
  <si>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</si>
  <si>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</si>
  <si>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</si>
  <si>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</si>
  <si>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</si>
  <si>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</si>
  <si>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</si>
  <si>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</si>
  <si>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</si>
  <si>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</si>
  <si>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</si>
  <si>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</si>
  <si>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</si>
  <si>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</si>
  <si>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</si>
  <si>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</si>
  <si>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</si>
  <si>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</si>
  <si>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</si>
  <si>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</si>
  <si>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</si>
  <si>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</si>
  <si>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</si>
  <si>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</si>
  <si>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</si>
  <si>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</si>
  <si>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</si>
  <si>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</si>
  <si>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</si>
  <si>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</si>
  <si>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</si>
  <si>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</si>
  <si>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</si>
  <si>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</si>
  <si>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</si>
  <si>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</si>
  <si>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</si>
  <si>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</si>
  <si>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</si>
  <si>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</si>
  <si>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</si>
  <si>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</si>
  <si>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</si>
  <si>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</si>
  <si>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</si>
  <si>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</si>
  <si>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</si>
  <si>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</si>
  <si>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</si>
  <si>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</si>
  <si>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</si>
  <si>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</si>
  <si>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</si>
  <si>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</si>
  <si>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</si>
  <si>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</si>
  <si>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</si>
  <si>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</si>
  <si>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</si>
  <si>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</si>
  <si>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</si>
  <si>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</si>
  <si>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</si>
  <si>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</si>
  <si>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</si>
  <si>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</si>
  <si>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</si>
  <si>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</si>
  <si>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</si>
  <si>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</si>
  <si>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</si>
  <si>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</si>
  <si>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</si>
  <si>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</si>
  <si>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</si>
  <si>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</si>
  <si>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</si>
  <si>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</si>
  <si>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</si>
  <si>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</si>
  <si>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</si>
  <si>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</si>
  <si>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</si>
  <si>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</si>
  <si>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</si>
  <si>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</si>
  <si>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</si>
  <si>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</si>
  <si>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</si>
  <si>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</si>
  <si>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</si>
  <si>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</si>
  <si>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</si>
  <si>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</si>
  <si>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</si>
  <si>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</si>
  <si>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</si>
  <si>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</si>
  <si>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</si>
  <si>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</si>
  <si>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</si>
  <si>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</si>
  <si>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</si>
  <si>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</si>
  <si>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</si>
  <si>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</si>
  <si>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</si>
  <si>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</si>
  <si>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</si>
  <si>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</si>
  <si>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</si>
  <si>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</si>
  <si>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</si>
  <si>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</si>
  <si>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</si>
  <si>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</si>
  <si>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</si>
  <si>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</si>
  <si>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</si>
  <si>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</si>
  <si>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</si>
  <si>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</si>
  <si>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</si>
  <si>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</si>
  <si>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</si>
  <si>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</si>
  <si>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</si>
  <si>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</si>
  <si>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</si>
  <si>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</si>
  <si>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</si>
  <si>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</si>
  <si>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</si>
  <si>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</si>
  <si>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</si>
  <si>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</si>
  <si>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</si>
  <si>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</si>
  <si>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</si>
  <si>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</si>
  <si>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</si>
  <si>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</si>
  <si>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</si>
  <si>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</si>
  <si>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</si>
  <si>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</si>
  <si>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</si>
  <si>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</si>
  <si>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</si>
  <si>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</si>
  <si>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</si>
  <si>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</si>
  <si>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</si>
  <si>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</si>
  <si>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</si>
  <si>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</si>
  <si>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</si>
  <si>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</si>
  <si>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</si>
  <si>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</si>
  <si>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</si>
  <si>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</si>
  <si>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</si>
  <si>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</si>
  <si>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</si>
  <si>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</si>
  <si>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</si>
  <si>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</si>
  <si>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</si>
  <si>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</si>
  <si>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</si>
  <si>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</si>
  <si>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</si>
  <si>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</si>
  <si>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</si>
  <si>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</si>
  <si>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</si>
  <si>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</si>
  <si>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</si>
  <si>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</si>
  <si>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</si>
  <si>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</si>
  <si>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</si>
  <si>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</si>
  <si>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</si>
  <si>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</si>
  <si>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</si>
  <si>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</si>
  <si>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</si>
  <si>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</si>
  <si>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</si>
  <si>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</si>
  <si>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</si>
  <si>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</si>
  <si>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</si>
  <si>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</si>
  <si>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</si>
  <si>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</si>
  <si>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</si>
  <si>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</si>
  <si>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</si>
  <si>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</si>
  <si>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</si>
  <si>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</si>
  <si>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</si>
  <si>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</si>
  <si>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</si>
  <si>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</si>
  <si>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</si>
  <si>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</si>
  <si>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</si>
  <si>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</si>
  <si>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</si>
  <si>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</si>
  <si>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</si>
  <si>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</si>
  <si>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</si>
  <si>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</si>
  <si>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</si>
  <si>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</si>
  <si>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</si>
  <si>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</si>
  <si>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</si>
  <si>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</si>
  <si>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</si>
  <si>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</si>
  <si>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</si>
  <si>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</si>
  <si>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</si>
  <si>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</si>
  <si>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</si>
  <si>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</si>
  <si>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</si>
  <si>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</si>
  <si>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</si>
  <si>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</si>
  <si>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</si>
  <si>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</si>
  <si>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</si>
  <si>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</si>
  <si>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</si>
  <si>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</si>
  <si>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</si>
  <si>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</si>
  <si>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</si>
  <si>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</si>
  <si>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</si>
  <si>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</si>
  <si>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</si>
  <si>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</si>
  <si>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</si>
  <si>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</si>
  <si>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</si>
  <si>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</si>
  <si>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</si>
  <si>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</si>
  <si>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</si>
  <si>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</si>
  <si>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</si>
  <si>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</si>
  <si>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</si>
  <si>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</si>
  <si>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</si>
  <si>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</si>
  <si>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</si>
  <si>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</si>
  <si>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</si>
  <si>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</si>
  <si>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</si>
  <si>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</si>
  <si>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</si>
  <si>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</si>
  <si>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</si>
  <si>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</si>
  <si>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</si>
  <si>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</si>
  <si>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</si>
  <si>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</si>
  <si>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</si>
  <si>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</si>
  <si>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</si>
  <si>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</si>
  <si>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</si>
  <si>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</si>
  <si>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</si>
  <si>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</si>
  <si>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</si>
  <si>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</si>
  <si>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</si>
  <si>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</si>
  <si>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</si>
  <si>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</si>
  <si>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</si>
  <si>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</si>
  <si>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</si>
  <si>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</si>
  <si>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</si>
  <si>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</si>
  <si>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</si>
  <si>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</si>
  <si>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</si>
  <si>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</si>
  <si>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</si>
  <si>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</si>
  <si>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</si>
  <si>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</si>
  <si>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</si>
  <si>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</si>
  <si>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</si>
  <si>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</si>
  <si>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</si>
  <si>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</si>
  <si>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</si>
  <si>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</si>
  <si>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</si>
  <si>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</si>
  <si>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</si>
  <si>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</si>
  <si>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</si>
  <si>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</si>
  <si>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</si>
  <si>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</si>
  <si>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</si>
  <si>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</si>
  <si>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</si>
  <si>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</si>
  <si>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</si>
  <si>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</si>
  <si>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</si>
  <si>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</si>
  <si>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</si>
  <si>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</si>
  <si>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</si>
  <si>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</si>
  <si>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</si>
  <si>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</si>
  <si>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</si>
  <si>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</si>
  <si>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</si>
  <si>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</si>
  <si>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</si>
  <si>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</si>
  <si>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</si>
  <si>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</si>
  <si>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</si>
  <si>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</si>
  <si>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</si>
  <si>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</si>
  <si>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</si>
  <si>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</si>
  <si>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</si>
  <si>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</si>
  <si>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</si>
  <si>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</si>
  <si>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</si>
  <si>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</si>
  <si>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</si>
  <si>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</si>
  <si>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</si>
  <si>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</si>
  <si>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</si>
  <si>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</si>
  <si>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</si>
  <si>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</si>
  <si>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</si>
  <si>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</si>
  <si>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</si>
  <si>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</si>
  <si>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</si>
  <si>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</si>
  <si>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</si>
  <si>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</si>
  <si>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</si>
  <si>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</si>
  <si>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</si>
  <si>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</si>
  <si>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</si>
  <si>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</si>
  <si>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</si>
  <si>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</si>
  <si>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</si>
  <si>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</si>
  <si>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</si>
  <si>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</si>
  <si>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</si>
  <si>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</si>
  <si>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</si>
  <si>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</si>
  <si>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</si>
  <si>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</si>
  <si>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</si>
  <si>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</si>
  <si>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</si>
  <si>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</si>
  <si>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</si>
  <si>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</si>
  <si>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</si>
  <si>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</si>
  <si>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</si>
  <si>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</si>
  <si>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</si>
  <si>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</si>
  <si>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</si>
  <si>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</si>
  <si>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</si>
  <si>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</si>
  <si>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</si>
  <si>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</si>
  <si>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</si>
  <si>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</si>
  <si>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</si>
  <si>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</si>
  <si>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</si>
  <si>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</si>
  <si>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</si>
  <si>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</si>
  <si>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</si>
  <si>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</si>
  <si>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</si>
  <si>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</si>
  <si>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</si>
  <si>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</si>
  <si>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</si>
  <si>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</si>
  <si>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</si>
  <si>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</si>
  <si>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</si>
  <si>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</si>
  <si>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</si>
  <si>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</si>
  <si>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</si>
  <si>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</si>
  <si>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</si>
  <si>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</si>
  <si>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</si>
  <si>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</si>
  <si>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</si>
  <si>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</si>
  <si>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</si>
  <si>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</si>
  <si>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</si>
  <si>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</si>
  <si>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</si>
  <si>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</si>
  <si>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</si>
  <si>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</si>
  <si>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</si>
  <si>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</si>
  <si>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</si>
  <si>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</si>
  <si>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</si>
  <si>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</si>
  <si>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</si>
  <si>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</si>
  <si>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</si>
  <si>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</si>
  <si>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</si>
  <si>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</si>
  <si>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</si>
  <si>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</si>
  <si>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</si>
  <si>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</si>
  <si>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</si>
  <si>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</si>
  <si>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</si>
  <si>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</si>
  <si>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</si>
  <si>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</si>
  <si>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</si>
  <si>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</si>
  <si>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</si>
  <si>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</si>
  <si>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</si>
  <si>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</si>
  <si>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</si>
  <si>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</si>
  <si>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</si>
  <si>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</si>
  <si>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</si>
  <si>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</si>
  <si>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</si>
  <si>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</si>
  <si>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</si>
  <si>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</si>
  <si>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</si>
  <si>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</si>
  <si>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</si>
  <si>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</si>
  <si>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</si>
  <si>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</si>
  <si>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</si>
  <si>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</si>
  <si>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</si>
  <si>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</si>
  <si>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</si>
  <si>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</si>
  <si>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</si>
  <si>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</si>
  <si>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</si>
  <si>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</si>
  <si>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</si>
  <si>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</si>
  <si>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</si>
  <si>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</si>
  <si>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</si>
  <si>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</si>
  <si>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</si>
  <si>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</si>
  <si>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</si>
  <si>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</si>
  <si>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</si>
  <si>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</si>
  <si>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</si>
  <si>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</si>
  <si>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</si>
  <si>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</si>
  <si>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</si>
  <si>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</si>
  <si>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</si>
  <si>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</si>
  <si>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</si>
  <si>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</si>
  <si>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</si>
  <si>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</si>
  <si>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</si>
  <si>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</si>
  <si>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</si>
  <si>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</si>
  <si>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</si>
  <si>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</si>
  <si>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</si>
  <si>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</si>
  <si>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</si>
  <si>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</si>
  <si>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</si>
  <si>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</si>
  <si>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</si>
  <si>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</si>
  <si>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</si>
  <si>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</si>
  <si>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</si>
  <si>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</si>
  <si>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</si>
  <si>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</si>
  <si>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</si>
  <si>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</si>
  <si>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</si>
  <si>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</si>
  <si>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</si>
  <si>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</si>
  <si>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</si>
  <si>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</si>
  <si>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</si>
  <si>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</si>
  <si>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</si>
  <si>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</si>
  <si>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</si>
  <si>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</si>
  <si>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</si>
  <si>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</si>
  <si>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</si>
  <si>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</si>
  <si>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</si>
  <si>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</si>
  <si>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</si>
  <si>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</si>
  <si>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</si>
  <si>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</si>
  <si>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</si>
  <si>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</si>
  <si>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</si>
  <si>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</si>
  <si>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</si>
  <si>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</si>
  <si>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</si>
  <si>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</si>
  <si>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</si>
  <si>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</si>
  <si>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</si>
  <si>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</si>
  <si>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</si>
  <si>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</si>
  <si>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</si>
  <si>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</si>
  <si>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</si>
  <si>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</si>
  <si>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</si>
  <si>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</si>
  <si>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</si>
  <si>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</si>
  <si>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</si>
  <si>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</si>
  <si>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</si>
  <si>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</si>
  <si>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</si>
  <si>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</si>
  <si>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</si>
  <si>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</si>
  <si>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</si>
  <si>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</si>
  <si>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</si>
  <si>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</si>
  <si>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</si>
  <si>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</si>
  <si>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</si>
  <si>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</si>
  <si>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</si>
  <si>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</si>
  <si>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</si>
  <si>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</si>
  <si>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</si>
  <si>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</si>
  <si>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</si>
  <si>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</si>
  <si>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</si>
  <si>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</si>
  <si>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</si>
  <si>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</si>
  <si>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</si>
  <si>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</si>
  <si>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</si>
  <si>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</si>
  <si>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</si>
  <si>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</si>
  <si>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</si>
  <si>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</si>
  <si>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</si>
  <si>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</si>
  <si>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</si>
  <si>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</si>
  <si>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</si>
  <si>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</si>
  <si>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</si>
  <si>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</si>
  <si>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</si>
  <si>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</si>
  <si>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</si>
  <si>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</si>
  <si>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</si>
  <si>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</si>
  <si>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</si>
  <si>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</si>
  <si>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</si>
  <si>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</si>
  <si>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</si>
  <si>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</si>
  <si>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</si>
  <si>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</si>
  <si>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</si>
  <si>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</si>
  <si>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</si>
  <si>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</si>
  <si>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</si>
  <si>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</si>
  <si>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</si>
  <si>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</si>
  <si>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</si>
  <si>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</si>
  <si>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</si>
  <si>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</si>
  <si>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</si>
  <si>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</si>
  <si>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</si>
  <si>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</si>
  <si>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</si>
  <si>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</si>
  <si>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</si>
  <si>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</si>
  <si>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</si>
  <si>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</si>
  <si>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</si>
  <si>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</si>
  <si>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</si>
  <si>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</si>
  <si>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</si>
  <si>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</si>
  <si>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</si>
  <si>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</si>
  <si>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</si>
  <si>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</si>
  <si>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</si>
  <si>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</si>
  <si>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</si>
  <si>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</si>
  <si>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</si>
  <si>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</si>
  <si>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</si>
  <si>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</si>
  <si>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</si>
  <si>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</si>
  <si>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</si>
  <si>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</si>
  <si>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</si>
  <si>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</si>
  <si>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</si>
  <si>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</si>
  <si>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</si>
  <si>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</si>
  <si>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</si>
  <si>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</si>
  <si>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</si>
  <si>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</si>
  <si>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</si>
  <si>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</si>
  <si>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</si>
  <si>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</si>
  <si>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</si>
  <si>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</si>
  <si>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</si>
  <si>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</si>
  <si>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</si>
  <si>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</si>
  <si>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</si>
  <si>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</si>
  <si>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</si>
  <si>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</si>
  <si>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</si>
  <si>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</si>
  <si>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</si>
  <si>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</si>
  <si>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</si>
  <si>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</si>
  <si>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</si>
  <si>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</si>
  <si>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</si>
  <si>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</si>
  <si>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</si>
  <si>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</si>
  <si>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</si>
  <si>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</si>
  <si>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</si>
  <si>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</si>
  <si>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</si>
  <si>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</si>
  <si>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</si>
  <si>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</si>
  <si>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</si>
  <si>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</si>
  <si>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</si>
  <si>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</si>
  <si>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</si>
  <si>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</si>
  <si>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</si>
  <si>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</si>
  <si>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</si>
  <si>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</si>
  <si>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</si>
  <si>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</si>
  <si>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</si>
  <si>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</si>
  <si>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</si>
  <si>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</si>
  <si>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</si>
  <si>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</si>
  <si>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</si>
  <si>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</si>
  <si>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</si>
  <si>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</si>
  <si>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</si>
  <si>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</si>
  <si>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</si>
  <si>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</si>
  <si>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</si>
  <si>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</si>
  <si>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</si>
  <si>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</si>
  <si>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</si>
  <si>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</si>
  <si>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</si>
  <si>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</si>
  <si>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</si>
  <si>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</si>
  <si>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</si>
  <si>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</si>
  <si>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</si>
  <si>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</si>
  <si>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</si>
  <si>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</si>
  <si>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</si>
  <si>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</si>
  <si>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</si>
  <si>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</si>
  <si>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</si>
  <si>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</si>
  <si>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</si>
  <si>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</si>
  <si>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</si>
  <si>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</si>
  <si>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</si>
  <si>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</si>
  <si>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</si>
  <si>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</si>
  <si>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</si>
  <si>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</si>
  <si>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</si>
  <si>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</si>
  <si>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</si>
  <si>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</si>
  <si>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</si>
  <si>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</si>
  <si>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</si>
  <si>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</si>
  <si>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</si>
  <si>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</si>
  <si>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</si>
  <si>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</si>
  <si>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</si>
  <si>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</si>
  <si>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</si>
  <si>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</si>
  <si>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</si>
  <si>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</si>
  <si>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</si>
  <si>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</si>
  <si>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</si>
  <si>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</si>
  <si>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</si>
  <si>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</si>
  <si>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</si>
  <si>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</si>
  <si>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</si>
  <si>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</si>
  <si>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</si>
  <si>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</si>
  <si>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</si>
  <si>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</si>
  <si>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</si>
  <si>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</si>
  <si>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</si>
  <si>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</si>
  <si>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</si>
  <si>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</si>
  <si>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</si>
  <si>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</si>
  <si>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</si>
  <si>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</si>
  <si>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</si>
  <si>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</si>
  <si>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</si>
  <si>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</si>
  <si>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</si>
  <si>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</si>
  <si>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</si>
  <si>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</si>
  <si>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</si>
  <si>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</si>
  <si>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</si>
  <si>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</si>
  <si>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</si>
  <si>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</si>
  <si>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</si>
  <si>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</si>
  <si>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</si>
  <si>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</si>
  <si>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</si>
  <si>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</si>
  <si>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</si>
  <si>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</si>
  <si>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</si>
  <si>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</si>
  <si>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</si>
  <si>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</si>
  <si>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</si>
  <si>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</si>
  <si>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</si>
  <si>
    <t>ApertureArea</t>
  </si>
  <si>
    <t>Count of SolarHotWaterHeating</t>
  </si>
  <si>
    <t>kWh</t>
  </si>
  <si>
    <t>Max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</si>
</sst>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0.00_-;\-* #,##0.00_-;_-* &quot;-&quot;??_-;_-@_-"/>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2">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
      <left style="medium">
        <color indexed="64"/>
      </left>
      <right style="medium">
        <color indexed="64"/>
      </right>
      <top style="thin">
        <color theme="0"/>
      </top>
      <bottom style="thin">
        <color theme="0"/>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4"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6">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5" fillId="35" borderId="0" xfId="1" applyNumberFormat="1" applyFont="1" applyFill="1"/>
    <xf numFmtId="0" fontId="76" fillId="0" borderId="0" xfId="0" applyFont="1"/>
    <xf numFmtId="0" fontId="77" fillId="0" borderId="0" xfId="0" applyFont="1" applyBorder="1" applyAlignment="1">
      <alignment vertical="center"/>
    </xf>
    <xf numFmtId="0" fontId="15" fillId="0" borderId="0" xfId="0" applyFont="1" applyBorder="1" applyAlignment="1">
      <alignment vertical="center"/>
    </xf>
    <xf numFmtId="0" fontId="78" fillId="0" borderId="1" xfId="0" applyFont="1" applyBorder="1" applyAlignment="1">
      <alignment vertical="center"/>
    </xf>
    <xf numFmtId="0" fontId="77" fillId="10" borderId="153" xfId="0" applyFont="1" applyFill="1" applyBorder="1" applyAlignment="1">
      <alignment vertical="center"/>
    </xf>
    <xf numFmtId="0" fontId="15" fillId="0" borderId="1" xfId="0" applyFont="1" applyBorder="1" applyAlignment="1">
      <alignment vertical="center"/>
    </xf>
    <xf numFmtId="17" fontId="76" fillId="0" borderId="1" xfId="0" applyNumberFormat="1" applyFont="1" applyBorder="1"/>
    <xf numFmtId="0" fontId="76" fillId="0" borderId="1" xfId="0" applyFont="1" applyBorder="1"/>
    <xf numFmtId="0" fontId="77" fillId="11" borderId="154" xfId="0" applyFont="1" applyFill="1" applyBorder="1" applyAlignment="1">
      <alignment vertical="center"/>
    </xf>
    <xf numFmtId="15" fontId="76" fillId="0" borderId="1" xfId="0" applyNumberFormat="1" applyFont="1" applyBorder="1"/>
    <xf numFmtId="165" fontId="15" fillId="12" borderId="154" xfId="0" applyNumberFormat="1" applyFont="1" applyFill="1" applyBorder="1" applyAlignment="1">
      <alignment vertical="center"/>
    </xf>
    <xf numFmtId="0" fontId="79" fillId="24" borderId="154" xfId="0" applyFont="1" applyFill="1" applyBorder="1" applyAlignment="1">
      <alignment vertical="center"/>
    </xf>
    <xf numFmtId="0" fontId="15" fillId="0" borderId="0" xfId="0" applyFont="1" applyBorder="1"/>
    <xf numFmtId="0" fontId="76" fillId="31" borderId="142" xfId="0" applyFont="1" applyFill="1" applyBorder="1"/>
    <xf numFmtId="0" fontId="76" fillId="0" borderId="0" xfId="0" applyFont="1" applyBorder="1"/>
    <xf numFmtId="0" fontId="80" fillId="0" borderId="14" xfId="0" applyFont="1" applyBorder="1"/>
    <xf numFmtId="0" fontId="76" fillId="0" borderId="149" xfId="0" quotePrefix="1" applyFont="1" applyBorder="1"/>
    <xf numFmtId="0" fontId="80" fillId="0" borderId="13" xfId="0" applyFont="1" applyBorder="1"/>
    <xf numFmtId="0" fontId="76" fillId="0" borderId="17" xfId="0" applyFont="1" applyBorder="1"/>
    <xf numFmtId="0" fontId="80" fillId="0" borderId="148" xfId="0" applyFont="1" applyBorder="1"/>
    <xf numFmtId="0" fontId="76" fillId="0" borderId="147" xfId="0" applyFont="1" applyBorder="1" applyAlignment="1">
      <alignment horizontal="left"/>
    </xf>
    <xf numFmtId="0" fontId="78" fillId="0" borderId="14" xfId="0" applyFont="1" applyBorder="1" applyAlignment="1">
      <alignment vertical="center"/>
    </xf>
    <xf numFmtId="0" fontId="78" fillId="0" borderId="149" xfId="0" applyFont="1" applyBorder="1" applyAlignment="1">
      <alignment vertical="center"/>
    </xf>
    <xf numFmtId="0" fontId="80" fillId="0" borderId="0" xfId="0" applyFont="1" applyBorder="1"/>
    <xf numFmtId="0" fontId="78" fillId="0" borderId="108" xfId="0" applyFont="1" applyBorder="1" applyAlignment="1">
      <alignment vertical="center"/>
    </xf>
    <xf numFmtId="0" fontId="78" fillId="0" borderId="111" xfId="0" applyFont="1" applyBorder="1" applyAlignment="1">
      <alignment vertical="center"/>
    </xf>
    <xf numFmtId="0" fontId="78"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6" fillId="0" borderId="118" xfId="0" applyNumberFormat="1" applyFont="1" applyBorder="1"/>
    <xf numFmtId="0" fontId="76" fillId="0" borderId="114" xfId="0" applyFont="1" applyBorder="1"/>
    <xf numFmtId="0" fontId="15" fillId="0" borderId="136" xfId="0" applyFont="1" applyBorder="1" applyAlignment="1">
      <alignment vertical="center"/>
    </xf>
    <xf numFmtId="0" fontId="76"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6" fillId="0" borderId="11" xfId="0" applyNumberFormat="1" applyFont="1" applyBorder="1"/>
    <xf numFmtId="0" fontId="76" fillId="0" borderId="60" xfId="0" applyFont="1" applyBorder="1"/>
    <xf numFmtId="17" fontId="76" fillId="0" borderId="0" xfId="0" applyNumberFormat="1" applyFont="1" applyBorder="1" applyAlignment="1">
      <alignment horizontal="right"/>
    </xf>
    <xf numFmtId="0" fontId="78" fillId="0" borderId="55" xfId="0" applyFont="1" applyBorder="1" applyAlignment="1">
      <alignment vertical="center"/>
    </xf>
    <xf numFmtId="0" fontId="78" fillId="0" borderId="58" xfId="0" applyFont="1" applyBorder="1" applyAlignment="1">
      <alignment vertical="center"/>
    </xf>
    <xf numFmtId="0" fontId="78" fillId="0" borderId="56" xfId="0" applyFont="1" applyBorder="1" applyAlignment="1">
      <alignment vertical="center"/>
    </xf>
    <xf numFmtId="0" fontId="78" fillId="0" borderId="54" xfId="0" applyFont="1" applyBorder="1" applyAlignment="1">
      <alignment vertical="center"/>
    </xf>
    <xf numFmtId="0" fontId="80" fillId="0" borderId="1" xfId="0" applyFont="1" applyBorder="1"/>
    <xf numFmtId="0" fontId="76" fillId="0" borderId="1" xfId="0" quotePrefix="1" applyFont="1" applyBorder="1"/>
    <xf numFmtId="0" fontId="76" fillId="0" borderId="1" xfId="0" applyFont="1" applyBorder="1" applyAlignment="1">
      <alignment horizontal="right"/>
    </xf>
    <xf numFmtId="17" fontId="76"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0" fillId="0" borderId="136" xfId="0" applyFont="1" applyBorder="1"/>
    <xf numFmtId="0" fontId="76" fillId="0" borderId="140" xfId="0" applyFont="1" applyBorder="1" applyAlignment="1">
      <alignment horizontal="right"/>
    </xf>
    <xf numFmtId="0" fontId="76" fillId="0" borderId="0" xfId="0" applyFont="1" applyBorder="1" applyAlignment="1">
      <alignment horizontal="right"/>
    </xf>
    <xf numFmtId="0" fontId="76" fillId="0" borderId="0" xfId="0" applyFont="1" applyBorder="1" applyAlignment="1">
      <alignment horizontal="left"/>
    </xf>
    <xf numFmtId="17" fontId="76" fillId="0" borderId="1" xfId="0" quotePrefix="1" applyNumberFormat="1" applyFont="1" applyBorder="1"/>
    <xf numFmtId="15" fontId="76"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6"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3"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5"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5" fillId="0" borderId="37" xfId="0" applyNumberFormat="1" applyFont="1" applyBorder="1" applyAlignment="1">
      <alignment horizontal="left"/>
    </xf>
    <xf numFmtId="38" fontId="85" fillId="0" borderId="38" xfId="0" applyNumberFormat="1" applyFont="1" applyBorder="1" applyAlignment="1">
      <alignment horizontal="left" vertical="top"/>
    </xf>
    <xf numFmtId="38" fontId="85" fillId="0" borderId="44" xfId="0" applyNumberFormat="1" applyFont="1" applyBorder="1" applyAlignment="1">
      <alignment horizontal="center"/>
    </xf>
    <xf numFmtId="38" fontId="23" fillId="0" borderId="74" xfId="0" applyNumberFormat="1" applyFont="1" applyBorder="1" applyAlignment="1">
      <alignment horizontal="center"/>
    </xf>
    <xf numFmtId="38" fontId="85" fillId="0" borderId="37" xfId="0" applyNumberFormat="1" applyFont="1" applyBorder="1" applyAlignment="1">
      <alignment horizontal="center"/>
    </xf>
    <xf numFmtId="38" fontId="85" fillId="0" borderId="42" xfId="0" applyNumberFormat="1" applyFont="1" applyBorder="1" applyAlignment="1">
      <alignment horizontal="center"/>
    </xf>
    <xf numFmtId="38" fontId="23" fillId="0" borderId="76" xfId="0" applyNumberFormat="1" applyFont="1" applyBorder="1" applyAlignment="1">
      <alignment horizontal="center"/>
    </xf>
    <xf numFmtId="38" fontId="85" fillId="0" borderId="73" xfId="0" applyNumberFormat="1" applyFont="1" applyBorder="1" applyAlignment="1">
      <alignment horizontal="center"/>
    </xf>
    <xf numFmtId="38" fontId="85" fillId="0" borderId="74" xfId="0" applyNumberFormat="1" applyFont="1" applyBorder="1" applyAlignment="1">
      <alignment horizontal="center"/>
    </xf>
    <xf numFmtId="38" fontId="85"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5" fillId="0" borderId="43" xfId="0" applyNumberFormat="1" applyFont="1" applyBorder="1" applyAlignment="1">
      <alignment horizontal="center"/>
    </xf>
    <xf numFmtId="38" fontId="85" fillId="0" borderId="41" xfId="0" applyNumberFormat="1" applyFont="1" applyBorder="1" applyAlignment="1">
      <alignment horizontal="center"/>
    </xf>
    <xf numFmtId="38" fontId="85" fillId="0" borderId="45" xfId="0" applyNumberFormat="1" applyFont="1" applyBorder="1" applyAlignment="1">
      <alignment horizontal="center"/>
    </xf>
    <xf numFmtId="38" fontId="85" fillId="0" borderId="134" xfId="0" applyNumberFormat="1" applyFont="1" applyBorder="1" applyAlignment="1">
      <alignment horizontal="center"/>
    </xf>
    <xf numFmtId="38" fontId="85" fillId="0" borderId="133" xfId="0" applyNumberFormat="1" applyFont="1" applyBorder="1" applyAlignment="1">
      <alignment horizontal="center"/>
    </xf>
    <xf numFmtId="38" fontId="85" fillId="0" borderId="131" xfId="0" applyNumberFormat="1" applyFont="1" applyBorder="1" applyAlignment="1">
      <alignment horizontal="center"/>
    </xf>
    <xf numFmtId="38" fontId="85" fillId="0" borderId="79" xfId="0" applyNumberFormat="1" applyFont="1" applyBorder="1" applyAlignment="1">
      <alignment horizontal="left"/>
    </xf>
    <xf numFmtId="38" fontId="85"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5" fillId="0" borderId="83" xfId="0" applyNumberFormat="1" applyFont="1" applyBorder="1" applyAlignment="1">
      <alignment horizontal="center"/>
    </xf>
    <xf numFmtId="38" fontId="85" fillId="0" borderId="84" xfId="0" applyNumberFormat="1" applyFont="1" applyBorder="1" applyAlignment="1">
      <alignment horizontal="center"/>
    </xf>
    <xf numFmtId="38" fontId="85" fillId="0" borderId="87" xfId="0" applyNumberFormat="1" applyFont="1" applyBorder="1" applyAlignment="1">
      <alignment horizontal="center"/>
    </xf>
    <xf numFmtId="38" fontId="86" fillId="0" borderId="87" xfId="0" applyNumberFormat="1" applyFont="1" applyBorder="1" applyAlignment="1">
      <alignment horizontal="center"/>
    </xf>
    <xf numFmtId="38" fontId="85" fillId="0" borderId="69" xfId="0" applyNumberFormat="1" applyFont="1" applyBorder="1" applyAlignment="1">
      <alignment horizontal="left"/>
    </xf>
    <xf numFmtId="38" fontId="85" fillId="0" borderId="70" xfId="0" applyNumberFormat="1" applyFont="1" applyBorder="1" applyAlignment="1">
      <alignment horizontal="left" vertical="top"/>
    </xf>
    <xf numFmtId="38" fontId="85"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5" fillId="0" borderId="69" xfId="0" applyNumberFormat="1" applyFont="1" applyBorder="1" applyAlignment="1">
      <alignment horizontal="center"/>
    </xf>
    <xf numFmtId="38" fontId="85" fillId="0" borderId="75" xfId="0" applyNumberFormat="1" applyFont="1" applyBorder="1" applyAlignment="1">
      <alignment horizontal="center"/>
    </xf>
    <xf numFmtId="38" fontId="85" fillId="0" borderId="121" xfId="0" applyNumberFormat="1" applyFont="1" applyBorder="1" applyAlignment="1">
      <alignment horizontal="left"/>
    </xf>
    <xf numFmtId="38" fontId="85" fillId="0" borderId="122" xfId="0" applyNumberFormat="1" applyFont="1" applyBorder="1" applyAlignment="1">
      <alignment horizontal="left" vertical="top"/>
    </xf>
    <xf numFmtId="38" fontId="85"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5" fillId="0" borderId="121" xfId="0" applyNumberFormat="1" applyFont="1" applyBorder="1" applyAlignment="1">
      <alignment horizontal="center"/>
    </xf>
    <xf numFmtId="38" fontId="85" fillId="0" borderId="125" xfId="0" applyNumberFormat="1" applyFont="1" applyBorder="1" applyAlignment="1">
      <alignment horizontal="center"/>
    </xf>
    <xf numFmtId="38" fontId="85"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5" fillId="0" borderId="79" xfId="0" applyNumberFormat="1" applyFont="1" applyBorder="1" applyAlignment="1">
      <alignment horizontal="center"/>
    </xf>
    <xf numFmtId="38" fontId="85"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89" fillId="11" borderId="154" xfId="0" applyFont="1" applyFill="1" applyBorder="1" applyAlignment="1">
      <alignment vertical="center"/>
    </xf>
    <xf numFmtId="166" fontId="89"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0"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89"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89"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8" fillId="0" borderId="147" xfId="0" applyNumberFormat="1" applyFont="1" applyBorder="1"/>
    <xf numFmtId="3" fontId="78"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8" fillId="24" borderId="142" xfId="5" applyNumberFormat="1" applyFont="1" applyFill="1" applyBorder="1"/>
    <xf numFmtId="17" fontId="76" fillId="0" borderId="0" xfId="0" applyNumberFormat="1" applyFont="1" applyBorder="1"/>
    <xf numFmtId="0" fontId="80" fillId="19" borderId="136" xfId="0" applyFont="1" applyFill="1" applyBorder="1"/>
    <xf numFmtId="0" fontId="54" fillId="19" borderId="1" xfId="3" applyFont="1" applyFill="1" applyBorder="1" applyAlignment="1">
      <alignment horizontal="left"/>
    </xf>
    <xf numFmtId="17" fontId="76" fillId="19" borderId="1" xfId="0" applyNumberFormat="1" applyFont="1" applyFill="1" applyBorder="1" applyAlignment="1">
      <alignment horizontal="right"/>
    </xf>
    <xf numFmtId="0" fontId="76" fillId="19" borderId="140" xfId="0" applyFont="1" applyFill="1" applyBorder="1"/>
    <xf numFmtId="0" fontId="80" fillId="19" borderId="61" xfId="0" applyFont="1" applyFill="1" applyBorder="1"/>
    <xf numFmtId="0" fontId="54" fillId="19" borderId="11" xfId="3" applyFill="1" applyBorder="1" applyAlignment="1">
      <alignment horizontal="left"/>
    </xf>
    <xf numFmtId="17" fontId="76" fillId="19" borderId="11" xfId="0" applyNumberFormat="1" applyFont="1" applyFill="1" applyBorder="1" applyAlignment="1">
      <alignment horizontal="right"/>
    </xf>
    <xf numFmtId="0" fontId="76" fillId="19" borderId="60" xfId="0" applyFont="1" applyFill="1" applyBorder="1"/>
    <xf numFmtId="0" fontId="76" fillId="19" borderId="1" xfId="0" applyFont="1" applyFill="1" applyBorder="1"/>
    <xf numFmtId="0" fontId="76" fillId="19" borderId="140" xfId="0" applyFont="1" applyFill="1" applyBorder="1" applyAlignment="1">
      <alignment horizontal="right"/>
    </xf>
    <xf numFmtId="0" fontId="92" fillId="0" borderId="140" xfId="0" applyFont="1" applyBorder="1" applyAlignment="1">
      <alignment horizontal="center"/>
    </xf>
    <xf numFmtId="0" fontId="92" fillId="4" borderId="140" xfId="0" applyFont="1" applyFill="1" applyBorder="1" applyAlignment="1">
      <alignment horizontal="center"/>
    </xf>
    <xf numFmtId="0" fontId="80"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2" fillId="39" borderId="113" xfId="0" applyNumberFormat="1" applyFont="1" applyFill="1" applyBorder="1" applyAlignment="1">
      <alignment horizontal="center" vertical="center"/>
    </xf>
    <xf numFmtId="165" fontId="82" fillId="39" borderId="106" xfId="0" applyNumberFormat="1" applyFont="1" applyFill="1" applyBorder="1" applyAlignment="1">
      <alignment horizontal="center" vertical="center"/>
    </xf>
    <xf numFmtId="165" fontId="82" fillId="39" borderId="146" xfId="0" applyNumberFormat="1" applyFont="1" applyFill="1" applyBorder="1" applyAlignment="1">
      <alignment horizontal="center" vertical="center"/>
    </xf>
    <xf numFmtId="165" fontId="82" fillId="12" borderId="68" xfId="0" applyNumberFormat="1" applyFont="1" applyFill="1" applyBorder="1" applyAlignment="1">
      <alignment horizontal="center" vertical="center"/>
    </xf>
    <xf numFmtId="165" fontId="82" fillId="12" borderId="166" xfId="0" applyNumberFormat="1" applyFont="1" applyFill="1" applyBorder="1" applyAlignment="1">
      <alignment horizontal="center" vertical="center"/>
    </xf>
    <xf numFmtId="0" fontId="81" fillId="10" borderId="26" xfId="0" applyFont="1" applyFill="1" applyBorder="1" applyAlignment="1">
      <alignment horizontal="center" vertical="center"/>
    </xf>
    <xf numFmtId="0" fontId="81" fillId="10" borderId="2" xfId="0"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89" fillId="11" borderId="139" xfId="0" applyFont="1" applyFill="1" applyBorder="1" applyAlignment="1">
      <alignment horizontal="center" vertical="center"/>
    </xf>
    <xf numFmtId="0" fontId="89"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91" fillId="11" borderId="0" xfId="0" applyFont="1" applyFill="1" applyAlignment="1">
      <alignment horizontal="center" vertical="center"/>
    </xf>
    <xf numFmtId="0" fontId="90" fillId="10" borderId="93" xfId="0" applyFont="1" applyFill="1" applyBorder="1" applyAlignment="1">
      <alignment horizontal="center" vertical="center"/>
    </xf>
    <xf numFmtId="0" fontId="90" fillId="10" borderId="0" xfId="0" applyFont="1" applyFill="1" applyBorder="1" applyAlignment="1">
      <alignment horizontal="center" vertical="center"/>
    </xf>
    <xf numFmtId="0" fontId="90" fillId="11" borderId="93" xfId="0" applyFont="1" applyFill="1" applyBorder="1" applyAlignment="1">
      <alignment horizontal="center" vertical="center"/>
    </xf>
    <xf numFmtId="0" fontId="90" fillId="11" borderId="0" xfId="0" applyFont="1" applyFill="1" applyBorder="1" applyAlignment="1">
      <alignment horizontal="center" vertical="center"/>
    </xf>
    <xf numFmtId="0" fontId="46" fillId="14" borderId="0" xfId="0" applyFont="1" applyFill="1" applyAlignment="1">
      <alignment horizontal="center" vertical="center"/>
    </xf>
    <xf numFmtId="0" fontId="87" fillId="27" borderId="141" xfId="0" applyFont="1" applyFill="1" applyBorder="1" applyAlignment="1">
      <alignment horizontal="center"/>
    </xf>
    <xf numFmtId="0" fontId="87" fillId="27" borderId="106" xfId="0" applyFont="1" applyFill="1" applyBorder="1" applyAlignment="1">
      <alignment horizontal="center"/>
    </xf>
    <xf numFmtId="0" fontId="87"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89" fillId="11" borderId="113" xfId="1" applyNumberFormat="1" applyFont="1" applyFill="1" applyBorder="1" applyAlignment="1">
      <alignment horizontal="center" vertical="center"/>
    </xf>
    <xf numFmtId="166" fontId="89"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xf numFmtId="0" fontId="60" fillId="25" borderId="151" xfId="0" applyFont="1" applyFill="1" applyBorder="1" applyAlignment="1">
      <alignment horizontal="center"/>
    </xf>
    <xf numFmtId="0" fontId="58" fillId="28" borderId="191" xfId="0" applyFont="1" applyFill="1" applyBorder="1" applyAlignment="1">
      <alignment vertical="center"/>
    </xf>
    <xf numFmtId="0" fontId="58" fillId="26" borderId="191" xfId="0" applyFont="1" applyFill="1" applyBorder="1" applyAlignment="1">
      <alignment vertical="center"/>
    </xf>
    <xf numFmtId="175" fontId="0" fillId="0" borderId="0" xfId="5" applyNumberFormat="1" applyFont="1"/>
    <xf numFmtId="43" fontId="0" fillId="0" borderId="0" xfId="0" applyNumberFormat="1"/>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A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C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C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C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C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D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D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D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E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E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E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3" customWidth="1"/>
    <col min="5" max="6" width="14.140625" style="1013" customWidth="1"/>
    <col min="7" max="7" width="12.140625" style="1013" customWidth="1"/>
    <col min="8" max="10" width="8.140625" style="1013" customWidth="1"/>
    <col min="11" max="11" width="9.7109375" style="1013" customWidth="1"/>
    <col min="12" max="12" width="8.140625" style="1013" customWidth="1"/>
    <col min="13" max="13" width="10" style="1013" customWidth="1"/>
    <col min="14" max="14" width="11.42578125" style="1013" customWidth="1"/>
    <col min="15" max="15" width="13.42578125" style="1013" customWidth="1"/>
    <col min="16" max="16384" width="8.85546875" style="1013"/>
  </cols>
  <sheetData>
    <row r="1" spans="1:26">
      <c r="A1" s="1011"/>
      <c r="B1" s="1011"/>
      <c r="C1" s="1011"/>
      <c r="D1" s="1011"/>
      <c r="E1" s="1012"/>
      <c r="F1" s="1012"/>
      <c r="G1" s="1012"/>
      <c r="H1" s="1012"/>
      <c r="I1" s="1012"/>
      <c r="J1" s="1012"/>
      <c r="K1" s="1012"/>
      <c r="L1" s="1012"/>
      <c r="M1" s="1012"/>
      <c r="N1" s="1012"/>
      <c r="O1" s="1012"/>
      <c r="P1" s="1012"/>
      <c r="Q1" s="1012"/>
      <c r="R1" s="1012"/>
      <c r="S1" s="1012"/>
      <c r="T1" s="1012"/>
      <c r="U1" s="1012"/>
      <c r="V1" s="1012"/>
      <c r="W1" s="1012"/>
      <c r="X1" s="1012"/>
      <c r="Y1" s="1012"/>
      <c r="Z1" s="1012"/>
    </row>
    <row r="2" spans="1:26">
      <c r="A2" s="1011"/>
      <c r="B2" s="1011"/>
      <c r="C2" s="1011"/>
      <c r="D2" s="1011"/>
      <c r="E2" s="1012"/>
      <c r="F2" s="1012"/>
      <c r="G2" s="1012"/>
      <c r="H2" s="1012"/>
      <c r="I2" s="1012"/>
      <c r="J2" s="1012"/>
      <c r="K2" s="1012"/>
      <c r="L2" s="1012"/>
      <c r="M2" s="1012"/>
      <c r="N2" s="1012"/>
      <c r="O2" s="1012"/>
      <c r="P2" s="1012"/>
      <c r="Q2" s="1012"/>
      <c r="R2" s="1012"/>
      <c r="S2" s="1012"/>
      <c r="T2" s="1012"/>
      <c r="U2" s="1012"/>
      <c r="V2" s="1012"/>
      <c r="W2" s="1012"/>
      <c r="X2" s="1012"/>
      <c r="Y2" s="1012"/>
      <c r="Z2" s="1012"/>
    </row>
    <row r="3" spans="1:26">
      <c r="A3" s="1011"/>
      <c r="B3" s="1011"/>
      <c r="C3" s="1011"/>
      <c r="D3" s="1011"/>
      <c r="E3" s="1012"/>
      <c r="F3" s="1012"/>
      <c r="G3" s="1012"/>
      <c r="H3" s="1012"/>
      <c r="I3" s="1012"/>
      <c r="J3" s="1012"/>
      <c r="K3" s="1012"/>
      <c r="L3" s="1012"/>
      <c r="M3" s="1012"/>
      <c r="N3" s="1012"/>
      <c r="O3" s="1012"/>
      <c r="P3" s="1012"/>
      <c r="Q3" s="1012"/>
      <c r="R3" s="1012"/>
      <c r="S3" s="1012"/>
      <c r="T3" s="1012"/>
      <c r="U3" s="1012"/>
      <c r="V3" s="1012"/>
      <c r="W3" s="1012"/>
      <c r="X3" s="1012"/>
      <c r="Y3" s="1012"/>
      <c r="Z3" s="1012"/>
    </row>
    <row r="4" spans="1:26">
      <c r="A4" s="1011"/>
      <c r="B4" s="1011"/>
      <c r="C4" s="1011"/>
      <c r="D4" s="1011"/>
      <c r="E4" s="1012"/>
      <c r="F4" s="1012"/>
      <c r="G4" s="1012"/>
      <c r="H4" s="1012"/>
      <c r="I4" s="1012"/>
      <c r="J4" s="1012"/>
      <c r="K4" s="1012"/>
      <c r="L4" s="1012"/>
      <c r="M4" s="1012"/>
      <c r="N4" s="1012"/>
      <c r="O4" s="1012"/>
      <c r="P4" s="1012"/>
      <c r="Q4" s="1012"/>
      <c r="R4" s="1012"/>
      <c r="S4" s="1012"/>
      <c r="T4" s="1012"/>
      <c r="U4" s="1012"/>
      <c r="V4" s="1012"/>
      <c r="W4" s="1012"/>
      <c r="X4" s="1012"/>
      <c r="Y4" s="1012"/>
      <c r="Z4" s="1012"/>
    </row>
    <row r="5" spans="1:26">
      <c r="A5" s="1011"/>
      <c r="B5" s="1011"/>
      <c r="C5" s="1011"/>
      <c r="D5" s="1011"/>
      <c r="E5" s="1012"/>
      <c r="F5" s="1012"/>
      <c r="G5" s="1012"/>
      <c r="H5" s="1012"/>
      <c r="I5" s="1012"/>
      <c r="J5" s="1012"/>
      <c r="K5" s="1012"/>
      <c r="L5" s="1012"/>
      <c r="M5" s="1012"/>
      <c r="N5" s="1012"/>
      <c r="O5" s="1012"/>
      <c r="P5" s="1012"/>
      <c r="Q5" s="1012"/>
      <c r="R5" s="1012"/>
      <c r="S5" s="1012"/>
      <c r="T5" s="1012"/>
      <c r="U5" s="1012"/>
      <c r="V5" s="1012"/>
      <c r="W5" s="1012"/>
      <c r="X5" s="1012"/>
      <c r="Y5" s="1012"/>
      <c r="Z5" s="1012"/>
    </row>
    <row r="6" spans="1:26">
      <c r="A6" s="1011"/>
      <c r="B6" s="1011"/>
      <c r="C6" s="1011"/>
      <c r="D6" s="1011"/>
      <c r="E6" s="1012"/>
      <c r="F6" s="1012"/>
      <c r="G6" s="1012"/>
      <c r="H6" s="1012"/>
      <c r="I6" s="1012"/>
      <c r="J6" s="1012"/>
      <c r="K6" s="1012"/>
      <c r="L6" s="1012"/>
      <c r="M6" s="1012"/>
      <c r="N6" s="1012"/>
      <c r="O6" s="1012"/>
      <c r="P6" s="1012"/>
      <c r="Q6" s="1012"/>
      <c r="R6" s="1012"/>
      <c r="S6" s="1012"/>
      <c r="T6" s="1012"/>
      <c r="U6" s="1012"/>
      <c r="V6" s="1012"/>
      <c r="W6" s="1012"/>
      <c r="X6" s="1012"/>
      <c r="Y6" s="1012"/>
      <c r="Z6" s="1012"/>
    </row>
    <row r="7" spans="1:26">
      <c r="A7" s="1011"/>
      <c r="B7" s="1011"/>
      <c r="C7" s="1011"/>
      <c r="D7" s="1011"/>
      <c r="E7" s="1012"/>
      <c r="F7" s="1012"/>
      <c r="G7" s="1012"/>
      <c r="H7" s="1012"/>
      <c r="I7" s="1012"/>
      <c r="J7" s="1012"/>
      <c r="K7" s="1012"/>
      <c r="L7" s="1012"/>
      <c r="M7" s="1012"/>
      <c r="N7" s="1012"/>
      <c r="O7" s="1012"/>
      <c r="P7" s="1012"/>
      <c r="Q7" s="1012"/>
      <c r="R7" s="1012"/>
      <c r="S7" s="1012"/>
      <c r="T7" s="1012"/>
      <c r="U7" s="1012"/>
      <c r="V7" s="1012"/>
      <c r="W7" s="1012"/>
      <c r="X7" s="1012"/>
      <c r="Y7" s="1012"/>
      <c r="Z7" s="1012"/>
    </row>
    <row r="8" spans="1:26">
      <c r="A8" s="1011"/>
      <c r="B8" s="1011"/>
      <c r="C8" s="1011"/>
      <c r="D8" s="1011"/>
      <c r="E8" s="1012"/>
      <c r="F8" s="1012"/>
      <c r="G8" s="1012"/>
      <c r="H8" s="1012"/>
      <c r="I8" s="1012"/>
      <c r="J8" s="1012"/>
      <c r="K8" s="1012"/>
      <c r="L8" s="1012"/>
      <c r="M8" s="1012"/>
      <c r="N8" s="1012"/>
      <c r="O8" s="1012"/>
      <c r="P8" s="1012"/>
      <c r="Q8" s="1012"/>
      <c r="R8" s="1012"/>
      <c r="S8" s="1012"/>
      <c r="T8" s="1012"/>
      <c r="U8" s="1012"/>
      <c r="V8" s="1012"/>
      <c r="W8" s="1012"/>
      <c r="X8" s="1012"/>
      <c r="Y8" s="1012"/>
      <c r="Z8" s="1012"/>
    </row>
    <row r="9" spans="1:26">
      <c r="A9" s="1011"/>
      <c r="B9" s="1011"/>
      <c r="C9" s="1011"/>
      <c r="D9" s="1011"/>
      <c r="E9" s="1012"/>
      <c r="F9" s="1012"/>
      <c r="G9" s="1012"/>
      <c r="H9" s="1012"/>
      <c r="I9" s="1012"/>
      <c r="J9" s="1012"/>
      <c r="K9" s="1012"/>
      <c r="L9" s="1012"/>
      <c r="M9" s="1012"/>
      <c r="N9" s="1012"/>
      <c r="O9" s="1012"/>
      <c r="P9" s="1012"/>
      <c r="Q9" s="1012"/>
      <c r="R9" s="1012"/>
      <c r="S9" s="1012"/>
      <c r="T9" s="1012"/>
      <c r="U9" s="1012"/>
      <c r="V9" s="1012"/>
      <c r="W9" s="1012"/>
      <c r="X9" s="1012"/>
      <c r="Y9" s="1012"/>
      <c r="Z9" s="1012"/>
    </row>
    <row r="10" spans="1:26">
      <c r="A10" s="1011"/>
      <c r="B10" s="1011"/>
      <c r="C10" s="1011"/>
      <c r="D10" s="1011"/>
      <c r="E10" s="1012"/>
      <c r="F10" s="1012"/>
      <c r="G10" s="1012"/>
      <c r="H10" s="1012"/>
      <c r="I10" s="1012"/>
      <c r="J10" s="1012"/>
      <c r="K10" s="1012"/>
      <c r="L10" s="1012"/>
      <c r="M10" s="1012"/>
      <c r="N10" s="1012"/>
      <c r="O10" s="1012"/>
      <c r="P10" s="1012"/>
      <c r="Q10" s="1012"/>
      <c r="R10" s="1012"/>
      <c r="S10" s="1012"/>
      <c r="T10" s="1012"/>
      <c r="U10" s="1012"/>
      <c r="V10" s="1012"/>
      <c r="W10" s="1012"/>
      <c r="X10" s="1012"/>
      <c r="Y10" s="1012"/>
      <c r="Z10" s="1012"/>
    </row>
    <row r="11" spans="1:26">
      <c r="A11" s="1011"/>
      <c r="B11" s="1011"/>
      <c r="C11" s="1011"/>
      <c r="D11" s="1011"/>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row>
    <row r="12" spans="1:26">
      <c r="A12" s="1011"/>
      <c r="B12" s="1011"/>
      <c r="C12" s="1011"/>
      <c r="D12" s="1011"/>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row>
    <row r="13" spans="1:26">
      <c r="A13" s="1011"/>
      <c r="B13" s="1011"/>
      <c r="C13" s="1011"/>
      <c r="D13" s="1011"/>
      <c r="E13" s="1012"/>
      <c r="F13" s="1012"/>
      <c r="G13" s="1012"/>
      <c r="H13" s="1012"/>
      <c r="I13" s="1012"/>
      <c r="J13" s="1012"/>
      <c r="K13" s="1012"/>
      <c r="L13" s="1012"/>
      <c r="M13" s="1012"/>
      <c r="N13" s="1012"/>
      <c r="O13" s="1012"/>
      <c r="P13" s="1012"/>
      <c r="Q13" s="1012"/>
      <c r="R13" s="1012"/>
      <c r="S13" s="1012"/>
      <c r="T13" s="1012"/>
      <c r="U13" s="1012"/>
      <c r="V13" s="1012"/>
      <c r="W13" s="1012"/>
      <c r="X13" s="1012"/>
      <c r="Y13" s="1012"/>
      <c r="Z13" s="1012"/>
    </row>
    <row r="14" spans="1:26">
      <c r="A14" s="1011"/>
      <c r="B14" s="1011"/>
      <c r="C14" s="1011"/>
      <c r="D14" s="1011"/>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row>
    <row r="15" spans="1:26">
      <c r="A15" s="1011"/>
      <c r="B15" s="1011"/>
      <c r="C15" s="1011"/>
      <c r="D15" s="1011"/>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row>
    <row r="16" spans="1:26" ht="102.75" customHeight="1">
      <c r="A16" s="1076" t="s">
        <v>878</v>
      </c>
      <c r="B16" s="1076"/>
      <c r="C16" s="1076"/>
      <c r="D16" s="1076"/>
      <c r="E16" s="1014"/>
      <c r="F16" s="1014"/>
      <c r="G16" s="1015"/>
      <c r="H16" s="1015"/>
      <c r="I16" s="1015"/>
      <c r="J16" s="1015"/>
      <c r="K16" s="1015"/>
      <c r="L16" s="1015"/>
      <c r="M16" s="1012"/>
      <c r="N16" s="1012"/>
      <c r="O16" s="1012"/>
      <c r="P16" s="1012"/>
      <c r="Q16" s="1012"/>
      <c r="R16" s="1012"/>
      <c r="S16" s="1012"/>
      <c r="T16" s="1012"/>
      <c r="U16" s="1012"/>
      <c r="V16" s="1012"/>
      <c r="W16" s="1012"/>
      <c r="X16" s="1012"/>
      <c r="Y16" s="1012"/>
      <c r="Z16" s="1012"/>
    </row>
    <row r="17" spans="1:26" ht="17.25" customHeight="1">
      <c r="A17" s="1016"/>
      <c r="B17" s="1016"/>
      <c r="C17" s="1016"/>
      <c r="D17" s="1016"/>
      <c r="E17" s="1012"/>
      <c r="F17" s="1012"/>
      <c r="G17" s="1012"/>
      <c r="H17" s="1012"/>
      <c r="I17" s="1012"/>
      <c r="J17" s="1012"/>
      <c r="K17" s="1012"/>
      <c r="L17" s="1012"/>
      <c r="M17" s="1012"/>
      <c r="N17" s="1012"/>
      <c r="O17" s="1012"/>
      <c r="P17" s="1012"/>
      <c r="Q17" s="1012"/>
      <c r="R17" s="1012"/>
      <c r="S17" s="1012"/>
      <c r="T17" s="1012"/>
      <c r="U17" s="1012"/>
      <c r="V17" s="1012"/>
      <c r="W17" s="1012"/>
      <c r="X17" s="1012"/>
      <c r="Y17" s="1012"/>
      <c r="Z17" s="1012"/>
    </row>
    <row r="18" spans="1:26" ht="17.25" customHeight="1">
      <c r="A18" s="1016"/>
      <c r="B18" s="1016"/>
      <c r="C18" s="1016"/>
      <c r="D18" s="1016"/>
      <c r="E18" s="1017"/>
      <c r="F18" s="1017"/>
      <c r="G18" s="1018"/>
      <c r="H18" s="1018"/>
      <c r="I18" s="1018"/>
      <c r="J18" s="1018"/>
      <c r="K18" s="1018"/>
      <c r="L18" s="1018"/>
      <c r="M18" s="1012"/>
      <c r="N18" s="1012"/>
      <c r="O18" s="1012"/>
      <c r="P18" s="1012"/>
      <c r="Q18" s="1012"/>
      <c r="R18" s="1012"/>
      <c r="S18" s="1012"/>
      <c r="T18" s="1012"/>
      <c r="U18" s="1012"/>
      <c r="V18" s="1012"/>
      <c r="W18" s="1012"/>
      <c r="X18" s="1012"/>
      <c r="Y18" s="1012"/>
      <c r="Z18" s="1012"/>
    </row>
    <row r="19" spans="1:26" ht="17.25" customHeight="1">
      <c r="A19" s="1019" t="s">
        <v>0</v>
      </c>
      <c r="B19" s="1075" t="s">
        <v>893</v>
      </c>
      <c r="C19" s="1075"/>
      <c r="D19" s="1075"/>
      <c r="E19" s="1020"/>
      <c r="F19" s="1020"/>
      <c r="G19" s="1021"/>
      <c r="H19" s="1021"/>
      <c r="I19" s="1021"/>
      <c r="J19" s="1021"/>
      <c r="K19" s="1021"/>
      <c r="L19" s="1021"/>
      <c r="M19" s="1012"/>
      <c r="N19" s="1012"/>
      <c r="O19" s="1012"/>
      <c r="P19" s="1012"/>
      <c r="Q19" s="1012"/>
      <c r="R19" s="1012"/>
      <c r="S19" s="1012"/>
      <c r="T19" s="1012"/>
      <c r="U19" s="1012"/>
      <c r="V19" s="1012"/>
      <c r="W19" s="1012"/>
      <c r="X19" s="1012"/>
      <c r="Y19" s="1012"/>
      <c r="Z19" s="1012"/>
    </row>
    <row r="20" spans="1:26" ht="17.25" customHeight="1">
      <c r="A20" s="1019" t="s">
        <v>879</v>
      </c>
      <c r="B20" s="1075" t="s">
        <v>894</v>
      </c>
      <c r="C20" s="1075"/>
      <c r="D20" s="1075"/>
      <c r="E20" s="1020"/>
      <c r="F20" s="1020"/>
      <c r="G20" s="1021"/>
      <c r="H20" s="1021"/>
      <c r="I20" s="1021"/>
      <c r="J20" s="1021"/>
      <c r="K20" s="1021"/>
      <c r="L20" s="1021"/>
      <c r="M20" s="1012"/>
      <c r="N20" s="1012"/>
      <c r="O20" s="1012"/>
      <c r="P20" s="1012"/>
      <c r="Q20" s="1012"/>
      <c r="R20" s="1012"/>
      <c r="S20" s="1012"/>
      <c r="T20" s="1012"/>
      <c r="U20" s="1012"/>
      <c r="V20" s="1012"/>
      <c r="W20" s="1012"/>
      <c r="X20" s="1012"/>
      <c r="Y20" s="1012"/>
      <c r="Z20" s="1012"/>
    </row>
    <row r="21" spans="1:26" ht="17.25" customHeight="1">
      <c r="A21" s="1019" t="s">
        <v>880</v>
      </c>
      <c r="B21" s="1022" t="s">
        <v>895</v>
      </c>
      <c r="C21" s="1022"/>
      <c r="D21" s="1022"/>
      <c r="E21" s="1020"/>
      <c r="F21" s="1020"/>
      <c r="G21" s="1021"/>
      <c r="H21" s="1021"/>
      <c r="I21" s="1021"/>
      <c r="J21" s="1021"/>
      <c r="K21" s="1021"/>
      <c r="L21" s="1021"/>
      <c r="M21" s="1012"/>
      <c r="N21" s="1012"/>
      <c r="O21" s="1012"/>
      <c r="P21" s="1012"/>
      <c r="Q21" s="1012"/>
      <c r="R21" s="1012"/>
      <c r="S21" s="1012"/>
      <c r="T21" s="1012"/>
      <c r="U21" s="1012"/>
      <c r="V21" s="1012"/>
      <c r="W21" s="1012"/>
      <c r="X21" s="1012"/>
      <c r="Y21" s="1012"/>
      <c r="Z21" s="1012"/>
    </row>
    <row r="22" spans="1:26" ht="17.25" customHeight="1">
      <c r="A22" s="1019"/>
      <c r="B22" s="1022"/>
      <c r="C22" s="1022"/>
      <c r="D22" s="1022"/>
      <c r="E22" s="1020"/>
      <c r="F22" s="1020"/>
      <c r="G22" s="1021"/>
      <c r="H22" s="1021"/>
      <c r="I22" s="1021"/>
      <c r="J22" s="1021"/>
      <c r="K22" s="1021"/>
      <c r="L22" s="1021"/>
      <c r="M22" s="1012"/>
      <c r="N22" s="1012"/>
      <c r="O22" s="1012"/>
      <c r="P22" s="1012"/>
      <c r="Q22" s="1012"/>
      <c r="R22" s="1012"/>
      <c r="S22" s="1012"/>
      <c r="T22" s="1012"/>
      <c r="U22" s="1012"/>
      <c r="V22" s="1012"/>
      <c r="W22" s="1012"/>
      <c r="X22" s="1012"/>
      <c r="Y22" s="1012"/>
      <c r="Z22" s="1012"/>
    </row>
    <row r="23" spans="1:26" ht="17.25" customHeight="1">
      <c r="A23" s="1019" t="s">
        <v>881</v>
      </c>
      <c r="B23" s="1075" t="s">
        <v>889</v>
      </c>
      <c r="C23" s="1075"/>
      <c r="D23" s="1075"/>
      <c r="E23" s="1012"/>
      <c r="F23" s="1012"/>
      <c r="G23" s="1012"/>
      <c r="H23" s="1012"/>
      <c r="I23" s="1012"/>
      <c r="J23" s="1012"/>
      <c r="K23" s="1012"/>
      <c r="L23" s="1012"/>
      <c r="M23" s="1012"/>
      <c r="N23" s="1012"/>
      <c r="O23" s="1012"/>
      <c r="P23" s="1012"/>
      <c r="Q23" s="1012"/>
      <c r="R23" s="1012"/>
      <c r="S23" s="1012"/>
      <c r="T23" s="1012"/>
      <c r="U23" s="1012"/>
      <c r="V23" s="1012"/>
      <c r="W23" s="1012"/>
      <c r="X23" s="1012"/>
      <c r="Y23" s="1012"/>
      <c r="Z23" s="1012"/>
    </row>
    <row r="24" spans="1:26" ht="17.25" customHeight="1">
      <c r="A24" s="1019"/>
      <c r="B24" s="1075" t="s">
        <v>890</v>
      </c>
      <c r="C24" s="1075"/>
      <c r="D24" s="1075"/>
      <c r="E24" s="1012"/>
      <c r="F24" s="1012"/>
      <c r="G24" s="1012"/>
      <c r="H24" s="1012"/>
      <c r="I24" s="1012"/>
      <c r="J24" s="1012"/>
      <c r="K24" s="1012"/>
      <c r="L24" s="1012"/>
      <c r="M24" s="1012"/>
      <c r="N24" s="1012"/>
      <c r="O24" s="1012"/>
      <c r="P24" s="1012"/>
      <c r="Q24" s="1012"/>
      <c r="R24" s="1012"/>
      <c r="S24" s="1012"/>
      <c r="T24" s="1012"/>
      <c r="U24" s="1012"/>
      <c r="V24" s="1012"/>
      <c r="W24" s="1012"/>
      <c r="X24" s="1012"/>
      <c r="Y24" s="1012"/>
      <c r="Z24" s="1012"/>
    </row>
    <row r="25" spans="1:26" ht="17.25" customHeight="1">
      <c r="A25" s="1019"/>
      <c r="B25" s="1075" t="s">
        <v>891</v>
      </c>
      <c r="C25" s="1075"/>
      <c r="D25" s="1075"/>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row>
    <row r="26" spans="1:26" ht="17.25" customHeight="1">
      <c r="A26" s="1019" t="s">
        <v>882</v>
      </c>
      <c r="B26" s="1075" t="s">
        <v>889</v>
      </c>
      <c r="C26" s="1075"/>
      <c r="D26" s="1075"/>
      <c r="E26" s="1012"/>
      <c r="F26" s="1012"/>
      <c r="G26" s="1012"/>
      <c r="H26" s="1012"/>
      <c r="I26" s="1012"/>
      <c r="J26" s="1012"/>
      <c r="K26" s="1012"/>
      <c r="L26" s="1012"/>
      <c r="M26" s="1012"/>
      <c r="N26" s="1012"/>
      <c r="O26" s="1012"/>
      <c r="P26" s="1012"/>
      <c r="Q26" s="1012"/>
      <c r="R26" s="1012"/>
      <c r="S26" s="1012"/>
      <c r="T26" s="1012"/>
      <c r="U26" s="1012"/>
      <c r="V26" s="1012"/>
      <c r="W26" s="1012"/>
      <c r="X26" s="1012"/>
      <c r="Y26" s="1012"/>
      <c r="Z26" s="1012"/>
    </row>
    <row r="27" spans="1:26" ht="17.25" customHeight="1">
      <c r="A27" s="1019"/>
      <c r="B27" s="1075" t="s">
        <v>892</v>
      </c>
      <c r="C27" s="1075"/>
      <c r="D27" s="1075"/>
      <c r="E27" s="1012"/>
      <c r="F27" s="1012"/>
      <c r="G27" s="1012"/>
      <c r="H27" s="1012"/>
      <c r="I27" s="1012"/>
      <c r="J27" s="1012"/>
      <c r="K27" s="1012"/>
      <c r="L27" s="1012"/>
      <c r="M27" s="1012"/>
      <c r="N27" s="1012"/>
      <c r="O27" s="1012"/>
      <c r="P27" s="1012"/>
      <c r="Q27" s="1012"/>
      <c r="R27" s="1012"/>
      <c r="S27" s="1012"/>
      <c r="T27" s="1012"/>
      <c r="U27" s="1012"/>
      <c r="V27" s="1012"/>
      <c r="W27" s="1012"/>
      <c r="X27" s="1012"/>
      <c r="Y27" s="1012"/>
      <c r="Z27" s="1012"/>
    </row>
    <row r="28" spans="1:26" ht="17.25" customHeight="1">
      <c r="A28" s="1019"/>
      <c r="B28" s="1022"/>
      <c r="C28" s="1022"/>
      <c r="D28" s="102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row>
    <row r="29" spans="1:26" ht="17.25" customHeight="1">
      <c r="A29" s="1019" t="s">
        <v>883</v>
      </c>
      <c r="B29" s="1023">
        <v>1</v>
      </c>
      <c r="C29" s="1022"/>
      <c r="D29" s="1022"/>
      <c r="E29" s="1012"/>
      <c r="F29" s="1012"/>
      <c r="G29" s="1012"/>
      <c r="H29" s="1012"/>
      <c r="I29" s="1012"/>
      <c r="J29" s="1012"/>
      <c r="K29" s="1012"/>
      <c r="L29" s="1012"/>
      <c r="M29" s="1012"/>
      <c r="N29" s="1012"/>
      <c r="O29" s="1012"/>
      <c r="P29" s="1012"/>
      <c r="Q29" s="1012"/>
      <c r="R29" s="1012"/>
      <c r="S29" s="1012"/>
      <c r="T29" s="1012"/>
      <c r="U29" s="1012"/>
      <c r="V29" s="1012"/>
      <c r="W29" s="1012"/>
      <c r="X29" s="1012"/>
      <c r="Y29" s="1012"/>
      <c r="Z29" s="1012"/>
    </row>
    <row r="30" spans="1:26" ht="17.25" customHeight="1">
      <c r="A30" s="1019" t="s">
        <v>884</v>
      </c>
      <c r="B30" s="1077" t="s">
        <v>885</v>
      </c>
      <c r="C30" s="1075"/>
      <c r="D30" s="1075"/>
      <c r="E30" s="1024"/>
      <c r="F30" s="1024"/>
      <c r="G30" s="1012"/>
      <c r="H30" s="1012"/>
      <c r="I30" s="1012"/>
      <c r="J30" s="1012"/>
      <c r="K30" s="1012"/>
      <c r="L30" s="1012"/>
      <c r="M30" s="1012"/>
      <c r="N30" s="1012"/>
      <c r="O30" s="1012"/>
      <c r="P30" s="1012"/>
      <c r="Q30" s="1012"/>
      <c r="R30" s="1012"/>
      <c r="S30" s="1012"/>
      <c r="T30" s="1012"/>
      <c r="U30" s="1012"/>
      <c r="V30" s="1012"/>
      <c r="W30" s="1012"/>
      <c r="X30" s="1012"/>
      <c r="Y30" s="1012"/>
      <c r="Z30" s="1012"/>
    </row>
    <row r="31" spans="1:26" ht="17.25" customHeight="1">
      <c r="A31" s="1019" t="s">
        <v>886</v>
      </c>
      <c r="B31" s="1075" t="s">
        <v>887</v>
      </c>
      <c r="C31" s="1075"/>
      <c r="D31" s="1075"/>
      <c r="E31" s="1024"/>
      <c r="F31" s="1024"/>
      <c r="G31" s="1012"/>
      <c r="H31" s="1012"/>
      <c r="I31" s="1012"/>
      <c r="J31" s="1012"/>
      <c r="K31" s="1012"/>
      <c r="L31" s="1012"/>
      <c r="M31" s="1012"/>
      <c r="N31" s="1012"/>
      <c r="O31" s="1012"/>
      <c r="P31" s="1012"/>
      <c r="Q31" s="1012"/>
      <c r="R31" s="1012"/>
      <c r="S31" s="1012"/>
      <c r="T31" s="1012"/>
      <c r="U31" s="1012"/>
      <c r="V31" s="1012"/>
      <c r="W31" s="1012"/>
      <c r="X31" s="1012"/>
      <c r="Y31" s="1012"/>
      <c r="Z31" s="1012"/>
    </row>
    <row r="32" spans="1:26" ht="17.25" customHeight="1">
      <c r="A32" s="1025"/>
      <c r="B32" s="1026" t="s">
        <v>888</v>
      </c>
      <c r="C32" s="1025"/>
      <c r="D32" s="1025"/>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row>
    <row r="33" spans="1:26">
      <c r="A33" s="1011"/>
      <c r="B33" s="1011"/>
      <c r="C33" s="1011"/>
      <c r="D33" s="1011"/>
      <c r="E33" s="1012"/>
      <c r="F33" s="1012"/>
      <c r="G33" s="1012"/>
      <c r="H33" s="1012"/>
      <c r="I33" s="1012"/>
      <c r="J33" s="1012"/>
      <c r="K33" s="1012"/>
      <c r="L33" s="1012"/>
      <c r="M33" s="1012"/>
      <c r="N33" s="1012"/>
      <c r="O33" s="1012"/>
      <c r="P33" s="1012"/>
      <c r="Q33" s="1012"/>
      <c r="R33" s="1012"/>
      <c r="S33" s="1012"/>
      <c r="T33" s="1012"/>
      <c r="U33" s="1012"/>
      <c r="V33" s="1012"/>
      <c r="W33" s="1012"/>
      <c r="X33" s="1012"/>
      <c r="Y33" s="1012"/>
      <c r="Z33" s="1012"/>
    </row>
    <row r="34" spans="1:26">
      <c r="A34" s="1011"/>
      <c r="B34" s="1011"/>
      <c r="C34" s="1011"/>
      <c r="D34" s="1011"/>
      <c r="E34" s="1012"/>
      <c r="F34" s="1012"/>
      <c r="G34" s="1012"/>
      <c r="H34" s="1012"/>
      <c r="I34" s="1012"/>
      <c r="J34" s="1012"/>
      <c r="K34" s="1012"/>
      <c r="L34" s="1012"/>
      <c r="M34" s="1012"/>
      <c r="N34" s="1012"/>
      <c r="O34" s="1012"/>
      <c r="P34" s="1012"/>
      <c r="Q34" s="1012"/>
      <c r="R34" s="1012"/>
      <c r="S34" s="1012"/>
      <c r="T34" s="1012"/>
      <c r="U34" s="1012"/>
      <c r="V34" s="1012"/>
      <c r="W34" s="1012"/>
      <c r="X34" s="1012"/>
      <c r="Y34" s="1012"/>
      <c r="Z34" s="1012"/>
    </row>
    <row r="35" spans="1:26">
      <c r="A35" s="1011"/>
      <c r="B35" s="1011"/>
      <c r="C35" s="1011"/>
      <c r="D35" s="1011"/>
      <c r="E35" s="1012"/>
      <c r="F35" s="1012"/>
      <c r="G35" s="1012"/>
      <c r="H35" s="1012"/>
      <c r="I35" s="1012"/>
      <c r="J35" s="1012"/>
      <c r="K35" s="1012"/>
      <c r="L35" s="1012"/>
      <c r="M35" s="1012"/>
      <c r="N35" s="1012"/>
      <c r="O35" s="1012"/>
      <c r="P35" s="1012"/>
      <c r="Q35" s="1012"/>
      <c r="R35" s="1012"/>
      <c r="S35" s="1012"/>
      <c r="T35" s="1012"/>
      <c r="U35" s="1012"/>
      <c r="V35" s="1012"/>
      <c r="W35" s="1012"/>
      <c r="X35" s="1012"/>
      <c r="Y35" s="1012"/>
      <c r="Z35" s="1012"/>
    </row>
    <row r="36" spans="1:26">
      <c r="A36" s="1011"/>
      <c r="B36" s="1011"/>
      <c r="C36" s="1011"/>
      <c r="D36" s="1011"/>
      <c r="E36" s="1012"/>
      <c r="F36" s="1012"/>
      <c r="G36" s="1012"/>
      <c r="H36" s="1012"/>
      <c r="I36" s="1012"/>
      <c r="J36" s="1012"/>
      <c r="K36" s="1012"/>
      <c r="L36" s="1012"/>
      <c r="M36" s="1012"/>
      <c r="N36" s="1012"/>
      <c r="O36" s="1012"/>
      <c r="P36" s="1012"/>
      <c r="Q36" s="1012"/>
      <c r="R36" s="1012"/>
      <c r="S36" s="1012"/>
      <c r="T36" s="1012"/>
      <c r="U36" s="1012"/>
      <c r="V36" s="1012"/>
      <c r="W36" s="1012"/>
      <c r="X36" s="1012"/>
      <c r="Y36" s="1012"/>
      <c r="Z36" s="1012"/>
    </row>
    <row r="37" spans="1:26">
      <c r="A37" s="1011"/>
      <c r="B37" s="1011"/>
      <c r="C37" s="1011"/>
      <c r="D37" s="1011"/>
      <c r="E37" s="1012"/>
      <c r="F37" s="1012"/>
      <c r="G37" s="1012"/>
      <c r="H37" s="1012"/>
      <c r="I37" s="1012"/>
      <c r="J37" s="1012"/>
      <c r="K37" s="1012"/>
      <c r="L37" s="1012"/>
      <c r="M37" s="1012"/>
      <c r="N37" s="1012"/>
      <c r="O37" s="1012"/>
      <c r="P37" s="1012"/>
      <c r="Q37" s="1012"/>
      <c r="R37" s="1012"/>
      <c r="S37" s="1012"/>
      <c r="T37" s="1012"/>
      <c r="U37" s="1012"/>
      <c r="V37" s="1012"/>
      <c r="W37" s="1012"/>
      <c r="X37" s="1012"/>
      <c r="Y37" s="1012"/>
      <c r="Z37" s="1012"/>
    </row>
    <row r="38" spans="1:26">
      <c r="A38" s="1011"/>
      <c r="B38" s="1011"/>
      <c r="C38" s="1011"/>
      <c r="D38" s="1011"/>
      <c r="E38" s="1012"/>
      <c r="F38" s="1012"/>
      <c r="G38" s="1012"/>
      <c r="H38" s="1012"/>
      <c r="I38" s="1012"/>
      <c r="J38" s="1012"/>
      <c r="K38" s="1012"/>
      <c r="L38" s="1012"/>
      <c r="M38" s="1012"/>
      <c r="N38" s="1012"/>
      <c r="O38" s="1012"/>
      <c r="P38" s="1012"/>
      <c r="Q38" s="1012"/>
      <c r="R38" s="1012"/>
      <c r="S38" s="1012"/>
      <c r="T38" s="1012"/>
      <c r="U38" s="1012"/>
      <c r="V38" s="1012"/>
      <c r="W38" s="1012"/>
      <c r="X38" s="1012"/>
      <c r="Y38" s="1012"/>
      <c r="Z38" s="1012"/>
    </row>
    <row r="39" spans="1:26">
      <c r="A39" s="1011"/>
      <c r="B39" s="1011"/>
      <c r="C39" s="1011"/>
      <c r="D39" s="1011"/>
      <c r="E39" s="1012"/>
      <c r="F39" s="1012"/>
      <c r="G39" s="1012"/>
      <c r="H39" s="1012"/>
      <c r="I39" s="1012"/>
      <c r="J39" s="1012"/>
      <c r="K39" s="1012"/>
      <c r="L39" s="1012"/>
      <c r="M39" s="1012"/>
      <c r="N39" s="1012"/>
      <c r="O39" s="1012"/>
      <c r="P39" s="1012"/>
      <c r="Q39" s="1012"/>
      <c r="R39" s="1012"/>
      <c r="S39" s="1012"/>
      <c r="T39" s="1012"/>
      <c r="U39" s="1012"/>
      <c r="V39" s="1012"/>
      <c r="W39" s="1012"/>
      <c r="X39" s="1012"/>
      <c r="Y39" s="1012"/>
      <c r="Z39" s="1012"/>
    </row>
    <row r="40" spans="1:26">
      <c r="A40" s="1011"/>
      <c r="B40" s="1011"/>
      <c r="C40" s="1011"/>
      <c r="D40" s="1011"/>
      <c r="E40" s="1012"/>
      <c r="F40" s="1012"/>
      <c r="G40" s="1012"/>
      <c r="H40" s="1012"/>
      <c r="I40" s="1012"/>
      <c r="J40" s="1012"/>
      <c r="K40" s="1012"/>
      <c r="L40" s="1012"/>
      <c r="M40" s="1012"/>
      <c r="N40" s="1012"/>
      <c r="O40" s="1012"/>
      <c r="P40" s="1012"/>
      <c r="Q40" s="1012"/>
      <c r="R40" s="1012"/>
      <c r="S40" s="1012"/>
      <c r="T40" s="1012"/>
      <c r="U40" s="1012"/>
      <c r="V40" s="1012"/>
      <c r="W40" s="1012"/>
      <c r="X40" s="1012"/>
      <c r="Y40" s="1012"/>
      <c r="Z40" s="1012"/>
    </row>
    <row r="41" spans="1:26">
      <c r="A41" s="1011"/>
      <c r="B41" s="1011"/>
      <c r="C41" s="1011"/>
      <c r="D41" s="1011"/>
      <c r="E41" s="1012"/>
      <c r="F41" s="1012"/>
      <c r="G41" s="1012"/>
      <c r="H41" s="1012"/>
      <c r="I41" s="1012"/>
      <c r="J41" s="1012"/>
      <c r="K41" s="1012"/>
      <c r="L41" s="1012"/>
      <c r="M41" s="1012"/>
      <c r="N41" s="1012"/>
      <c r="O41" s="1012"/>
      <c r="P41" s="1012"/>
      <c r="Q41" s="1012"/>
      <c r="R41" s="1012"/>
      <c r="S41" s="1012"/>
      <c r="T41" s="1012"/>
      <c r="U41" s="1012"/>
      <c r="V41" s="1012"/>
      <c r="W41" s="1012"/>
      <c r="X41" s="1012"/>
      <c r="Y41" s="1012"/>
      <c r="Z41" s="1012"/>
    </row>
    <row r="42" spans="1:26">
      <c r="A42" s="1011"/>
      <c r="B42" s="1011"/>
      <c r="C42" s="1011"/>
      <c r="D42" s="1011"/>
      <c r="E42" s="1012"/>
      <c r="F42" s="1012"/>
      <c r="G42" s="1012"/>
      <c r="H42" s="1012"/>
      <c r="I42" s="1012"/>
      <c r="J42" s="1012"/>
      <c r="K42" s="1012"/>
      <c r="L42" s="1012"/>
      <c r="M42" s="1012"/>
      <c r="N42" s="1012"/>
      <c r="O42" s="1012"/>
      <c r="P42" s="1012"/>
      <c r="Q42" s="1012"/>
      <c r="R42" s="1012"/>
      <c r="S42" s="1012"/>
      <c r="T42" s="1012"/>
      <c r="U42" s="1012"/>
      <c r="V42" s="1012"/>
      <c r="W42" s="1012"/>
      <c r="X42" s="1012"/>
      <c r="Y42" s="1012"/>
      <c r="Z42" s="1012"/>
    </row>
    <row r="43" spans="1:26">
      <c r="A43" s="1012"/>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row>
    <row r="44" spans="1:26">
      <c r="A44" s="1012"/>
      <c r="B44" s="1012"/>
      <c r="C44" s="1012"/>
      <c r="D44" s="1012"/>
      <c r="E44" s="1012"/>
      <c r="F44" s="1012"/>
      <c r="G44" s="1012"/>
      <c r="H44" s="1012"/>
      <c r="I44" s="1012"/>
      <c r="J44" s="1012"/>
      <c r="K44" s="1012"/>
      <c r="L44" s="1012"/>
      <c r="M44" s="1012"/>
      <c r="N44" s="1012"/>
      <c r="O44" s="1012"/>
      <c r="P44" s="1012"/>
      <c r="Q44" s="1012"/>
      <c r="R44" s="1012"/>
      <c r="S44" s="1012"/>
      <c r="T44" s="1012"/>
      <c r="U44" s="1012"/>
      <c r="V44" s="1012"/>
      <c r="W44" s="1012"/>
      <c r="X44" s="1012"/>
      <c r="Y44" s="1012"/>
      <c r="Z44" s="1012"/>
    </row>
    <row r="45" spans="1:26">
      <c r="A45" s="1012"/>
      <c r="B45" s="1012"/>
      <c r="C45" s="1012"/>
      <c r="D45" s="1012"/>
      <c r="E45" s="1012"/>
      <c r="F45" s="1012"/>
      <c r="G45" s="1012"/>
      <c r="H45" s="1012"/>
      <c r="I45" s="1012"/>
      <c r="J45" s="1012"/>
      <c r="K45" s="1012"/>
      <c r="L45" s="1012"/>
      <c r="M45" s="1012"/>
      <c r="N45" s="1012"/>
      <c r="O45" s="1012"/>
      <c r="P45" s="1012"/>
      <c r="Q45" s="1012"/>
      <c r="R45" s="1012"/>
      <c r="S45" s="1012"/>
      <c r="T45" s="1012"/>
      <c r="U45" s="1012"/>
      <c r="V45" s="1012"/>
      <c r="W45" s="1012"/>
      <c r="X45" s="1012"/>
      <c r="Y45" s="1012"/>
      <c r="Z45" s="1012"/>
    </row>
    <row r="46" spans="1:26">
      <c r="A46" s="1012"/>
      <c r="B46" s="1012"/>
      <c r="C46" s="1012"/>
      <c r="D46" s="1012"/>
      <c r="E46" s="1012"/>
      <c r="F46" s="1012"/>
      <c r="G46" s="1012"/>
      <c r="H46" s="1012"/>
      <c r="I46" s="1012"/>
      <c r="J46" s="1012"/>
      <c r="K46" s="1012"/>
      <c r="L46" s="1012"/>
      <c r="M46" s="1012"/>
      <c r="N46" s="1012"/>
      <c r="O46" s="1012"/>
      <c r="P46" s="1012"/>
      <c r="Q46" s="1012"/>
      <c r="R46" s="1012"/>
      <c r="S46" s="1012"/>
      <c r="T46" s="1012"/>
      <c r="U46" s="1012"/>
      <c r="V46" s="1012"/>
      <c r="W46" s="1012"/>
      <c r="X46" s="1012"/>
      <c r="Y46" s="1012"/>
      <c r="Z46" s="1012"/>
    </row>
    <row r="47" spans="1:26">
      <c r="A47" s="1012"/>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row>
    <row r="48" spans="1:26">
      <c r="A48" s="1012"/>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row>
    <row r="49" spans="1:26">
      <c r="A49" s="1012"/>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row>
    <row r="50" spans="1:26">
      <c r="A50" s="1012"/>
      <c r="B50" s="1012"/>
      <c r="C50" s="1012"/>
      <c r="D50" s="1012"/>
      <c r="E50" s="1012"/>
      <c r="F50" s="1012"/>
      <c r="G50" s="1012"/>
      <c r="H50" s="1012"/>
      <c r="I50" s="1012"/>
      <c r="J50" s="1012"/>
      <c r="K50" s="1012"/>
      <c r="L50" s="1012"/>
      <c r="M50" s="1012"/>
      <c r="N50" s="1012"/>
      <c r="O50" s="1012"/>
      <c r="P50" s="1012"/>
      <c r="Q50" s="1012"/>
      <c r="R50" s="1012"/>
      <c r="S50" s="1012"/>
      <c r="T50" s="1012"/>
      <c r="U50" s="1012"/>
      <c r="V50" s="1012"/>
      <c r="W50" s="1012"/>
      <c r="X50" s="1012"/>
      <c r="Y50" s="1012"/>
      <c r="Z50" s="1012"/>
    </row>
    <row r="51" spans="1:26">
      <c r="A51" s="1012"/>
      <c r="B51" s="1012"/>
      <c r="C51" s="1012"/>
      <c r="D51" s="1012"/>
      <c r="E51" s="1012"/>
      <c r="F51" s="1012"/>
      <c r="G51" s="1012"/>
      <c r="H51" s="1012"/>
      <c r="I51" s="1012"/>
      <c r="J51" s="1012"/>
      <c r="K51" s="1012"/>
      <c r="L51" s="1012"/>
      <c r="M51" s="1012"/>
      <c r="N51" s="1012"/>
      <c r="O51" s="1012"/>
      <c r="P51" s="1012"/>
      <c r="Q51" s="1012"/>
      <c r="R51" s="1012"/>
      <c r="S51" s="1012"/>
      <c r="T51" s="1012"/>
      <c r="U51" s="1012"/>
      <c r="V51" s="1012"/>
      <c r="W51" s="1012"/>
      <c r="X51" s="1012"/>
      <c r="Y51" s="1012"/>
      <c r="Z51" s="1012"/>
    </row>
    <row r="52" spans="1:26">
      <c r="A52" s="1012"/>
      <c r="B52" s="1012"/>
      <c r="C52" s="1012"/>
      <c r="D52" s="1012"/>
      <c r="E52" s="1012"/>
      <c r="F52" s="1012"/>
      <c r="G52" s="1012"/>
      <c r="H52" s="1012"/>
      <c r="I52" s="1012"/>
      <c r="J52" s="1012"/>
      <c r="K52" s="1012"/>
      <c r="L52" s="1012"/>
      <c r="M52" s="1012"/>
      <c r="N52" s="1012"/>
      <c r="O52" s="1012"/>
      <c r="P52" s="1012"/>
      <c r="Q52" s="1012"/>
      <c r="R52" s="1012"/>
      <c r="S52" s="1012"/>
      <c r="T52" s="1012"/>
      <c r="U52" s="1012"/>
      <c r="V52" s="1012"/>
      <c r="W52" s="1012"/>
      <c r="X52" s="1012"/>
      <c r="Y52" s="1012"/>
      <c r="Z52" s="1012"/>
    </row>
    <row r="53" spans="1:26">
      <c r="A53" s="1012"/>
      <c r="B53" s="1012"/>
      <c r="C53" s="1012"/>
      <c r="D53" s="1012"/>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row>
    <row r="54" spans="1:26">
      <c r="A54" s="1012"/>
      <c r="B54" s="1012"/>
      <c r="C54" s="1012"/>
      <c r="D54" s="1012"/>
      <c r="E54" s="1012"/>
      <c r="F54" s="1012"/>
      <c r="G54" s="1012"/>
      <c r="H54" s="1012"/>
      <c r="I54" s="1012"/>
      <c r="J54" s="1012"/>
      <c r="K54" s="1012"/>
      <c r="L54" s="1012"/>
      <c r="M54" s="1012"/>
      <c r="N54" s="1012"/>
      <c r="O54" s="1012"/>
      <c r="P54" s="1012"/>
      <c r="Q54" s="1012"/>
      <c r="R54" s="1012"/>
      <c r="S54" s="1012"/>
      <c r="T54" s="1012"/>
      <c r="U54" s="1012"/>
      <c r="V54" s="1012"/>
      <c r="W54" s="1012"/>
      <c r="X54" s="1012"/>
      <c r="Y54" s="1012"/>
      <c r="Z54" s="1012"/>
    </row>
    <row r="55" spans="1:26">
      <c r="A55" s="1012"/>
      <c r="B55" s="1012"/>
      <c r="C55" s="1012"/>
      <c r="D55" s="1012"/>
      <c r="E55" s="1012"/>
      <c r="F55" s="1012"/>
      <c r="G55" s="1012"/>
      <c r="H55" s="1012"/>
      <c r="I55" s="1012"/>
      <c r="J55" s="1012"/>
      <c r="K55" s="1012"/>
      <c r="L55" s="1012"/>
      <c r="M55" s="1012"/>
      <c r="N55" s="1012"/>
      <c r="O55" s="1012"/>
      <c r="P55" s="1012"/>
      <c r="Q55" s="1012"/>
      <c r="R55" s="1012"/>
      <c r="S55" s="1012"/>
      <c r="T55" s="1012"/>
      <c r="U55" s="1012"/>
      <c r="V55" s="1012"/>
      <c r="W55" s="1012"/>
      <c r="X55" s="1012"/>
      <c r="Y55" s="1012"/>
      <c r="Z55" s="1012"/>
    </row>
    <row r="56" spans="1:26">
      <c r="A56" s="1012"/>
      <c r="B56" s="1012"/>
      <c r="C56" s="1012"/>
      <c r="D56" s="1012"/>
      <c r="E56" s="1012"/>
      <c r="F56" s="1012"/>
      <c r="G56" s="1012"/>
      <c r="H56" s="1012"/>
      <c r="I56" s="1012"/>
      <c r="J56" s="1012"/>
      <c r="K56" s="1012"/>
      <c r="L56" s="1012"/>
      <c r="M56" s="1012"/>
      <c r="N56" s="1012"/>
      <c r="O56" s="1012"/>
      <c r="P56" s="1012"/>
      <c r="Q56" s="1012"/>
      <c r="R56" s="1012"/>
      <c r="S56" s="1012"/>
      <c r="T56" s="1012"/>
      <c r="U56" s="1012"/>
      <c r="V56" s="1012"/>
      <c r="W56" s="1012"/>
      <c r="X56" s="1012"/>
      <c r="Y56" s="1012"/>
      <c r="Z56" s="1012"/>
    </row>
    <row r="57" spans="1:26">
      <c r="A57" s="1012"/>
      <c r="B57" s="1012"/>
      <c r="C57" s="1012"/>
      <c r="D57" s="1012"/>
      <c r="E57" s="1012"/>
      <c r="F57" s="1012"/>
      <c r="G57" s="1012"/>
      <c r="H57" s="1012"/>
      <c r="I57" s="1012"/>
      <c r="J57" s="1012"/>
      <c r="K57" s="1012"/>
      <c r="L57" s="1012"/>
      <c r="M57" s="1012"/>
      <c r="N57" s="1012"/>
      <c r="O57" s="1012"/>
      <c r="P57" s="1012"/>
      <c r="Q57" s="1012"/>
      <c r="R57" s="1012"/>
      <c r="S57" s="1012"/>
      <c r="T57" s="1012"/>
      <c r="U57" s="1012"/>
      <c r="V57" s="1012"/>
      <c r="W57" s="1012"/>
      <c r="X57" s="1012"/>
      <c r="Y57" s="1012"/>
      <c r="Z57" s="1012"/>
    </row>
    <row r="58" spans="1:26">
      <c r="A58" s="1012"/>
      <c r="B58" s="1012"/>
      <c r="C58" s="1012"/>
      <c r="D58" s="1012"/>
      <c r="E58" s="1012"/>
      <c r="F58" s="1012"/>
      <c r="G58" s="1012"/>
      <c r="H58" s="1012"/>
      <c r="I58" s="1012"/>
      <c r="J58" s="1012"/>
      <c r="K58" s="1012"/>
      <c r="L58" s="1012"/>
      <c r="M58" s="1012"/>
      <c r="N58" s="1012"/>
      <c r="O58" s="1012"/>
      <c r="P58" s="1012"/>
      <c r="Q58" s="1012"/>
      <c r="R58" s="1012"/>
      <c r="S58" s="1012"/>
      <c r="T58" s="1012"/>
      <c r="U58" s="1012"/>
      <c r="V58" s="1012"/>
      <c r="W58" s="1012"/>
      <c r="X58" s="1012"/>
      <c r="Y58" s="1012"/>
      <c r="Z58" s="1012"/>
    </row>
    <row r="59" spans="1:26">
      <c r="A59" s="1012"/>
      <c r="B59" s="1012"/>
      <c r="C59" s="1012"/>
      <c r="D59" s="1012"/>
      <c r="E59" s="1012"/>
      <c r="F59" s="1012"/>
      <c r="G59" s="1012"/>
      <c r="H59" s="1012"/>
      <c r="I59" s="1012"/>
      <c r="J59" s="1012"/>
      <c r="K59" s="1012"/>
      <c r="L59" s="1012"/>
      <c r="M59" s="1012"/>
      <c r="N59" s="1012"/>
      <c r="O59" s="1012"/>
      <c r="P59" s="1012"/>
      <c r="Q59" s="1012"/>
      <c r="R59" s="1012"/>
      <c r="S59" s="1012"/>
      <c r="T59" s="1012"/>
      <c r="U59" s="1012"/>
      <c r="V59" s="1012"/>
      <c r="W59" s="1012"/>
      <c r="X59" s="1012"/>
      <c r="Y59" s="1012"/>
      <c r="Z59" s="1012"/>
    </row>
    <row r="60" spans="1:26">
      <c r="A60" s="1012"/>
      <c r="B60" s="1012"/>
      <c r="C60" s="1012"/>
      <c r="D60" s="1012"/>
      <c r="E60" s="1012"/>
      <c r="F60" s="1012"/>
      <c r="G60" s="1012"/>
      <c r="H60" s="1012"/>
      <c r="I60" s="1012"/>
      <c r="J60" s="1012"/>
      <c r="K60" s="1012"/>
      <c r="L60" s="1012"/>
      <c r="M60" s="1012"/>
      <c r="N60" s="1012"/>
      <c r="O60" s="1012"/>
      <c r="P60" s="1012"/>
      <c r="Q60" s="1012"/>
      <c r="R60" s="1012"/>
      <c r="S60" s="1012"/>
      <c r="T60" s="1012"/>
      <c r="U60" s="1012"/>
      <c r="V60" s="1012"/>
      <c r="W60" s="1012"/>
      <c r="X60" s="1012"/>
      <c r="Y60" s="1012"/>
      <c r="Z60" s="1012"/>
    </row>
    <row r="61" spans="1:26">
      <c r="A61" s="1012"/>
      <c r="B61" s="1012"/>
      <c r="C61" s="1012"/>
      <c r="D61" s="1012"/>
      <c r="E61" s="1012"/>
      <c r="F61" s="1012"/>
      <c r="G61" s="1012"/>
      <c r="H61" s="1012"/>
      <c r="I61" s="1012"/>
      <c r="J61" s="1012"/>
      <c r="K61" s="1012"/>
      <c r="L61" s="1012"/>
      <c r="M61" s="1012"/>
      <c r="N61" s="1012"/>
      <c r="O61" s="1012"/>
      <c r="P61" s="1012"/>
      <c r="Q61" s="1012"/>
      <c r="R61" s="1012"/>
      <c r="S61" s="1012"/>
      <c r="T61" s="1012"/>
      <c r="U61" s="1012"/>
      <c r="V61" s="1012"/>
      <c r="W61" s="1012"/>
      <c r="X61" s="1012"/>
      <c r="Y61" s="1012"/>
      <c r="Z61" s="1012"/>
    </row>
    <row r="62" spans="1:26">
      <c r="A62" s="1012"/>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row>
    <row r="63" spans="1:26">
      <c r="A63" s="1012"/>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row>
    <row r="64" spans="1:26">
      <c r="A64" s="1012"/>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row>
    <row r="65" spans="1:26">
      <c r="A65" s="1012"/>
      <c r="B65" s="1012"/>
      <c r="C65" s="1012"/>
      <c r="D65" s="1012"/>
      <c r="E65" s="1012"/>
      <c r="F65" s="1012"/>
      <c r="G65" s="1012"/>
      <c r="H65" s="1012"/>
      <c r="I65" s="1012"/>
      <c r="J65" s="1012"/>
      <c r="K65" s="1012"/>
      <c r="L65" s="1012"/>
      <c r="M65" s="1012"/>
      <c r="N65" s="1012"/>
      <c r="O65" s="1012"/>
      <c r="P65" s="1012"/>
      <c r="Q65" s="1012"/>
      <c r="R65" s="1012"/>
      <c r="S65" s="1012"/>
      <c r="T65" s="1012"/>
      <c r="U65" s="1012"/>
      <c r="V65" s="1012"/>
      <c r="W65" s="1012"/>
      <c r="X65" s="1012"/>
      <c r="Y65" s="1012"/>
      <c r="Z65" s="1012"/>
    </row>
    <row r="66" spans="1:26">
      <c r="A66" s="1012"/>
      <c r="B66" s="1012"/>
      <c r="C66" s="1012"/>
      <c r="D66" s="1012"/>
      <c r="E66" s="1012"/>
      <c r="F66" s="1012"/>
      <c r="G66" s="1012"/>
      <c r="H66" s="1012"/>
      <c r="I66" s="1012"/>
      <c r="J66" s="1012"/>
      <c r="K66" s="1012"/>
      <c r="L66" s="1012"/>
      <c r="M66" s="1012"/>
      <c r="N66" s="1012"/>
      <c r="O66" s="1012"/>
      <c r="P66" s="1012"/>
      <c r="Q66" s="1012"/>
      <c r="R66" s="1012"/>
      <c r="S66" s="1012"/>
      <c r="T66" s="1012"/>
      <c r="U66" s="1012"/>
      <c r="V66" s="1012"/>
      <c r="W66" s="1012"/>
      <c r="X66" s="1012"/>
      <c r="Y66" s="1012"/>
      <c r="Z66" s="1012"/>
    </row>
    <row r="67" spans="1:26">
      <c r="A67" s="1012"/>
      <c r="B67" s="1012"/>
      <c r="C67" s="1012"/>
      <c r="D67" s="1012"/>
      <c r="E67" s="1012"/>
      <c r="F67" s="1012"/>
      <c r="G67" s="1012"/>
      <c r="H67" s="1012"/>
      <c r="I67" s="1012"/>
      <c r="J67" s="1012"/>
      <c r="K67" s="1012"/>
      <c r="L67" s="1012"/>
      <c r="M67" s="1012"/>
      <c r="N67" s="1012"/>
      <c r="O67" s="1012"/>
      <c r="P67" s="1012"/>
      <c r="Q67" s="1012"/>
      <c r="R67" s="1012"/>
      <c r="S67" s="1012"/>
      <c r="T67" s="1012"/>
      <c r="U67" s="1012"/>
      <c r="V67" s="1012"/>
      <c r="W67" s="1012"/>
      <c r="X67" s="1012"/>
      <c r="Y67" s="1012"/>
      <c r="Z67" s="1012"/>
    </row>
    <row r="68" spans="1:26">
      <c r="A68" s="1012"/>
      <c r="B68" s="1012"/>
      <c r="C68" s="1012"/>
      <c r="D68" s="1012"/>
      <c r="E68" s="1012"/>
      <c r="F68" s="1012"/>
      <c r="G68" s="1012"/>
      <c r="H68" s="1012"/>
      <c r="I68" s="1012"/>
      <c r="J68" s="1012"/>
      <c r="K68" s="1012"/>
      <c r="L68" s="1012"/>
      <c r="M68" s="1012"/>
      <c r="N68" s="1012"/>
      <c r="O68" s="1012"/>
      <c r="P68" s="1012"/>
      <c r="Q68" s="1012"/>
      <c r="R68" s="1012"/>
      <c r="S68" s="1012"/>
      <c r="T68" s="1012"/>
      <c r="U68" s="1012"/>
      <c r="V68" s="1012"/>
      <c r="W68" s="1012"/>
      <c r="X68" s="1012"/>
      <c r="Y68" s="1012"/>
      <c r="Z68" s="1012"/>
    </row>
    <row r="69" spans="1:26">
      <c r="A69" s="1012"/>
      <c r="B69" s="1012"/>
      <c r="C69" s="1012"/>
      <c r="D69" s="1012"/>
      <c r="E69" s="1012"/>
      <c r="F69" s="1012"/>
      <c r="G69" s="1012"/>
      <c r="H69" s="1012"/>
      <c r="I69" s="1012"/>
      <c r="J69" s="1012"/>
      <c r="K69" s="1012"/>
      <c r="L69" s="1012"/>
      <c r="M69" s="1012"/>
      <c r="N69" s="1012"/>
      <c r="O69" s="1012"/>
      <c r="P69" s="1012"/>
      <c r="Q69" s="1012"/>
      <c r="R69" s="1012"/>
      <c r="S69" s="1012"/>
      <c r="T69" s="1012"/>
      <c r="U69" s="1012"/>
      <c r="V69" s="1012"/>
      <c r="W69" s="1012"/>
      <c r="X69" s="1012"/>
      <c r="Y69" s="1012"/>
      <c r="Z69" s="1012"/>
    </row>
    <row r="70" spans="1:26">
      <c r="A70" s="1012"/>
      <c r="B70" s="1012"/>
      <c r="C70" s="1012"/>
      <c r="D70" s="1012"/>
      <c r="E70" s="1012"/>
      <c r="F70" s="1012"/>
      <c r="G70" s="1012"/>
      <c r="H70" s="1012"/>
      <c r="I70" s="1012"/>
      <c r="J70" s="1012"/>
      <c r="K70" s="1012"/>
      <c r="L70" s="1012"/>
      <c r="M70" s="1012"/>
      <c r="N70" s="1012"/>
      <c r="O70" s="1012"/>
      <c r="P70" s="1012"/>
      <c r="Q70" s="1012"/>
      <c r="R70" s="1012"/>
      <c r="S70" s="1012"/>
      <c r="T70" s="1012"/>
      <c r="U70" s="1012"/>
      <c r="V70" s="1012"/>
      <c r="W70" s="1012"/>
      <c r="X70" s="1012"/>
      <c r="Y70" s="1012"/>
      <c r="Z70" s="1012"/>
    </row>
    <row r="71" spans="1:26">
      <c r="A71" s="1012"/>
      <c r="B71" s="1012"/>
      <c r="C71" s="1012"/>
      <c r="D71" s="1012"/>
      <c r="E71" s="1012"/>
      <c r="F71" s="1012"/>
      <c r="G71" s="1012"/>
      <c r="H71" s="1012"/>
      <c r="I71" s="1012"/>
      <c r="J71" s="1012"/>
      <c r="K71" s="1012"/>
      <c r="L71" s="1012"/>
      <c r="M71" s="1012"/>
      <c r="N71" s="1012"/>
      <c r="O71" s="1012"/>
      <c r="P71" s="1012"/>
      <c r="Q71" s="1012"/>
      <c r="R71" s="1012"/>
      <c r="S71" s="1012"/>
      <c r="T71" s="1012"/>
      <c r="U71" s="1012"/>
      <c r="V71" s="1012"/>
      <c r="W71" s="1012"/>
      <c r="X71" s="1012"/>
      <c r="Y71" s="1012"/>
      <c r="Z71" s="1012"/>
    </row>
    <row r="72" spans="1:26">
      <c r="A72" s="1012"/>
      <c r="B72" s="1012"/>
      <c r="C72" s="1012"/>
      <c r="D72" s="1012"/>
      <c r="E72" s="1012"/>
      <c r="F72" s="1012"/>
      <c r="G72" s="1012"/>
      <c r="H72" s="1012"/>
      <c r="I72" s="1012"/>
      <c r="J72" s="1012"/>
      <c r="K72" s="1012"/>
      <c r="L72" s="1012"/>
      <c r="M72" s="1012"/>
      <c r="N72" s="1012"/>
      <c r="O72" s="1012"/>
      <c r="P72" s="1012"/>
      <c r="Q72" s="1012"/>
      <c r="R72" s="1012"/>
      <c r="S72" s="1012"/>
      <c r="T72" s="1012"/>
      <c r="U72" s="1012"/>
      <c r="V72" s="1012"/>
      <c r="W72" s="1012"/>
      <c r="X72" s="1012"/>
      <c r="Y72" s="1012"/>
      <c r="Z72" s="1012"/>
    </row>
    <row r="73" spans="1:26">
      <c r="A73" s="1012"/>
      <c r="B73" s="1012"/>
      <c r="C73" s="1012"/>
      <c r="D73" s="1012"/>
      <c r="E73" s="1012"/>
      <c r="F73" s="1012"/>
      <c r="G73" s="1012"/>
      <c r="H73" s="1012"/>
      <c r="I73" s="1012"/>
      <c r="J73" s="1012"/>
      <c r="K73" s="1012"/>
      <c r="L73" s="1012"/>
      <c r="M73" s="1012"/>
      <c r="N73" s="1012"/>
      <c r="O73" s="1012"/>
      <c r="P73" s="1012"/>
      <c r="Q73" s="1012"/>
      <c r="R73" s="1012"/>
      <c r="S73" s="1012"/>
      <c r="T73" s="1012"/>
      <c r="U73" s="1012"/>
      <c r="V73" s="1012"/>
      <c r="W73" s="1012"/>
      <c r="X73" s="1012"/>
      <c r="Y73" s="1012"/>
      <c r="Z73" s="1012"/>
    </row>
    <row r="74" spans="1:26">
      <c r="A74" s="1012"/>
      <c r="B74" s="1012"/>
      <c r="C74" s="1012"/>
      <c r="D74" s="1012"/>
      <c r="E74" s="1012"/>
      <c r="F74" s="1012"/>
      <c r="G74" s="1012"/>
      <c r="H74" s="1012"/>
      <c r="I74" s="1012"/>
      <c r="J74" s="1012"/>
      <c r="K74" s="1012"/>
      <c r="L74" s="1012"/>
      <c r="M74" s="1012"/>
      <c r="N74" s="1012"/>
      <c r="O74" s="1012"/>
      <c r="P74" s="1012"/>
      <c r="Q74" s="1012"/>
      <c r="R74" s="1012"/>
      <c r="S74" s="1012"/>
      <c r="T74" s="1012"/>
      <c r="U74" s="1012"/>
      <c r="V74" s="1012"/>
      <c r="W74" s="1012"/>
      <c r="X74" s="1012"/>
      <c r="Y74" s="1012"/>
      <c r="Z74" s="1012"/>
    </row>
    <row r="75" spans="1:26">
      <c r="A75" s="1012"/>
      <c r="B75" s="1012"/>
      <c r="C75" s="1012"/>
      <c r="D75" s="1012"/>
      <c r="E75" s="1012"/>
      <c r="F75" s="1012"/>
      <c r="G75" s="1012"/>
      <c r="H75" s="1012"/>
      <c r="I75" s="1012"/>
      <c r="J75" s="1012"/>
      <c r="K75" s="1012"/>
      <c r="L75" s="1012"/>
      <c r="M75" s="1012"/>
      <c r="N75" s="1012"/>
      <c r="O75" s="1012"/>
      <c r="P75" s="1012"/>
      <c r="Q75" s="1012"/>
      <c r="R75" s="1012"/>
      <c r="S75" s="1012"/>
      <c r="T75" s="1012"/>
      <c r="U75" s="1012"/>
      <c r="V75" s="1012"/>
      <c r="W75" s="1012"/>
      <c r="X75" s="1012"/>
      <c r="Y75" s="1012"/>
      <c r="Z75" s="1012"/>
    </row>
    <row r="76" spans="1:26">
      <c r="A76" s="1012"/>
      <c r="B76" s="1012"/>
      <c r="C76" s="1012"/>
      <c r="D76" s="1012"/>
      <c r="E76" s="1012"/>
      <c r="F76" s="1012"/>
      <c r="G76" s="1012"/>
      <c r="H76" s="1012"/>
      <c r="I76" s="1012"/>
      <c r="J76" s="1012"/>
      <c r="K76" s="1012"/>
      <c r="L76" s="1012"/>
      <c r="M76" s="1012"/>
      <c r="N76" s="1012"/>
      <c r="O76" s="1012"/>
      <c r="P76" s="1012"/>
      <c r="Q76" s="1012"/>
      <c r="R76" s="1012"/>
      <c r="S76" s="1012"/>
      <c r="T76" s="1012"/>
      <c r="U76" s="1012"/>
      <c r="V76" s="1012"/>
      <c r="W76" s="1012"/>
      <c r="X76" s="1012"/>
      <c r="Y76" s="1012"/>
      <c r="Z76" s="1012"/>
    </row>
    <row r="77" spans="1:26">
      <c r="A77" s="1012"/>
      <c r="B77" s="1012"/>
      <c r="C77" s="1012"/>
      <c r="D77" s="1012"/>
      <c r="E77" s="1012"/>
      <c r="F77" s="1012"/>
      <c r="G77" s="1012"/>
      <c r="H77" s="1012"/>
      <c r="I77" s="1012"/>
      <c r="J77" s="1012"/>
      <c r="K77" s="1012"/>
      <c r="L77" s="1012"/>
      <c r="M77" s="1012"/>
      <c r="N77" s="1012"/>
      <c r="O77" s="1012"/>
      <c r="P77" s="1012"/>
      <c r="Q77" s="1012"/>
      <c r="R77" s="1012"/>
      <c r="S77" s="1012"/>
      <c r="T77" s="1012"/>
      <c r="U77" s="1012"/>
      <c r="V77" s="1012"/>
      <c r="W77" s="1012"/>
      <c r="X77" s="1012"/>
      <c r="Y77" s="1012"/>
      <c r="Z77" s="1012"/>
    </row>
    <row r="78" spans="1:26">
      <c r="A78" s="1012"/>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row>
    <row r="79" spans="1:26">
      <c r="A79" s="1012"/>
      <c r="B79" s="1012"/>
      <c r="C79" s="1012"/>
      <c r="D79" s="1012"/>
      <c r="E79" s="1012"/>
      <c r="F79" s="1012"/>
      <c r="G79" s="1012"/>
      <c r="H79" s="1012"/>
      <c r="I79" s="1012"/>
      <c r="J79" s="1012"/>
      <c r="K79" s="1012"/>
      <c r="L79" s="1012"/>
      <c r="M79" s="1012"/>
      <c r="N79" s="1012"/>
      <c r="O79" s="1012"/>
      <c r="P79" s="1012"/>
      <c r="Q79" s="1012"/>
      <c r="R79" s="1012"/>
      <c r="S79" s="1012"/>
      <c r="T79" s="1012"/>
      <c r="U79" s="1012"/>
      <c r="V79" s="1012"/>
      <c r="W79" s="1012"/>
      <c r="X79" s="1012"/>
      <c r="Y79" s="1012"/>
      <c r="Z79" s="1012"/>
    </row>
    <row r="80" spans="1:26">
      <c r="A80" s="1012"/>
      <c r="B80" s="1012"/>
      <c r="C80" s="1012"/>
      <c r="D80" s="1012"/>
      <c r="E80" s="1012"/>
      <c r="F80" s="1012"/>
      <c r="G80" s="1012"/>
      <c r="H80" s="1012"/>
      <c r="I80" s="1012"/>
      <c r="J80" s="1012"/>
      <c r="K80" s="1012"/>
      <c r="L80" s="1012"/>
      <c r="M80" s="1012"/>
      <c r="N80" s="1012"/>
      <c r="O80" s="1012"/>
      <c r="P80" s="1012"/>
      <c r="Q80" s="1012"/>
      <c r="R80" s="1012"/>
      <c r="S80" s="1012"/>
      <c r="T80" s="1012"/>
      <c r="U80" s="1012"/>
      <c r="V80" s="1012"/>
      <c r="W80" s="1012"/>
      <c r="X80" s="1012"/>
      <c r="Y80" s="1012"/>
      <c r="Z80" s="1012"/>
    </row>
    <row r="81" spans="1:26">
      <c r="A81" s="1012"/>
      <c r="B81" s="1012"/>
      <c r="C81" s="1012"/>
      <c r="D81" s="1012"/>
      <c r="E81" s="1012"/>
      <c r="F81" s="1012"/>
      <c r="G81" s="1012"/>
      <c r="H81" s="1012"/>
      <c r="I81" s="1012"/>
      <c r="J81" s="1012"/>
      <c r="K81" s="1012"/>
      <c r="L81" s="1012"/>
      <c r="M81" s="1012"/>
      <c r="N81" s="1012"/>
      <c r="O81" s="1012"/>
      <c r="P81" s="1012"/>
      <c r="Q81" s="1012"/>
      <c r="R81" s="1012"/>
      <c r="S81" s="1012"/>
      <c r="T81" s="1012"/>
      <c r="U81" s="1012"/>
      <c r="V81" s="1012"/>
      <c r="W81" s="1012"/>
      <c r="X81" s="1012"/>
      <c r="Y81" s="1012"/>
      <c r="Z81" s="1012"/>
    </row>
    <row r="82" spans="1:26">
      <c r="A82" s="1012"/>
      <c r="B82" s="1012"/>
      <c r="C82" s="1012"/>
      <c r="D82" s="1012"/>
      <c r="E82" s="1012"/>
      <c r="F82" s="1012"/>
      <c r="G82" s="1012"/>
      <c r="H82" s="1012"/>
      <c r="I82" s="1012"/>
      <c r="J82" s="1012"/>
      <c r="K82" s="1012"/>
      <c r="L82" s="1012"/>
      <c r="M82" s="1012"/>
      <c r="N82" s="1012"/>
      <c r="O82" s="1012"/>
      <c r="P82" s="1012"/>
      <c r="Q82" s="1012"/>
      <c r="R82" s="1012"/>
      <c r="S82" s="1012"/>
      <c r="T82" s="1012"/>
      <c r="U82" s="1012"/>
      <c r="V82" s="1012"/>
      <c r="W82" s="1012"/>
      <c r="X82" s="1012"/>
      <c r="Y82" s="1012"/>
      <c r="Z82" s="1012"/>
    </row>
    <row r="83" spans="1:26">
      <c r="A83" s="1012"/>
      <c r="B83" s="1012"/>
      <c r="C83" s="1012"/>
      <c r="D83" s="1012"/>
      <c r="E83" s="1012"/>
      <c r="F83" s="1012"/>
      <c r="G83" s="1012"/>
      <c r="H83" s="1012"/>
      <c r="I83" s="1012"/>
      <c r="J83" s="1012"/>
      <c r="K83" s="1012"/>
      <c r="L83" s="1012"/>
      <c r="M83" s="1012"/>
      <c r="N83" s="1012"/>
      <c r="O83" s="1012"/>
      <c r="P83" s="1012"/>
      <c r="Q83" s="1012"/>
      <c r="R83" s="1012"/>
      <c r="S83" s="1012"/>
      <c r="T83" s="1012"/>
      <c r="U83" s="1012"/>
      <c r="V83" s="1012"/>
      <c r="W83" s="1012"/>
      <c r="X83" s="1012"/>
      <c r="Y83" s="1012"/>
      <c r="Z83" s="1012"/>
    </row>
    <row r="84" spans="1:26">
      <c r="A84" s="1012"/>
      <c r="B84" s="1012"/>
      <c r="C84" s="1012"/>
      <c r="D84" s="1012"/>
      <c r="E84" s="1012"/>
      <c r="F84" s="1012"/>
      <c r="G84" s="1012"/>
      <c r="H84" s="1012"/>
      <c r="I84" s="1012"/>
      <c r="J84" s="1012"/>
      <c r="K84" s="1012"/>
      <c r="L84" s="1012"/>
      <c r="M84" s="1012"/>
      <c r="N84" s="1012"/>
      <c r="O84" s="1012"/>
      <c r="P84" s="1012"/>
      <c r="Q84" s="1012"/>
      <c r="R84" s="1012"/>
      <c r="S84" s="1012"/>
      <c r="T84" s="1012"/>
      <c r="U84" s="1012"/>
      <c r="V84" s="1012"/>
      <c r="W84" s="1012"/>
      <c r="X84" s="1012"/>
      <c r="Y84" s="1012"/>
      <c r="Z84" s="1012"/>
    </row>
    <row r="85" spans="1:26">
      <c r="A85" s="1012"/>
      <c r="B85" s="1012"/>
      <c r="C85" s="1012"/>
      <c r="D85" s="1012"/>
      <c r="E85" s="1012"/>
      <c r="F85" s="1012"/>
      <c r="G85" s="1012"/>
      <c r="H85" s="1012"/>
      <c r="I85" s="1012"/>
      <c r="J85" s="1012"/>
      <c r="K85" s="1012"/>
      <c r="L85" s="1012"/>
      <c r="M85" s="1012"/>
      <c r="N85" s="1012"/>
      <c r="O85" s="1012"/>
      <c r="P85" s="1012"/>
      <c r="Q85" s="1012"/>
      <c r="R85" s="1012"/>
      <c r="S85" s="1012"/>
      <c r="T85" s="1012"/>
      <c r="U85" s="1012"/>
      <c r="V85" s="1012"/>
      <c r="W85" s="1012"/>
      <c r="X85" s="1012"/>
      <c r="Y85" s="1012"/>
      <c r="Z85" s="1012"/>
    </row>
    <row r="86" spans="1:26">
      <c r="A86" s="1012"/>
      <c r="B86" s="1012"/>
      <c r="C86" s="1012"/>
      <c r="D86" s="1012"/>
      <c r="E86" s="1012"/>
      <c r="F86" s="1012"/>
      <c r="G86" s="1012"/>
      <c r="H86" s="1012"/>
      <c r="I86" s="1012"/>
      <c r="J86" s="1012"/>
      <c r="K86" s="1012"/>
      <c r="L86" s="1012"/>
      <c r="M86" s="1012"/>
      <c r="N86" s="1012"/>
      <c r="O86" s="1012"/>
      <c r="P86" s="1012"/>
      <c r="Q86" s="1012"/>
      <c r="R86" s="1012"/>
      <c r="S86" s="1012"/>
      <c r="T86" s="1012"/>
      <c r="U86" s="1012"/>
      <c r="V86" s="1012"/>
      <c r="W86" s="1012"/>
      <c r="X86" s="1012"/>
      <c r="Y86" s="1012"/>
      <c r="Z86" s="1012"/>
    </row>
    <row r="87" spans="1:26">
      <c r="A87" s="1012"/>
      <c r="B87" s="1012"/>
      <c r="C87" s="1012"/>
      <c r="D87" s="1012"/>
      <c r="E87" s="1012"/>
      <c r="F87" s="1012"/>
      <c r="G87" s="1012"/>
      <c r="H87" s="1012"/>
      <c r="I87" s="1012"/>
      <c r="J87" s="1012"/>
      <c r="K87" s="1012"/>
      <c r="L87" s="1012"/>
      <c r="M87" s="1012"/>
      <c r="N87" s="1012"/>
      <c r="O87" s="1012"/>
      <c r="P87" s="1012"/>
      <c r="Q87" s="1012"/>
      <c r="R87" s="1012"/>
      <c r="S87" s="1012"/>
      <c r="T87" s="1012"/>
      <c r="U87" s="1012"/>
      <c r="V87" s="1012"/>
      <c r="W87" s="1012"/>
      <c r="X87" s="1012"/>
      <c r="Y87" s="1012"/>
      <c r="Z87" s="1012"/>
    </row>
    <row r="88" spans="1:26">
      <c r="A88" s="1012"/>
      <c r="B88" s="1012"/>
      <c r="C88" s="1012"/>
      <c r="D88" s="1012"/>
      <c r="E88" s="1012"/>
      <c r="F88" s="1012"/>
      <c r="G88" s="1012"/>
      <c r="H88" s="1012"/>
      <c r="I88" s="1012"/>
      <c r="J88" s="1012"/>
      <c r="K88" s="1012"/>
      <c r="L88" s="1012"/>
      <c r="M88" s="1012"/>
      <c r="N88" s="1012"/>
      <c r="O88" s="1012"/>
      <c r="P88" s="1012"/>
      <c r="Q88" s="1012"/>
      <c r="R88" s="1012"/>
      <c r="S88" s="1012"/>
      <c r="T88" s="1012"/>
      <c r="U88" s="1012"/>
      <c r="V88" s="1012"/>
      <c r="W88" s="1012"/>
      <c r="X88" s="1012"/>
      <c r="Y88" s="1012"/>
      <c r="Z88" s="1012"/>
    </row>
    <row r="89" spans="1:26">
      <c r="A89" s="1012"/>
      <c r="B89" s="1012"/>
      <c r="C89" s="1012"/>
      <c r="D89" s="1012"/>
      <c r="E89" s="1012"/>
      <c r="F89" s="1012"/>
      <c r="G89" s="1012"/>
      <c r="H89" s="1012"/>
      <c r="I89" s="1012"/>
      <c r="J89" s="1012"/>
      <c r="K89" s="1012"/>
      <c r="L89" s="1012"/>
      <c r="M89" s="1012"/>
      <c r="N89" s="1012"/>
      <c r="O89" s="1012"/>
      <c r="P89" s="1012"/>
      <c r="Q89" s="1012"/>
      <c r="R89" s="1012"/>
      <c r="S89" s="1012"/>
      <c r="T89" s="1012"/>
      <c r="U89" s="1012"/>
      <c r="V89" s="1012"/>
      <c r="W89" s="1012"/>
      <c r="X89" s="1012"/>
      <c r="Y89" s="1012"/>
      <c r="Z89" s="1012"/>
    </row>
    <row r="90" spans="1:26">
      <c r="A90" s="1012"/>
      <c r="B90" s="1012"/>
      <c r="C90" s="1012"/>
      <c r="D90" s="1012"/>
      <c r="E90" s="1012"/>
      <c r="F90" s="1012"/>
      <c r="G90" s="1012"/>
      <c r="H90" s="1012"/>
      <c r="I90" s="1012"/>
      <c r="J90" s="1012"/>
      <c r="K90" s="1012"/>
      <c r="L90" s="1012"/>
      <c r="M90" s="1012"/>
      <c r="N90" s="1012"/>
      <c r="O90" s="1012"/>
      <c r="P90" s="1012"/>
      <c r="Q90" s="1012"/>
      <c r="R90" s="1012"/>
      <c r="S90" s="1012"/>
      <c r="T90" s="1012"/>
      <c r="U90" s="1012"/>
      <c r="V90" s="1012"/>
      <c r="W90" s="1012"/>
      <c r="X90" s="1012"/>
      <c r="Y90" s="1012"/>
      <c r="Z90" s="1012"/>
    </row>
    <row r="91" spans="1:26">
      <c r="A91" s="1012"/>
      <c r="B91" s="1012"/>
      <c r="C91" s="1012"/>
      <c r="D91" s="1012"/>
      <c r="E91" s="1012"/>
      <c r="F91" s="1012"/>
      <c r="G91" s="1012"/>
      <c r="H91" s="1012"/>
      <c r="I91" s="1012"/>
      <c r="J91" s="1012"/>
      <c r="K91" s="1012"/>
      <c r="L91" s="1012"/>
      <c r="M91" s="1012"/>
      <c r="N91" s="1012"/>
      <c r="O91" s="1012"/>
      <c r="P91" s="1012"/>
      <c r="Q91" s="1012"/>
      <c r="R91" s="1012"/>
      <c r="S91" s="1012"/>
      <c r="T91" s="1012"/>
      <c r="U91" s="1012"/>
      <c r="V91" s="1012"/>
      <c r="W91" s="1012"/>
      <c r="X91" s="1012"/>
      <c r="Y91" s="1012"/>
      <c r="Z91" s="1012"/>
    </row>
    <row r="92" spans="1:26">
      <c r="A92" s="1012"/>
      <c r="B92" s="1012"/>
      <c r="C92" s="1012"/>
      <c r="D92" s="1012"/>
      <c r="E92" s="1012"/>
      <c r="F92" s="1012"/>
      <c r="G92" s="1012"/>
      <c r="H92" s="1012"/>
      <c r="I92" s="1012"/>
      <c r="J92" s="1012"/>
      <c r="K92" s="1012"/>
      <c r="L92" s="1012"/>
      <c r="M92" s="1012"/>
      <c r="N92" s="1012"/>
      <c r="O92" s="1012"/>
      <c r="P92" s="1012"/>
      <c r="Q92" s="1012"/>
      <c r="R92" s="1012"/>
      <c r="S92" s="1012"/>
      <c r="T92" s="1012"/>
      <c r="U92" s="1012"/>
      <c r="V92" s="1012"/>
      <c r="W92" s="1012"/>
      <c r="X92" s="1012"/>
      <c r="Y92" s="1012"/>
      <c r="Z92" s="1012"/>
    </row>
    <row r="93" spans="1:26">
      <c r="A93" s="1012"/>
      <c r="B93" s="1012"/>
      <c r="C93" s="1012"/>
      <c r="D93" s="1012"/>
      <c r="E93" s="1012"/>
      <c r="F93" s="1012"/>
      <c r="G93" s="1012"/>
      <c r="H93" s="1012"/>
      <c r="I93" s="1012"/>
      <c r="J93" s="1012"/>
      <c r="K93" s="1012"/>
      <c r="L93" s="1012"/>
      <c r="M93" s="1012"/>
      <c r="N93" s="1012"/>
      <c r="O93" s="1012"/>
      <c r="P93" s="1012"/>
      <c r="Q93" s="1012"/>
      <c r="R93" s="1012"/>
      <c r="S93" s="1012"/>
      <c r="T93" s="1012"/>
      <c r="U93" s="1012"/>
      <c r="V93" s="1012"/>
      <c r="W93" s="1012"/>
      <c r="X93" s="1012"/>
      <c r="Y93" s="1012"/>
      <c r="Z93" s="1012"/>
    </row>
    <row r="94" spans="1:26">
      <c r="A94" s="1012"/>
      <c r="B94" s="1012"/>
      <c r="C94" s="1012"/>
      <c r="D94" s="1012"/>
      <c r="E94" s="1012"/>
      <c r="F94" s="1012"/>
      <c r="G94" s="1012"/>
      <c r="H94" s="1012"/>
      <c r="I94" s="1012"/>
      <c r="J94" s="1012"/>
      <c r="K94" s="1012"/>
      <c r="L94" s="1012"/>
      <c r="M94" s="1012"/>
      <c r="N94" s="1012"/>
      <c r="O94" s="1012"/>
      <c r="P94" s="1012"/>
      <c r="Q94" s="1012"/>
      <c r="R94" s="1012"/>
      <c r="S94" s="1012"/>
      <c r="T94" s="1012"/>
      <c r="U94" s="1012"/>
      <c r="V94" s="1012"/>
      <c r="W94" s="1012"/>
      <c r="X94" s="1012"/>
      <c r="Y94" s="1012"/>
      <c r="Z94" s="1012"/>
    </row>
    <row r="95" spans="1:26">
      <c r="A95" s="1012"/>
      <c r="B95" s="1012"/>
      <c r="C95" s="1012"/>
      <c r="D95" s="1012"/>
      <c r="E95" s="1012"/>
      <c r="F95" s="1012"/>
      <c r="G95" s="1012"/>
      <c r="H95" s="1012"/>
      <c r="I95" s="1012"/>
      <c r="J95" s="1012"/>
      <c r="K95" s="1012"/>
      <c r="L95" s="1012"/>
      <c r="M95" s="1012"/>
      <c r="N95" s="1012"/>
      <c r="O95" s="1012"/>
      <c r="P95" s="1012"/>
      <c r="Q95" s="1012"/>
      <c r="R95" s="1012"/>
      <c r="S95" s="1012"/>
      <c r="T95" s="1012"/>
      <c r="U95" s="1012"/>
      <c r="V95" s="1012"/>
      <c r="W95" s="1012"/>
      <c r="X95" s="1012"/>
      <c r="Y95" s="1012"/>
      <c r="Z95" s="1012"/>
    </row>
    <row r="96" spans="1:26">
      <c r="A96" s="1012"/>
      <c r="B96" s="1012"/>
      <c r="C96" s="1012"/>
      <c r="D96" s="1012"/>
      <c r="E96" s="1012"/>
      <c r="F96" s="1012"/>
      <c r="G96" s="1012"/>
      <c r="H96" s="1012"/>
      <c r="I96" s="1012"/>
      <c r="J96" s="1012"/>
      <c r="K96" s="1012"/>
      <c r="L96" s="1012"/>
      <c r="M96" s="1012"/>
      <c r="N96" s="1012"/>
      <c r="O96" s="1012"/>
      <c r="P96" s="1012"/>
      <c r="Q96" s="1012"/>
      <c r="R96" s="1012"/>
      <c r="S96" s="1012"/>
      <c r="T96" s="1012"/>
      <c r="U96" s="1012"/>
      <c r="V96" s="1012"/>
      <c r="W96" s="1012"/>
      <c r="X96" s="1012"/>
      <c r="Y96" s="1012"/>
      <c r="Z96" s="1012"/>
    </row>
    <row r="97" spans="1:26">
      <c r="A97" s="1012"/>
      <c r="B97" s="1012"/>
      <c r="C97" s="1012"/>
      <c r="D97" s="1012"/>
      <c r="E97" s="1012"/>
      <c r="F97" s="1012"/>
      <c r="G97" s="1012"/>
      <c r="H97" s="1012"/>
      <c r="I97" s="1012"/>
      <c r="J97" s="1012"/>
      <c r="K97" s="1012"/>
      <c r="L97" s="1012"/>
      <c r="M97" s="1012"/>
      <c r="N97" s="1012"/>
      <c r="O97" s="1012"/>
      <c r="P97" s="1012"/>
      <c r="Q97" s="1012"/>
      <c r="R97" s="1012"/>
      <c r="S97" s="1012"/>
      <c r="T97" s="1012"/>
      <c r="U97" s="1012"/>
      <c r="V97" s="1012"/>
      <c r="W97" s="1012"/>
      <c r="X97" s="1012"/>
      <c r="Y97" s="1012"/>
      <c r="Z97" s="1012"/>
    </row>
    <row r="98" spans="1:26">
      <c r="A98" s="1012"/>
      <c r="B98" s="1012"/>
      <c r="C98" s="1012"/>
      <c r="D98" s="1012"/>
      <c r="E98" s="1012"/>
      <c r="F98" s="1012"/>
      <c r="G98" s="1012"/>
      <c r="H98" s="1012"/>
      <c r="I98" s="1012"/>
      <c r="J98" s="1012"/>
      <c r="K98" s="1012"/>
      <c r="L98" s="1012"/>
      <c r="M98" s="1012"/>
      <c r="N98" s="1012"/>
      <c r="O98" s="1012"/>
      <c r="P98" s="1012"/>
      <c r="Q98" s="1012"/>
      <c r="R98" s="1012"/>
      <c r="S98" s="1012"/>
      <c r="T98" s="1012"/>
      <c r="U98" s="1012"/>
      <c r="V98" s="1012"/>
      <c r="W98" s="1012"/>
      <c r="X98" s="1012"/>
      <c r="Y98" s="1012"/>
      <c r="Z98" s="1012"/>
    </row>
    <row r="99" spans="1:26">
      <c r="A99" s="1012"/>
      <c r="B99" s="1012"/>
      <c r="C99" s="1012"/>
      <c r="D99" s="1012"/>
      <c r="E99" s="1012"/>
      <c r="F99" s="1012"/>
      <c r="G99" s="1012"/>
      <c r="H99" s="1012"/>
      <c r="I99" s="1012"/>
      <c r="J99" s="1012"/>
      <c r="K99" s="1012"/>
      <c r="L99" s="1012"/>
      <c r="M99" s="1012"/>
      <c r="N99" s="1012"/>
      <c r="O99" s="1012"/>
      <c r="P99" s="1012"/>
      <c r="Q99" s="1012"/>
      <c r="R99" s="1012"/>
      <c r="S99" s="1012"/>
      <c r="T99" s="1012"/>
      <c r="U99" s="1012"/>
      <c r="V99" s="1012"/>
      <c r="W99" s="1012"/>
      <c r="X99" s="1012"/>
      <c r="Y99" s="1012"/>
      <c r="Z99" s="1012"/>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0" customWidth="1"/>
    <col min="2" max="2" width="19.5703125" style="500" customWidth="1"/>
    <col min="3" max="3" width="93.5703125" style="500" bestFit="1" customWidth="1"/>
    <col min="4" max="4" width="11.28515625" style="500" customWidth="1"/>
    <col min="5" max="5" width="11.42578125" style="500" customWidth="1"/>
    <col min="6" max="6" width="15.28515625" style="500" customWidth="1"/>
    <col min="7" max="7" width="18.5703125" style="500" customWidth="1"/>
    <col min="8" max="8" width="96.5703125" style="500" customWidth="1"/>
    <col min="9" max="16384" width="9.140625" style="500"/>
  </cols>
  <sheetData>
    <row r="1" spans="2:20" ht="15" thickBot="1"/>
    <row r="2" spans="2:20" ht="19.5" thickBot="1">
      <c r="B2" s="1078" t="s">
        <v>2</v>
      </c>
      <c r="C2" s="1079"/>
      <c r="D2" s="1079"/>
      <c r="E2" s="1080"/>
      <c r="G2" s="1078" t="s">
        <v>3</v>
      </c>
      <c r="H2" s="1080"/>
      <c r="I2" s="501"/>
      <c r="J2" s="501"/>
      <c r="K2" s="502"/>
      <c r="L2" s="502"/>
      <c r="M2" s="502"/>
      <c r="N2" s="502"/>
      <c r="O2" s="502"/>
      <c r="P2" s="502"/>
      <c r="Q2" s="502"/>
      <c r="R2" s="502"/>
      <c r="S2" s="502"/>
      <c r="T2" s="502"/>
    </row>
    <row r="3" spans="2:20" ht="15.75" thickBot="1">
      <c r="B3" s="524" t="s">
        <v>584</v>
      </c>
      <c r="C3" s="525" t="s">
        <v>4</v>
      </c>
      <c r="D3" s="525" t="s">
        <v>5</v>
      </c>
      <c r="E3" s="526" t="s">
        <v>735</v>
      </c>
      <c r="G3" s="504"/>
      <c r="H3" s="554" t="s">
        <v>585</v>
      </c>
      <c r="I3" s="501"/>
      <c r="J3" s="501"/>
      <c r="K3" s="502"/>
      <c r="L3" s="502"/>
      <c r="M3" s="502"/>
      <c r="N3" s="502"/>
      <c r="O3" s="502"/>
      <c r="P3" s="502"/>
      <c r="Q3" s="502"/>
      <c r="R3" s="502"/>
      <c r="S3" s="502"/>
      <c r="T3" s="502"/>
    </row>
    <row r="4" spans="2:20">
      <c r="B4" s="527" t="s">
        <v>733</v>
      </c>
      <c r="C4" s="528" t="s">
        <v>734</v>
      </c>
      <c r="D4" s="529">
        <v>44136</v>
      </c>
      <c r="E4" s="530" t="s">
        <v>736</v>
      </c>
      <c r="G4" s="508"/>
      <c r="H4" s="555" t="s">
        <v>587</v>
      </c>
      <c r="I4" s="501"/>
      <c r="J4" s="501"/>
      <c r="K4" s="502"/>
      <c r="L4" s="502"/>
      <c r="M4" s="502"/>
      <c r="N4" s="502"/>
      <c r="O4" s="502"/>
      <c r="P4" s="502"/>
      <c r="Q4" s="502"/>
      <c r="R4" s="502"/>
      <c r="S4" s="502"/>
      <c r="T4" s="502"/>
    </row>
    <row r="5" spans="2:20">
      <c r="B5" s="531" t="s">
        <v>6</v>
      </c>
      <c r="C5" s="505" t="s">
        <v>586</v>
      </c>
      <c r="D5" s="509">
        <v>44169</v>
      </c>
      <c r="E5" s="532" t="s">
        <v>737</v>
      </c>
      <c r="G5" s="510"/>
      <c r="H5" s="555" t="s">
        <v>589</v>
      </c>
      <c r="I5" s="501"/>
      <c r="J5" s="501"/>
      <c r="K5" s="502"/>
      <c r="L5" s="502"/>
      <c r="M5" s="502"/>
      <c r="N5" s="502"/>
      <c r="O5" s="502"/>
      <c r="P5" s="502"/>
      <c r="Q5" s="502"/>
      <c r="R5" s="502"/>
      <c r="S5" s="502"/>
      <c r="T5" s="502"/>
    </row>
    <row r="6" spans="2:20">
      <c r="B6" s="531" t="s">
        <v>738</v>
      </c>
      <c r="C6" s="505" t="s">
        <v>739</v>
      </c>
      <c r="D6" s="509">
        <v>44166</v>
      </c>
      <c r="E6" s="532" t="s">
        <v>737</v>
      </c>
      <c r="G6" s="511"/>
      <c r="H6" s="555" t="s">
        <v>864</v>
      </c>
      <c r="I6" s="501"/>
      <c r="J6" s="501"/>
      <c r="K6" s="502"/>
      <c r="L6" s="502"/>
      <c r="M6" s="502"/>
      <c r="N6" s="502"/>
      <c r="O6" s="502"/>
      <c r="P6" s="502"/>
      <c r="Q6" s="502"/>
      <c r="R6" s="502"/>
      <c r="S6" s="502"/>
      <c r="T6" s="502"/>
    </row>
    <row r="7" spans="2:20" ht="15" thickBot="1">
      <c r="B7" s="531" t="s">
        <v>741</v>
      </c>
      <c r="C7" s="505" t="s">
        <v>588</v>
      </c>
      <c r="D7" s="506">
        <v>43862</v>
      </c>
      <c r="E7" s="532" t="s">
        <v>737</v>
      </c>
      <c r="G7" s="513"/>
      <c r="H7" s="556" t="s">
        <v>7</v>
      </c>
      <c r="I7" s="501"/>
      <c r="J7" s="501"/>
      <c r="K7" s="502"/>
      <c r="L7" s="502"/>
      <c r="M7" s="502"/>
      <c r="N7" s="502"/>
      <c r="O7" s="502"/>
      <c r="P7" s="502"/>
      <c r="Q7" s="502"/>
      <c r="R7" s="502"/>
      <c r="S7" s="502"/>
      <c r="T7" s="502"/>
    </row>
    <row r="8" spans="2:20">
      <c r="B8" s="531" t="s">
        <v>590</v>
      </c>
      <c r="C8" s="505" t="s">
        <v>740</v>
      </c>
      <c r="D8" s="506">
        <v>44166</v>
      </c>
      <c r="E8" s="532" t="s">
        <v>737</v>
      </c>
      <c r="I8" s="512"/>
      <c r="J8" s="512"/>
      <c r="K8" s="512"/>
      <c r="L8" s="512"/>
      <c r="M8" s="512"/>
      <c r="N8" s="512"/>
      <c r="O8" s="512"/>
      <c r="P8" s="512"/>
      <c r="Q8" s="512"/>
      <c r="R8" s="512"/>
      <c r="S8" s="512"/>
      <c r="T8" s="512"/>
    </row>
    <row r="9" spans="2:20">
      <c r="B9" s="531" t="s">
        <v>742</v>
      </c>
      <c r="C9" s="505" t="s">
        <v>743</v>
      </c>
      <c r="D9" s="506">
        <v>44044</v>
      </c>
      <c r="E9" s="532" t="s">
        <v>737</v>
      </c>
      <c r="I9" s="514"/>
      <c r="J9" s="514"/>
      <c r="K9" s="514"/>
      <c r="L9" s="514"/>
      <c r="M9" s="514"/>
      <c r="N9" s="514"/>
      <c r="O9" s="514"/>
      <c r="P9" s="514"/>
      <c r="Q9" s="514"/>
      <c r="R9" s="514"/>
      <c r="S9" s="514"/>
      <c r="T9" s="514"/>
    </row>
    <row r="10" spans="2:20" ht="15" thickBot="1">
      <c r="B10" s="531" t="s">
        <v>744</v>
      </c>
      <c r="C10" s="505" t="s">
        <v>591</v>
      </c>
      <c r="D10" s="506">
        <v>44136</v>
      </c>
      <c r="E10" s="532" t="s">
        <v>737</v>
      </c>
      <c r="I10" s="514"/>
      <c r="J10" s="514"/>
      <c r="K10" s="514"/>
      <c r="L10" s="514"/>
      <c r="M10" s="514"/>
      <c r="N10" s="514"/>
      <c r="O10" s="514"/>
      <c r="P10" s="514"/>
      <c r="Q10" s="514"/>
      <c r="R10" s="514"/>
      <c r="S10" s="514"/>
      <c r="T10" s="514"/>
    </row>
    <row r="11" spans="2:20" ht="19.5" thickBot="1">
      <c r="B11" s="531" t="s">
        <v>745</v>
      </c>
      <c r="C11" s="505" t="s">
        <v>592</v>
      </c>
      <c r="D11" s="506">
        <v>44013</v>
      </c>
      <c r="E11" s="532" t="s">
        <v>737</v>
      </c>
      <c r="G11" s="1078" t="s">
        <v>11</v>
      </c>
      <c r="H11" s="1080"/>
      <c r="I11" s="514"/>
      <c r="J11" s="514"/>
      <c r="K11" s="514"/>
      <c r="L11" s="514"/>
      <c r="M11" s="514"/>
      <c r="N11" s="514"/>
      <c r="O11" s="514"/>
      <c r="P11" s="514"/>
      <c r="Q11" s="514"/>
      <c r="R11" s="514"/>
      <c r="S11" s="514"/>
      <c r="T11" s="514"/>
    </row>
    <row r="12" spans="2:20" ht="15">
      <c r="B12" s="531" t="s">
        <v>746</v>
      </c>
      <c r="C12" s="505" t="s">
        <v>593</v>
      </c>
      <c r="D12" s="506">
        <v>44136</v>
      </c>
      <c r="E12" s="532" t="s">
        <v>736</v>
      </c>
      <c r="G12" s="515" t="s">
        <v>12</v>
      </c>
      <c r="H12" s="516" t="s">
        <v>599</v>
      </c>
    </row>
    <row r="13" spans="2:20" ht="15">
      <c r="B13" s="531" t="s">
        <v>747</v>
      </c>
      <c r="C13" s="505" t="s">
        <v>749</v>
      </c>
      <c r="D13" s="506">
        <v>44136</v>
      </c>
      <c r="E13" s="532" t="s">
        <v>737</v>
      </c>
      <c r="G13" s="517" t="s">
        <v>600</v>
      </c>
      <c r="H13" s="518" t="s">
        <v>13</v>
      </c>
    </row>
    <row r="14" spans="2:20" ht="15">
      <c r="B14" s="531" t="s">
        <v>748</v>
      </c>
      <c r="C14" s="505" t="s">
        <v>750</v>
      </c>
      <c r="D14" s="506">
        <v>44105</v>
      </c>
      <c r="E14" s="532" t="s">
        <v>737</v>
      </c>
      <c r="G14" s="517" t="s">
        <v>14</v>
      </c>
      <c r="H14" s="557" t="s">
        <v>751</v>
      </c>
    </row>
    <row r="15" spans="2:20" ht="15">
      <c r="B15" s="531" t="s">
        <v>594</v>
      </c>
      <c r="C15" s="505" t="s">
        <v>595</v>
      </c>
      <c r="D15" s="506">
        <v>44105</v>
      </c>
      <c r="E15" s="532" t="s">
        <v>737</v>
      </c>
      <c r="G15" s="519" t="s">
        <v>601</v>
      </c>
      <c r="H15" s="520">
        <v>2018</v>
      </c>
    </row>
    <row r="16" spans="2:20">
      <c r="B16" s="531" t="s">
        <v>8</v>
      </c>
      <c r="C16" s="505" t="s">
        <v>596</v>
      </c>
      <c r="D16" s="506">
        <v>44166</v>
      </c>
      <c r="E16" s="532" t="s">
        <v>737</v>
      </c>
    </row>
    <row r="17" spans="2:8" ht="15" thickBot="1">
      <c r="B17" s="531" t="s">
        <v>9</v>
      </c>
      <c r="C17" s="505" t="s">
        <v>597</v>
      </c>
      <c r="D17" s="506">
        <v>44166</v>
      </c>
      <c r="E17" s="532" t="s">
        <v>737</v>
      </c>
    </row>
    <row r="18" spans="2:8" ht="19.5" thickBot="1">
      <c r="B18" s="533" t="s">
        <v>10</v>
      </c>
      <c r="C18" s="534" t="s">
        <v>598</v>
      </c>
      <c r="D18" s="535">
        <v>44166</v>
      </c>
      <c r="E18" s="536" t="s">
        <v>737</v>
      </c>
      <c r="G18" s="1081" t="s">
        <v>604</v>
      </c>
      <c r="H18" s="1082"/>
    </row>
    <row r="19" spans="2:8" ht="15">
      <c r="B19" s="502"/>
      <c r="C19" s="502"/>
      <c r="D19" s="996"/>
      <c r="E19" s="514"/>
      <c r="G19" s="542" t="s">
        <v>17</v>
      </c>
      <c r="H19" s="542" t="s">
        <v>764</v>
      </c>
    </row>
    <row r="20" spans="2:8">
      <c r="B20" s="502"/>
      <c r="C20" s="502"/>
      <c r="D20" s="996"/>
      <c r="E20" s="514"/>
      <c r="G20" s="507"/>
      <c r="H20" s="507"/>
    </row>
    <row r="21" spans="2:8" ht="15" customHeight="1">
      <c r="B21" s="502"/>
      <c r="C21" s="502"/>
      <c r="D21" s="996"/>
      <c r="E21" s="514"/>
      <c r="G21" s="507"/>
      <c r="H21" s="507"/>
    </row>
    <row r="22" spans="2:8" ht="15" customHeight="1">
      <c r="B22" s="502"/>
      <c r="C22" s="502"/>
      <c r="D22" s="996"/>
      <c r="E22" s="514"/>
      <c r="G22" s="507"/>
      <c r="H22" s="507"/>
    </row>
    <row r="23" spans="2:8" ht="15" customHeight="1">
      <c r="B23" s="502"/>
      <c r="C23" s="502"/>
      <c r="D23" s="996"/>
      <c r="E23" s="514"/>
      <c r="G23" s="507"/>
      <c r="H23" s="507"/>
    </row>
    <row r="24" spans="2:8" ht="15" customHeight="1">
      <c r="B24" s="502"/>
      <c r="C24" s="502"/>
      <c r="D24" s="996"/>
      <c r="E24" s="514"/>
      <c r="G24" s="507"/>
      <c r="H24" s="507"/>
    </row>
    <row r="25" spans="2:8" ht="15" hidden="1" customHeight="1">
      <c r="B25" s="502"/>
      <c r="C25" s="502"/>
      <c r="D25" s="996"/>
      <c r="E25" s="514"/>
      <c r="G25" s="507"/>
      <c r="H25" s="507"/>
    </row>
    <row r="26" spans="2:8" ht="15" customHeight="1"/>
    <row r="27" spans="2:8" ht="15" customHeight="1" thickBot="1">
      <c r="B27" s="1083" t="s">
        <v>602</v>
      </c>
      <c r="C27" s="1084"/>
      <c r="D27" s="1084"/>
      <c r="E27" s="1084"/>
      <c r="F27" s="1084"/>
    </row>
    <row r="28" spans="2:8" ht="15" customHeight="1">
      <c r="B28" s="538" t="s">
        <v>584</v>
      </c>
      <c r="C28" s="539" t="s">
        <v>4</v>
      </c>
      <c r="D28" s="540" t="s">
        <v>5</v>
      </c>
      <c r="E28" s="541" t="s">
        <v>735</v>
      </c>
      <c r="F28" s="541" t="s">
        <v>871</v>
      </c>
    </row>
    <row r="29" spans="2:8" ht="15" customHeight="1">
      <c r="B29" s="548" t="s">
        <v>15</v>
      </c>
      <c r="C29" s="543" t="s">
        <v>603</v>
      </c>
      <c r="D29" s="543"/>
      <c r="E29" s="549"/>
      <c r="F29" s="1007" t="s">
        <v>872</v>
      </c>
    </row>
    <row r="30" spans="2:8" ht="15">
      <c r="B30" s="997" t="s">
        <v>16</v>
      </c>
      <c r="C30" s="1005" t="s">
        <v>605</v>
      </c>
      <c r="D30" s="1005"/>
      <c r="E30" s="1006"/>
      <c r="F30" s="1000" t="s">
        <v>316</v>
      </c>
    </row>
    <row r="31" spans="2:8" ht="15">
      <c r="B31" s="548" t="s">
        <v>18</v>
      </c>
      <c r="C31" s="507" t="s">
        <v>19</v>
      </c>
      <c r="D31" s="544" t="s">
        <v>20</v>
      </c>
      <c r="E31" s="532" t="s">
        <v>737</v>
      </c>
      <c r="F31" s="1007" t="s">
        <v>872</v>
      </c>
      <c r="G31" s="479" t="s">
        <v>870</v>
      </c>
    </row>
    <row r="32" spans="2:8" ht="15">
      <c r="B32" s="997" t="s">
        <v>21</v>
      </c>
      <c r="C32" s="1005" t="s">
        <v>606</v>
      </c>
      <c r="D32" s="999">
        <v>44044</v>
      </c>
      <c r="E32" s="1006" t="s">
        <v>737</v>
      </c>
      <c r="F32" s="1000" t="s">
        <v>316</v>
      </c>
    </row>
    <row r="33" spans="1:7" ht="17.25" customHeight="1">
      <c r="B33" s="548" t="s">
        <v>607</v>
      </c>
      <c r="C33" s="546" t="s">
        <v>608</v>
      </c>
      <c r="D33" s="545">
        <v>43952</v>
      </c>
      <c r="E33" s="532" t="s">
        <v>737</v>
      </c>
      <c r="F33" s="1008" t="s">
        <v>872</v>
      </c>
    </row>
    <row r="34" spans="1:7" ht="15">
      <c r="B34" s="548" t="s">
        <v>22</v>
      </c>
      <c r="C34" s="546" t="s">
        <v>609</v>
      </c>
      <c r="D34" s="545">
        <v>43952</v>
      </c>
      <c r="E34" s="532" t="s">
        <v>737</v>
      </c>
      <c r="F34" s="1007" t="s">
        <v>872</v>
      </c>
      <c r="G34" s="479" t="s">
        <v>868</v>
      </c>
    </row>
    <row r="35" spans="1:7" ht="15" hidden="1">
      <c r="B35" s="548" t="s">
        <v>752</v>
      </c>
      <c r="C35" s="546" t="s">
        <v>755</v>
      </c>
      <c r="D35" s="545">
        <v>43983</v>
      </c>
      <c r="E35" s="532" t="s">
        <v>737</v>
      </c>
      <c r="F35" s="532" t="s">
        <v>737</v>
      </c>
    </row>
    <row r="36" spans="1:7" ht="15" hidden="1">
      <c r="B36" s="548" t="s">
        <v>753</v>
      </c>
      <c r="C36" s="546" t="s">
        <v>754</v>
      </c>
      <c r="D36" s="545">
        <v>43983</v>
      </c>
      <c r="E36" s="532" t="s">
        <v>737</v>
      </c>
      <c r="F36" s="532" t="s">
        <v>737</v>
      </c>
    </row>
    <row r="37" spans="1:7" ht="15">
      <c r="B37" s="548" t="s">
        <v>756</v>
      </c>
      <c r="C37" s="547" t="s">
        <v>867</v>
      </c>
      <c r="D37" s="545">
        <v>43983</v>
      </c>
      <c r="E37" s="532" t="s">
        <v>737</v>
      </c>
      <c r="F37" s="1008" t="s">
        <v>872</v>
      </c>
      <c r="G37" s="479" t="s">
        <v>866</v>
      </c>
    </row>
    <row r="38" spans="1:7" ht="15">
      <c r="B38" s="548" t="s">
        <v>757</v>
      </c>
      <c r="C38" s="547" t="s">
        <v>583</v>
      </c>
      <c r="D38" s="545">
        <v>43983</v>
      </c>
      <c r="E38" s="532" t="s">
        <v>737</v>
      </c>
      <c r="F38" s="1008" t="s">
        <v>872</v>
      </c>
      <c r="G38" s="479" t="s">
        <v>866</v>
      </c>
    </row>
    <row r="39" spans="1:7" ht="15">
      <c r="B39" s="548" t="s">
        <v>759</v>
      </c>
      <c r="C39" s="547" t="s">
        <v>873</v>
      </c>
      <c r="D39" s="545">
        <v>43983</v>
      </c>
      <c r="E39" s="532" t="s">
        <v>737</v>
      </c>
      <c r="F39" s="1008" t="s">
        <v>872</v>
      </c>
      <c r="G39" s="479" t="s">
        <v>874</v>
      </c>
    </row>
    <row r="40" spans="1:7" ht="15">
      <c r="B40" s="548" t="s">
        <v>758</v>
      </c>
      <c r="C40" s="547" t="s">
        <v>582</v>
      </c>
      <c r="D40" s="545">
        <v>43983</v>
      </c>
      <c r="E40" s="532" t="s">
        <v>737</v>
      </c>
      <c r="F40" s="1008" t="s">
        <v>872</v>
      </c>
    </row>
    <row r="41" spans="1:7" ht="15">
      <c r="B41" s="548" t="s">
        <v>760</v>
      </c>
      <c r="C41" s="547" t="s">
        <v>761</v>
      </c>
      <c r="D41" s="545">
        <v>44044</v>
      </c>
      <c r="E41" s="532" t="s">
        <v>737</v>
      </c>
      <c r="F41" s="1007" t="s">
        <v>872</v>
      </c>
    </row>
    <row r="42" spans="1:7" ht="15">
      <c r="A42" s="514"/>
      <c r="B42" s="997" t="s">
        <v>763</v>
      </c>
      <c r="C42" s="998" t="s">
        <v>762</v>
      </c>
      <c r="D42" s="999">
        <v>44044</v>
      </c>
      <c r="E42" s="1000" t="s">
        <v>737</v>
      </c>
      <c r="F42" s="1000" t="s">
        <v>316</v>
      </c>
    </row>
    <row r="43" spans="1:7" ht="15.75" thickBot="1">
      <c r="A43" s="514"/>
      <c r="B43" s="1001" t="s">
        <v>763</v>
      </c>
      <c r="C43" s="1002" t="s">
        <v>762</v>
      </c>
      <c r="D43" s="1003">
        <v>44044</v>
      </c>
      <c r="E43" s="1004" t="s">
        <v>737</v>
      </c>
      <c r="F43" s="1004" t="s">
        <v>316</v>
      </c>
    </row>
    <row r="44" spans="1:7" ht="15">
      <c r="A44" s="514"/>
      <c r="B44" s="1009" t="s">
        <v>753</v>
      </c>
      <c r="C44" s="1010" t="s">
        <v>875</v>
      </c>
      <c r="D44" s="545">
        <v>44044</v>
      </c>
      <c r="E44" s="532" t="s">
        <v>737</v>
      </c>
      <c r="F44" s="1008" t="s">
        <v>872</v>
      </c>
      <c r="G44" s="500" t="s">
        <v>876</v>
      </c>
    </row>
    <row r="45" spans="1:7" ht="15" thickBot="1">
      <c r="A45" s="514"/>
      <c r="F45" s="514"/>
    </row>
    <row r="46" spans="1:7" ht="19.5" thickBot="1">
      <c r="B46" s="1078" t="s">
        <v>610</v>
      </c>
      <c r="C46" s="1079"/>
      <c r="D46" s="1079"/>
      <c r="E46" s="1080"/>
    </row>
    <row r="47" spans="1:7" ht="15">
      <c r="B47" s="521" t="s">
        <v>611</v>
      </c>
      <c r="C47" s="522" t="s">
        <v>4</v>
      </c>
      <c r="D47" s="503" t="s">
        <v>5</v>
      </c>
      <c r="E47" s="503" t="s">
        <v>735</v>
      </c>
    </row>
    <row r="48" spans="1:7" ht="15">
      <c r="B48" s="542">
        <v>1</v>
      </c>
      <c r="C48" s="543" t="s">
        <v>863</v>
      </c>
      <c r="D48" s="552">
        <v>44166</v>
      </c>
      <c r="E48" s="553" t="s">
        <v>737</v>
      </c>
      <c r="G48" s="500" t="s">
        <v>869</v>
      </c>
    </row>
    <row r="49" spans="2:5" ht="15">
      <c r="B49" s="542"/>
      <c r="C49" s="507"/>
      <c r="D49" s="507"/>
      <c r="E49" s="544"/>
    </row>
    <row r="50" spans="2:5" ht="15">
      <c r="B50" s="523"/>
      <c r="C50" s="514"/>
      <c r="D50" s="514"/>
      <c r="E50" s="550"/>
    </row>
    <row r="51" spans="2:5" ht="15">
      <c r="B51" s="523"/>
      <c r="C51" s="551"/>
      <c r="D51" s="551"/>
      <c r="E51" s="537"/>
    </row>
    <row r="52" spans="2:5" ht="15">
      <c r="B52" s="523"/>
      <c r="C52" s="551"/>
      <c r="D52" s="551"/>
      <c r="E52" s="537"/>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topLeftCell="A47" workbookViewId="0">
      <selection activeCell="B50" sqref="B50"/>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85" t="s">
        <v>23</v>
      </c>
      <c r="B1" s="1086"/>
      <c r="C1" s="1086"/>
    </row>
    <row r="2" spans="1:3" s="67" customFormat="1">
      <c r="A2" s="933" t="s">
        <v>612</v>
      </c>
      <c r="B2" s="933" t="s">
        <v>24</v>
      </c>
      <c r="C2" s="933" t="s">
        <v>4</v>
      </c>
    </row>
    <row r="3" spans="1:3">
      <c r="A3" s="268"/>
      <c r="B3" s="269" t="s">
        <v>575</v>
      </c>
      <c r="C3" s="270" t="s">
        <v>1</v>
      </c>
    </row>
    <row r="4" spans="1:3">
      <c r="A4" s="268"/>
      <c r="B4" s="269" t="s">
        <v>706</v>
      </c>
      <c r="C4" s="269" t="s">
        <v>634</v>
      </c>
    </row>
    <row r="5" spans="1:3">
      <c r="A5" s="268"/>
      <c r="B5" s="269" t="s">
        <v>617</v>
      </c>
      <c r="C5" s="269" t="s">
        <v>616</v>
      </c>
    </row>
    <row r="6" spans="1:3">
      <c r="A6" s="933"/>
      <c r="B6" s="933" t="s">
        <v>24</v>
      </c>
      <c r="C6" s="933" t="s">
        <v>4</v>
      </c>
    </row>
    <row r="7" spans="1:3">
      <c r="A7" s="1087" t="s">
        <v>25</v>
      </c>
      <c r="B7" s="1088"/>
      <c r="C7" s="1089"/>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7" t="s">
        <v>26</v>
      </c>
      <c r="B28" s="1088"/>
      <c r="C28" s="1089"/>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7" t="s">
        <v>39</v>
      </c>
      <c r="B35" s="1088"/>
      <c r="C35" s="1089"/>
    </row>
    <row r="36" spans="1:3">
      <c r="A36" s="290" t="s">
        <v>40</v>
      </c>
      <c r="B36" s="271" t="s">
        <v>41</v>
      </c>
      <c r="C36" s="271" t="s">
        <v>42</v>
      </c>
    </row>
    <row r="37" spans="1:3">
      <c r="A37" s="290"/>
      <c r="B37" s="271" t="s">
        <v>43</v>
      </c>
      <c r="C37" s="271" t="s">
        <v>44</v>
      </c>
    </row>
    <row r="38" spans="1:3">
      <c r="A38" s="290"/>
      <c r="B38" s="271" t="s">
        <v>45</v>
      </c>
      <c r="C38" s="271" t="s">
        <v>46</v>
      </c>
    </row>
    <row r="39" spans="1:3">
      <c r="A39" s="1087" t="s">
        <v>47</v>
      </c>
      <c r="B39" s="1088"/>
      <c r="C39" s="1089"/>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7" t="s">
        <v>66</v>
      </c>
      <c r="B49" s="1088"/>
      <c r="C49" s="1089"/>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87" t="s">
        <v>68</v>
      </c>
      <c r="B62" s="1088"/>
      <c r="C62" s="1089"/>
    </row>
    <row r="63" spans="1:3">
      <c r="A63" s="1087" t="s">
        <v>69</v>
      </c>
      <c r="B63" s="1088"/>
      <c r="C63" s="1089"/>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7" t="s">
        <v>76</v>
      </c>
      <c r="B70" s="1088"/>
      <c r="C70" s="1089"/>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7" t="s">
        <v>487</v>
      </c>
      <c r="B76" s="1088"/>
      <c r="C76" s="1089"/>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7" t="s">
        <v>716</v>
      </c>
      <c r="B84" s="1088"/>
      <c r="C84" s="1089"/>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84:C84"/>
    <mergeCell ref="A76:C76"/>
    <mergeCell ref="A70:C70"/>
    <mergeCell ref="A28:C28"/>
    <mergeCell ref="A7:C7"/>
    <mergeCell ref="A63:C63"/>
    <mergeCell ref="A1:C1"/>
    <mergeCell ref="A35:C35"/>
    <mergeCell ref="A39:C39"/>
    <mergeCell ref="A49:C49"/>
    <mergeCell ref="A62:C62"/>
  </mergeCells>
  <phoneticPr fontId="69"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topLeftCell="K1" workbookViewId="0">
      <selection activeCell="A56" sqref="A56:XFD56"/>
    </sheetView>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7" t="s">
        <v>787</v>
      </c>
      <c r="B1" s="578" t="s">
        <v>788</v>
      </c>
      <c r="C1" s="846" t="s">
        <v>88</v>
      </c>
      <c r="D1" s="849" t="s">
        <v>89</v>
      </c>
      <c r="E1" s="850" t="s">
        <v>789</v>
      </c>
      <c r="F1" s="851" t="s">
        <v>90</v>
      </c>
      <c r="G1" s="851" t="s">
        <v>91</v>
      </c>
      <c r="H1" s="847" t="s">
        <v>92</v>
      </c>
      <c r="I1" s="849" t="s">
        <v>93</v>
      </c>
      <c r="J1" s="850" t="s">
        <v>94</v>
      </c>
      <c r="K1" s="850" t="s">
        <v>95</v>
      </c>
      <c r="L1" s="847" t="s">
        <v>96</v>
      </c>
      <c r="M1" s="849" t="s">
        <v>97</v>
      </c>
      <c r="N1" s="849" t="s">
        <v>790</v>
      </c>
      <c r="O1" s="850" t="s">
        <v>98</v>
      </c>
      <c r="P1" s="850" t="s">
        <v>99</v>
      </c>
      <c r="Q1" s="850" t="s">
        <v>100</v>
      </c>
      <c r="R1" s="850" t="s">
        <v>101</v>
      </c>
      <c r="S1" s="850" t="s">
        <v>102</v>
      </c>
      <c r="T1" s="847" t="s">
        <v>103</v>
      </c>
      <c r="U1" s="850" t="s">
        <v>104</v>
      </c>
      <c r="V1" s="850" t="s">
        <v>105</v>
      </c>
      <c r="W1" s="851" t="s">
        <v>106</v>
      </c>
      <c r="X1" s="851" t="s">
        <v>107</v>
      </c>
      <c r="Y1" s="851" t="s">
        <v>108</v>
      </c>
      <c r="Z1" s="850" t="s">
        <v>109</v>
      </c>
      <c r="AA1" s="847" t="s">
        <v>110</v>
      </c>
      <c r="AB1" s="848" t="s">
        <v>111</v>
      </c>
      <c r="AC1" s="852" t="s">
        <v>112</v>
      </c>
      <c r="AD1" s="850" t="s">
        <v>113</v>
      </c>
      <c r="AE1" s="847" t="s">
        <v>791</v>
      </c>
      <c r="AF1" s="850" t="s">
        <v>792</v>
      </c>
      <c r="AG1" s="850" t="s">
        <v>114</v>
      </c>
      <c r="AH1" s="850" t="s">
        <v>115</v>
      </c>
      <c r="AI1" s="847" t="s">
        <v>793</v>
      </c>
      <c r="AJ1" s="847" t="s">
        <v>794</v>
      </c>
      <c r="AK1" s="847" t="s">
        <v>795</v>
      </c>
      <c r="AL1" s="847" t="s">
        <v>796</v>
      </c>
      <c r="AM1" s="847" t="s">
        <v>797</v>
      </c>
      <c r="AN1" s="847" t="s">
        <v>116</v>
      </c>
      <c r="AO1" s="847" t="s">
        <v>117</v>
      </c>
      <c r="AP1" s="848" t="s">
        <v>118</v>
      </c>
      <c r="AQ1" s="579" t="s">
        <v>119</v>
      </c>
      <c r="AS1" s="2"/>
    </row>
    <row r="2" spans="1:45" s="3" customFormat="1" ht="12.75" customHeight="1">
      <c r="A2" s="580" t="s">
        <v>120</v>
      </c>
      <c r="B2" s="581"/>
      <c r="C2" s="582">
        <f>SUM(D2:G2)</f>
        <v>0</v>
      </c>
      <c r="D2" s="583">
        <v>0</v>
      </c>
      <c r="E2" s="584"/>
      <c r="F2" s="585"/>
      <c r="G2" s="585"/>
      <c r="H2" s="586">
        <f>SUM(I2:K2)</f>
        <v>815.92434898628403</v>
      </c>
      <c r="I2" s="587">
        <v>688.22034898628408</v>
      </c>
      <c r="J2" s="588">
        <v>127.70399999999999</v>
      </c>
      <c r="K2" s="588"/>
      <c r="L2" s="586">
        <f>SUM(M2:Z2)</f>
        <v>0</v>
      </c>
      <c r="M2" s="587"/>
      <c r="N2" s="589"/>
      <c r="O2" s="590"/>
      <c r="P2" s="590"/>
      <c r="Q2" s="590"/>
      <c r="R2" s="590"/>
      <c r="S2" s="590"/>
      <c r="T2" s="590"/>
      <c r="U2" s="590"/>
      <c r="V2" s="590"/>
      <c r="W2" s="585"/>
      <c r="X2" s="585"/>
      <c r="Y2" s="585"/>
      <c r="Z2" s="588"/>
      <c r="AA2" s="586">
        <v>2751.9191872187112</v>
      </c>
      <c r="AB2" s="591">
        <f>SUM(AC2:AM2)</f>
        <v>1331.2863828445347</v>
      </c>
      <c r="AC2" s="592">
        <v>59.691708987970003</v>
      </c>
      <c r="AD2" s="588">
        <v>743.01992281532614</v>
      </c>
      <c r="AE2" s="588">
        <v>249.68174480509879</v>
      </c>
      <c r="AF2" s="588">
        <v>139.99992739520798</v>
      </c>
      <c r="AG2" s="588">
        <v>33.531818868055431</v>
      </c>
      <c r="AH2" s="588">
        <v>16.813132576534866</v>
      </c>
      <c r="AI2" s="588">
        <v>27.095124147648001</v>
      </c>
      <c r="AJ2" s="588">
        <v>2.6691993220799999</v>
      </c>
      <c r="AK2" s="587">
        <v>1.4323955643044282</v>
      </c>
      <c r="AL2" s="587">
        <v>13.54608560366562</v>
      </c>
      <c r="AM2" s="585">
        <v>43.805322758643676</v>
      </c>
      <c r="AN2" s="593">
        <v>145.43710297949829</v>
      </c>
      <c r="AO2" s="593"/>
      <c r="AP2" s="591"/>
      <c r="AQ2" s="594">
        <f>C2+H2+L2+AA2+AB2+AN2+AO2+AP2</f>
        <v>5044.5670220290285</v>
      </c>
      <c r="AS2" s="4"/>
    </row>
    <row r="3" spans="1:45" s="3" customFormat="1" ht="12.75" customHeight="1">
      <c r="A3" s="595" t="s">
        <v>121</v>
      </c>
      <c r="B3" s="596"/>
      <c r="C3" s="597">
        <f>SUM(D3:G3)</f>
        <v>935.78934491090115</v>
      </c>
      <c r="D3" s="598">
        <v>802.24865041659757</v>
      </c>
      <c r="E3" s="599">
        <v>125.38500136039437</v>
      </c>
      <c r="F3" s="600"/>
      <c r="G3" s="600">
        <v>8.1556931339092724</v>
      </c>
      <c r="H3" s="601">
        <f>SUM(I3:K3)</f>
        <v>0</v>
      </c>
      <c r="I3" s="602"/>
      <c r="J3" s="603"/>
      <c r="K3" s="603"/>
      <c r="L3" s="601">
        <f>SUM(M3:Z3)</f>
        <v>9146.774069288922</v>
      </c>
      <c r="M3" s="602">
        <v>3053.4742963851995</v>
      </c>
      <c r="N3" s="602">
        <v>16.633377499200002</v>
      </c>
      <c r="O3" s="603">
        <v>0</v>
      </c>
      <c r="P3" s="603">
        <v>564.2282843555555</v>
      </c>
      <c r="Q3" s="603">
        <v>369.55541863968</v>
      </c>
      <c r="R3" s="603">
        <v>1543.1782335883197</v>
      </c>
      <c r="S3" s="603">
        <v>82.827948630790956</v>
      </c>
      <c r="T3" s="603">
        <v>157.5463640726893</v>
      </c>
      <c r="U3" s="603">
        <v>2941.4703035056637</v>
      </c>
      <c r="V3" s="603">
        <v>164.48328641762765</v>
      </c>
      <c r="W3" s="600">
        <v>7.5616539426795564</v>
      </c>
      <c r="X3" s="600">
        <v>200.83222211696253</v>
      </c>
      <c r="Y3" s="600">
        <v>1.2281470084248403</v>
      </c>
      <c r="Z3" s="603">
        <v>43.754533126130625</v>
      </c>
      <c r="AA3" s="601">
        <v>1728.338063506957</v>
      </c>
      <c r="AB3" s="604">
        <f>SUM(AC3:AM3)</f>
        <v>150.18873559012798</v>
      </c>
      <c r="AC3" s="605"/>
      <c r="AD3" s="603"/>
      <c r="AE3" s="603">
        <v>23.169037781663999</v>
      </c>
      <c r="AF3" s="603"/>
      <c r="AG3" s="603"/>
      <c r="AH3" s="603"/>
      <c r="AI3" s="603">
        <v>104.16969909062398</v>
      </c>
      <c r="AJ3" s="603">
        <v>22.849998717839998</v>
      </c>
      <c r="AK3" s="602"/>
      <c r="AL3" s="602"/>
      <c r="AM3" s="600"/>
      <c r="AN3" s="606"/>
      <c r="AO3" s="606">
        <v>139.45061680000001</v>
      </c>
      <c r="AP3" s="604"/>
      <c r="AQ3" s="607">
        <f t="shared" ref="AQ3:AQ20" si="0">C3+H3+L3+AA3+AB3+AN3+AO3+AP3</f>
        <v>12100.540830096908</v>
      </c>
      <c r="AS3" s="4"/>
    </row>
    <row r="4" spans="1:45" s="3" customFormat="1" ht="12.75" customHeight="1">
      <c r="A4" s="595" t="s">
        <v>122</v>
      </c>
      <c r="B4" s="596"/>
      <c r="C4" s="597">
        <f>SUM(D4:G4)</f>
        <v>15.186580890896002</v>
      </c>
      <c r="D4" s="598">
        <v>0</v>
      </c>
      <c r="E4" s="608">
        <v>14.097722162000002</v>
      </c>
      <c r="F4" s="600"/>
      <c r="G4" s="600">
        <v>1.0888587288959999</v>
      </c>
      <c r="H4" s="601">
        <f>SUM(I4:K4)</f>
        <v>7.0330680000000001</v>
      </c>
      <c r="I4" s="602"/>
      <c r="J4" s="603"/>
      <c r="K4" s="603">
        <v>7.0330680000000001</v>
      </c>
      <c r="L4" s="601">
        <f>SUM(M4:Z4)</f>
        <v>1717.0624747879344</v>
      </c>
      <c r="M4" s="602">
        <v>0</v>
      </c>
      <c r="N4" s="602">
        <v>0</v>
      </c>
      <c r="O4" s="603"/>
      <c r="P4" s="603">
        <v>364.52221864444448</v>
      </c>
      <c r="Q4" s="603">
        <v>21.672508399360005</v>
      </c>
      <c r="R4" s="603">
        <v>156.29379915984001</v>
      </c>
      <c r="S4" s="603">
        <v>986.60611760112999</v>
      </c>
      <c r="T4" s="603">
        <v>35.289733288720633</v>
      </c>
      <c r="U4" s="603">
        <v>102.14625414775992</v>
      </c>
      <c r="V4" s="603">
        <v>2.9088437938490893E-3</v>
      </c>
      <c r="W4" s="600">
        <v>36.297317128453038</v>
      </c>
      <c r="X4" s="600">
        <v>5.4694689952000006</v>
      </c>
      <c r="Y4" s="600">
        <v>1.8500297569930473E-2</v>
      </c>
      <c r="Z4" s="603">
        <v>8.7436482816626366</v>
      </c>
      <c r="AA4" s="601">
        <v>0</v>
      </c>
      <c r="AB4" s="604">
        <f>SUM(AC4:AM4)</f>
        <v>9.4476585178560004</v>
      </c>
      <c r="AC4" s="605"/>
      <c r="AD4" s="603"/>
      <c r="AE4" s="603">
        <v>0.41264639999999991</v>
      </c>
      <c r="AF4" s="603"/>
      <c r="AG4" s="603"/>
      <c r="AH4" s="603"/>
      <c r="AI4" s="603">
        <v>9.0350121178560006</v>
      </c>
      <c r="AJ4" s="603">
        <v>0</v>
      </c>
      <c r="AK4" s="602"/>
      <c r="AL4" s="602"/>
      <c r="AM4" s="600"/>
      <c r="AN4" s="606"/>
      <c r="AO4" s="606">
        <v>141.83539077999998</v>
      </c>
      <c r="AP4" s="604"/>
      <c r="AQ4" s="607">
        <f t="shared" si="0"/>
        <v>1890.5651729766864</v>
      </c>
      <c r="AS4" s="4"/>
    </row>
    <row r="5" spans="1:45" s="3" customFormat="1" ht="12.75" customHeight="1">
      <c r="A5" s="595" t="s">
        <v>123</v>
      </c>
      <c r="B5" s="596"/>
      <c r="C5" s="597">
        <f>SUM(D5:G5)</f>
        <v>0</v>
      </c>
      <c r="D5" s="598"/>
      <c r="E5" s="608"/>
      <c r="F5" s="600"/>
      <c r="G5" s="600"/>
      <c r="H5" s="601">
        <f>SUM(I5:K5)</f>
        <v>0</v>
      </c>
      <c r="I5" s="602"/>
      <c r="J5" s="603"/>
      <c r="K5" s="603"/>
      <c r="L5" s="601">
        <f>SUM(M5:Z5)</f>
        <v>162.14899063248015</v>
      </c>
      <c r="M5" s="602"/>
      <c r="N5" s="602"/>
      <c r="O5" s="603"/>
      <c r="P5" s="603"/>
      <c r="Q5" s="603"/>
      <c r="R5" s="603"/>
      <c r="S5" s="603">
        <v>15.730078096892656</v>
      </c>
      <c r="T5" s="603"/>
      <c r="U5" s="603">
        <v>146.41891253558748</v>
      </c>
      <c r="V5" s="603"/>
      <c r="W5" s="600"/>
      <c r="X5" s="600"/>
      <c r="Y5" s="600"/>
      <c r="Z5" s="603"/>
      <c r="AA5" s="601"/>
      <c r="AB5" s="604">
        <f>SUM(AC5:AM5)</f>
        <v>0</v>
      </c>
      <c r="AC5" s="605"/>
      <c r="AD5" s="603"/>
      <c r="AE5" s="603"/>
      <c r="AF5" s="603"/>
      <c r="AG5" s="603"/>
      <c r="AH5" s="603"/>
      <c r="AI5" s="603"/>
      <c r="AJ5" s="603"/>
      <c r="AK5" s="602"/>
      <c r="AL5" s="602"/>
      <c r="AM5" s="600"/>
      <c r="AN5" s="606"/>
      <c r="AO5" s="606"/>
      <c r="AP5" s="604"/>
      <c r="AQ5" s="607">
        <f t="shared" si="0"/>
        <v>162.14899063248015</v>
      </c>
      <c r="AS5" s="4"/>
    </row>
    <row r="6" spans="1:45" s="3" customFormat="1" ht="12.75" customHeight="1" thickBot="1">
      <c r="A6" s="609" t="s">
        <v>124</v>
      </c>
      <c r="B6" s="610"/>
      <c r="C6" s="597">
        <f>SUM(D6:G6)</f>
        <v>-105.50045932171129</v>
      </c>
      <c r="D6" s="611">
        <v>-106.11399866466098</v>
      </c>
      <c r="E6" s="600">
        <v>-0.8079766727235479</v>
      </c>
      <c r="F6" s="612"/>
      <c r="G6" s="612">
        <v>1.4215160156732278</v>
      </c>
      <c r="H6" s="613">
        <f>SUM(I6:K6)</f>
        <v>-122.93905189963694</v>
      </c>
      <c r="I6" s="614">
        <v>-136.53826589963694</v>
      </c>
      <c r="J6" s="614">
        <v>0</v>
      </c>
      <c r="K6" s="614">
        <v>13.599214000000003</v>
      </c>
      <c r="L6" s="613">
        <f>SUM(M6:Z6)</f>
        <v>151.33981188504902</v>
      </c>
      <c r="M6" s="602">
        <v>38.730964773999993</v>
      </c>
      <c r="N6" s="602">
        <v>-8.8751519999999999</v>
      </c>
      <c r="O6" s="603"/>
      <c r="P6" s="603">
        <v>-9.6980083333333713</v>
      </c>
      <c r="Q6" s="603">
        <v>12.883201938880001</v>
      </c>
      <c r="R6" s="603">
        <v>82.12024884504001</v>
      </c>
      <c r="S6" s="603">
        <v>23.637599999999999</v>
      </c>
      <c r="T6" s="603">
        <v>1.4659197380156652</v>
      </c>
      <c r="U6" s="603">
        <v>8.3874136006762399</v>
      </c>
      <c r="V6" s="603">
        <v>3.2040911090633046</v>
      </c>
      <c r="W6" s="612">
        <v>-0.51646778729281662</v>
      </c>
      <c r="X6" s="612">
        <v>0</v>
      </c>
      <c r="Y6" s="612">
        <v>0</v>
      </c>
      <c r="Z6" s="614">
        <v>0</v>
      </c>
      <c r="AA6" s="613">
        <v>0</v>
      </c>
      <c r="AB6" s="615">
        <f>SUM(AC6:AM6)</f>
        <v>4.4601014379600006</v>
      </c>
      <c r="AC6" s="616"/>
      <c r="AD6" s="617"/>
      <c r="AE6" s="617">
        <v>0.26707427819999968</v>
      </c>
      <c r="AF6" s="617"/>
      <c r="AG6" s="617"/>
      <c r="AH6" s="617"/>
      <c r="AI6" s="617">
        <v>1.7828522013120007</v>
      </c>
      <c r="AJ6" s="617">
        <v>2.4101749584479997</v>
      </c>
      <c r="AK6" s="614"/>
      <c r="AL6" s="614"/>
      <c r="AM6" s="612"/>
      <c r="AN6" s="618"/>
      <c r="AO6" s="618"/>
      <c r="AP6" s="615"/>
      <c r="AQ6" s="619">
        <f t="shared" si="0"/>
        <v>-72.639597898339204</v>
      </c>
      <c r="AS6" s="4"/>
    </row>
    <row r="7" spans="1:45" s="6" customFormat="1" ht="12.75" customHeight="1">
      <c r="A7" s="620" t="s">
        <v>125</v>
      </c>
      <c r="B7" s="621"/>
      <c r="C7" s="622">
        <f t="shared" ref="C7:AP7" si="1">C2+C3-C4-C5+C6</f>
        <v>815.10230469829378</v>
      </c>
      <c r="D7" s="623">
        <f t="shared" si="1"/>
        <v>696.13465175193664</v>
      </c>
      <c r="E7" s="624">
        <f t="shared" si="1"/>
        <v>110.47930252567083</v>
      </c>
      <c r="F7" s="624">
        <f t="shared" si="1"/>
        <v>0</v>
      </c>
      <c r="G7" s="624">
        <f t="shared" si="1"/>
        <v>8.4883504206865013</v>
      </c>
      <c r="H7" s="625">
        <f t="shared" si="1"/>
        <v>685.95222908664709</v>
      </c>
      <c r="I7" s="623">
        <f t="shared" si="1"/>
        <v>551.68208308664714</v>
      </c>
      <c r="J7" s="624">
        <f t="shared" si="1"/>
        <v>127.70399999999999</v>
      </c>
      <c r="K7" s="624">
        <f t="shared" si="1"/>
        <v>6.5661460000000034</v>
      </c>
      <c r="L7" s="625">
        <f t="shared" si="1"/>
        <v>7418.9024157535559</v>
      </c>
      <c r="M7" s="623">
        <f t="shared" si="1"/>
        <v>3092.2052611591994</v>
      </c>
      <c r="N7" s="623">
        <f t="shared" si="1"/>
        <v>7.7582254992000017</v>
      </c>
      <c r="O7" s="624">
        <f t="shared" si="1"/>
        <v>0</v>
      </c>
      <c r="P7" s="624">
        <f t="shared" si="1"/>
        <v>190.00805737777765</v>
      </c>
      <c r="Q7" s="624">
        <f t="shared" si="1"/>
        <v>360.76611217919998</v>
      </c>
      <c r="R7" s="624">
        <f t="shared" si="1"/>
        <v>1469.0046832735197</v>
      </c>
      <c r="S7" s="624">
        <f t="shared" si="1"/>
        <v>-895.87064706723163</v>
      </c>
      <c r="T7" s="624">
        <f t="shared" si="1"/>
        <v>123.72255052198433</v>
      </c>
      <c r="U7" s="624">
        <f t="shared" si="1"/>
        <v>2701.2925504229925</v>
      </c>
      <c r="V7" s="624">
        <f t="shared" si="1"/>
        <v>167.68446868289712</v>
      </c>
      <c r="W7" s="624">
        <f t="shared" si="1"/>
        <v>-29.252130973066301</v>
      </c>
      <c r="X7" s="624">
        <f t="shared" si="1"/>
        <v>195.36275312176252</v>
      </c>
      <c r="Y7" s="624">
        <f t="shared" si="1"/>
        <v>1.2096467108549098</v>
      </c>
      <c r="Z7" s="624">
        <f t="shared" si="1"/>
        <v>35.010884844467988</v>
      </c>
      <c r="AA7" s="625">
        <f t="shared" si="1"/>
        <v>4480.2572507256682</v>
      </c>
      <c r="AB7" s="625">
        <f t="shared" si="1"/>
        <v>1476.4875613547667</v>
      </c>
      <c r="AC7" s="623">
        <f t="shared" si="1"/>
        <v>59.691708987970003</v>
      </c>
      <c r="AD7" s="624">
        <f t="shared" si="1"/>
        <v>743.01992281532614</v>
      </c>
      <c r="AE7" s="624">
        <f t="shared" si="1"/>
        <v>272.70521046496276</v>
      </c>
      <c r="AF7" s="624">
        <f t="shared" si="1"/>
        <v>139.99992739520798</v>
      </c>
      <c r="AG7" s="624">
        <f t="shared" si="1"/>
        <v>33.531818868055431</v>
      </c>
      <c r="AH7" s="624">
        <f t="shared" si="1"/>
        <v>16.813132576534866</v>
      </c>
      <c r="AI7" s="624">
        <f t="shared" si="1"/>
        <v>124.01266332172798</v>
      </c>
      <c r="AJ7" s="624">
        <f t="shared" si="1"/>
        <v>27.929372998367999</v>
      </c>
      <c r="AK7" s="626">
        <f t="shared" si="1"/>
        <v>1.4323955643044282</v>
      </c>
      <c r="AL7" s="626">
        <f t="shared" si="1"/>
        <v>13.54608560366562</v>
      </c>
      <c r="AM7" s="623">
        <f t="shared" si="1"/>
        <v>43.805322758643676</v>
      </c>
      <c r="AN7" s="625">
        <f t="shared" si="1"/>
        <v>145.43710297949829</v>
      </c>
      <c r="AO7" s="625">
        <f t="shared" si="1"/>
        <v>-2.3847739799999772</v>
      </c>
      <c r="AP7" s="627">
        <f t="shared" si="1"/>
        <v>0</v>
      </c>
      <c r="AQ7" s="628">
        <f t="shared" si="0"/>
        <v>15019.754090618429</v>
      </c>
      <c r="AR7" s="3"/>
      <c r="AS7" s="5"/>
    </row>
    <row r="8" spans="1:45" s="6" customFormat="1" ht="12.75" customHeight="1" thickBot="1">
      <c r="A8" s="629" t="s">
        <v>126</v>
      </c>
      <c r="B8" s="630"/>
      <c r="C8" s="631">
        <f t="shared" ref="C8:AP8" si="2">C7-C27</f>
        <v>815.10230469829378</v>
      </c>
      <c r="D8" s="632">
        <f t="shared" si="2"/>
        <v>696.13465175193664</v>
      </c>
      <c r="E8" s="633">
        <f t="shared" si="2"/>
        <v>110.47930252567083</v>
      </c>
      <c r="F8" s="634">
        <f t="shared" si="2"/>
        <v>0</v>
      </c>
      <c r="G8" s="634">
        <f t="shared" si="2"/>
        <v>8.4883504206865013</v>
      </c>
      <c r="H8" s="635">
        <f t="shared" si="2"/>
        <v>685.95222908664709</v>
      </c>
      <c r="I8" s="632">
        <f t="shared" si="2"/>
        <v>551.68208308664714</v>
      </c>
      <c r="J8" s="633">
        <f t="shared" si="2"/>
        <v>127.70399999999999</v>
      </c>
      <c r="K8" s="633">
        <f t="shared" si="2"/>
        <v>6.5661460000000034</v>
      </c>
      <c r="L8" s="635">
        <f t="shared" si="2"/>
        <v>7187.3191310764705</v>
      </c>
      <c r="M8" s="632">
        <f t="shared" si="2"/>
        <v>3092.2052611591994</v>
      </c>
      <c r="N8" s="632">
        <f t="shared" si="2"/>
        <v>7.7582254992000017</v>
      </c>
      <c r="O8" s="633">
        <f t="shared" si="2"/>
        <v>0</v>
      </c>
      <c r="P8" s="633">
        <f t="shared" si="2"/>
        <v>190.00805737777765</v>
      </c>
      <c r="Q8" s="633">
        <f t="shared" si="2"/>
        <v>360.76611217919998</v>
      </c>
      <c r="R8" s="633">
        <f t="shared" si="2"/>
        <v>1469.0046832735197</v>
      </c>
      <c r="S8" s="633">
        <f t="shared" si="2"/>
        <v>-895.87064706723163</v>
      </c>
      <c r="T8" s="633">
        <f t="shared" si="2"/>
        <v>123.72255052198433</v>
      </c>
      <c r="U8" s="633">
        <f t="shared" si="2"/>
        <v>2701.2925504229925</v>
      </c>
      <c r="V8" s="633">
        <f t="shared" si="2"/>
        <v>167.68446868289712</v>
      </c>
      <c r="W8" s="634">
        <f t="shared" si="2"/>
        <v>-29.252130973066301</v>
      </c>
      <c r="X8" s="634">
        <f t="shared" si="2"/>
        <v>0</v>
      </c>
      <c r="Y8" s="634">
        <f t="shared" si="2"/>
        <v>0</v>
      </c>
      <c r="Z8" s="633">
        <f t="shared" si="2"/>
        <v>0</v>
      </c>
      <c r="AA8" s="635">
        <f t="shared" si="2"/>
        <v>4480.2572507256682</v>
      </c>
      <c r="AB8" s="636">
        <f t="shared" si="2"/>
        <v>1476.4875613547667</v>
      </c>
      <c r="AC8" s="632">
        <f t="shared" si="2"/>
        <v>59.691708987970003</v>
      </c>
      <c r="AD8" s="633">
        <f t="shared" si="2"/>
        <v>743.01992281532614</v>
      </c>
      <c r="AE8" s="633">
        <f t="shared" si="2"/>
        <v>272.70521046496276</v>
      </c>
      <c r="AF8" s="633">
        <f t="shared" si="2"/>
        <v>139.99992739520798</v>
      </c>
      <c r="AG8" s="633">
        <f t="shared" si="2"/>
        <v>33.531818868055431</v>
      </c>
      <c r="AH8" s="633">
        <f t="shared" si="2"/>
        <v>16.813132576534866</v>
      </c>
      <c r="AI8" s="633">
        <f t="shared" si="2"/>
        <v>124.01266332172798</v>
      </c>
      <c r="AJ8" s="633">
        <f t="shared" si="2"/>
        <v>27.929372998367999</v>
      </c>
      <c r="AK8" s="637">
        <f t="shared" si="2"/>
        <v>1.4323955643044282</v>
      </c>
      <c r="AL8" s="637">
        <f t="shared" si="2"/>
        <v>13.54608560366562</v>
      </c>
      <c r="AM8" s="632">
        <f t="shared" si="2"/>
        <v>43.805322758643676</v>
      </c>
      <c r="AN8" s="635">
        <f t="shared" si="2"/>
        <v>145.43710297949829</v>
      </c>
      <c r="AO8" s="635">
        <f t="shared" si="2"/>
        <v>-2.3847739799999772</v>
      </c>
      <c r="AP8" s="632">
        <f t="shared" si="2"/>
        <v>0</v>
      </c>
      <c r="AQ8" s="638">
        <f t="shared" si="0"/>
        <v>14788.170805941343</v>
      </c>
      <c r="AR8" s="3"/>
      <c r="AS8" s="5"/>
    </row>
    <row r="9" spans="1:45" s="6" customFormat="1" ht="12.75" customHeight="1">
      <c r="A9" s="620" t="s">
        <v>127</v>
      </c>
      <c r="B9" s="621"/>
      <c r="C9" s="622">
        <f t="shared" ref="C9:AP9" si="3">SUM(C10:C14)</f>
        <v>488.64939432989598</v>
      </c>
      <c r="D9" s="626">
        <f t="shared" si="3"/>
        <v>488.64939432989598</v>
      </c>
      <c r="E9" s="624">
        <f t="shared" si="3"/>
        <v>0</v>
      </c>
      <c r="F9" s="639">
        <f t="shared" si="3"/>
        <v>0</v>
      </c>
      <c r="G9" s="639">
        <f t="shared" si="3"/>
        <v>0</v>
      </c>
      <c r="H9" s="625">
        <f t="shared" si="3"/>
        <v>541.02658367795425</v>
      </c>
      <c r="I9" s="626">
        <f t="shared" si="3"/>
        <v>541.02658367795425</v>
      </c>
      <c r="J9" s="624">
        <f t="shared" si="3"/>
        <v>0</v>
      </c>
      <c r="K9" s="624">
        <f t="shared" si="3"/>
        <v>0</v>
      </c>
      <c r="L9" s="625">
        <f t="shared" si="3"/>
        <v>3165.7216476484605</v>
      </c>
      <c r="M9" s="624">
        <f t="shared" si="3"/>
        <v>3092.2052611591994</v>
      </c>
      <c r="N9" s="624">
        <f t="shared" ref="N9" si="4">SUM(N10:N14)</f>
        <v>38.786602361842682</v>
      </c>
      <c r="O9" s="624">
        <f t="shared" si="3"/>
        <v>0</v>
      </c>
      <c r="P9" s="624">
        <f t="shared" si="3"/>
        <v>0</v>
      </c>
      <c r="Q9" s="624">
        <f t="shared" si="3"/>
        <v>0</v>
      </c>
      <c r="R9" s="624">
        <f t="shared" si="3"/>
        <v>0</v>
      </c>
      <c r="S9" s="624">
        <f t="shared" si="3"/>
        <v>25.868327226603597</v>
      </c>
      <c r="T9" s="624">
        <f t="shared" si="3"/>
        <v>0.63499472294399995</v>
      </c>
      <c r="U9" s="624">
        <f t="shared" si="3"/>
        <v>8.2264621778709284</v>
      </c>
      <c r="V9" s="624">
        <f t="shared" si="3"/>
        <v>0</v>
      </c>
      <c r="W9" s="639">
        <f t="shared" si="3"/>
        <v>0</v>
      </c>
      <c r="X9" s="639">
        <f t="shared" si="3"/>
        <v>0</v>
      </c>
      <c r="Y9" s="639">
        <f t="shared" si="3"/>
        <v>0</v>
      </c>
      <c r="Z9" s="624">
        <f t="shared" si="3"/>
        <v>0</v>
      </c>
      <c r="AA9" s="625">
        <f t="shared" si="3"/>
        <v>2501.2994242635782</v>
      </c>
      <c r="AB9" s="623">
        <f t="shared" si="3"/>
        <v>215.90352917717644</v>
      </c>
      <c r="AC9" s="640">
        <f t="shared" si="3"/>
        <v>0</v>
      </c>
      <c r="AD9" s="624">
        <f t="shared" si="3"/>
        <v>0</v>
      </c>
      <c r="AE9" s="624">
        <f t="shared" si="3"/>
        <v>76.028615684916531</v>
      </c>
      <c r="AF9" s="624">
        <f t="shared" ref="AF9" si="5">SUM(AF10:AF14)</f>
        <v>99.30702317107577</v>
      </c>
      <c r="AG9" s="624">
        <f t="shared" si="3"/>
        <v>33.531818868055431</v>
      </c>
      <c r="AH9" s="624">
        <f t="shared" si="3"/>
        <v>7.0360714531287174</v>
      </c>
      <c r="AI9" s="624">
        <f t="shared" si="3"/>
        <v>0</v>
      </c>
      <c r="AJ9" s="624">
        <f t="shared" ref="AJ9" si="6">SUM(AJ10:AJ14)</f>
        <v>0</v>
      </c>
      <c r="AK9" s="626">
        <f t="shared" si="3"/>
        <v>0</v>
      </c>
      <c r="AL9" s="626">
        <f t="shared" ref="AL9" si="7">SUM(AL10:AL14)</f>
        <v>0</v>
      </c>
      <c r="AM9" s="639">
        <f t="shared" si="3"/>
        <v>0</v>
      </c>
      <c r="AN9" s="625">
        <f t="shared" si="3"/>
        <v>90.714163374524205</v>
      </c>
      <c r="AO9" s="625">
        <f t="shared" si="3"/>
        <v>54.38453208</v>
      </c>
      <c r="AP9" s="623">
        <f t="shared" si="3"/>
        <v>0</v>
      </c>
      <c r="AQ9" s="641">
        <f t="shared" si="0"/>
        <v>7057.699274551589</v>
      </c>
      <c r="AR9" s="3"/>
      <c r="AS9" s="5"/>
    </row>
    <row r="10" spans="1:45" s="3" customFormat="1" ht="12.75" customHeight="1">
      <c r="A10" s="642" t="s">
        <v>128</v>
      </c>
      <c r="B10" s="643"/>
      <c r="C10" s="644">
        <f>SUM(D10:G10)</f>
        <v>488.64939432989598</v>
      </c>
      <c r="D10" s="645">
        <v>488.64939432989598</v>
      </c>
      <c r="E10" s="646"/>
      <c r="F10" s="647"/>
      <c r="G10" s="647"/>
      <c r="H10" s="648">
        <f>SUM(I10:K10)</f>
        <v>467.10845991760607</v>
      </c>
      <c r="I10" s="645">
        <v>467.10845991760607</v>
      </c>
      <c r="J10" s="646">
        <v>0</v>
      </c>
      <c r="K10" s="646"/>
      <c r="L10" s="648">
        <f>SUM(M10:Z10)</f>
        <v>34.094789404474525</v>
      </c>
      <c r="M10" s="646"/>
      <c r="N10" s="646"/>
      <c r="O10" s="646"/>
      <c r="P10" s="646"/>
      <c r="Q10" s="646"/>
      <c r="R10" s="646"/>
      <c r="S10" s="646">
        <v>25.868327226603597</v>
      </c>
      <c r="T10" s="646"/>
      <c r="U10" s="646">
        <v>8.2264621778709284</v>
      </c>
      <c r="V10" s="646"/>
      <c r="W10" s="647"/>
      <c r="X10" s="647"/>
      <c r="Y10" s="647"/>
      <c r="Z10" s="646"/>
      <c r="AA10" s="648">
        <v>2187.6033883210698</v>
      </c>
      <c r="AB10" s="649">
        <f>SUM(AC10:AM10)</f>
        <v>205.30590173319058</v>
      </c>
      <c r="AC10" s="650"/>
      <c r="AD10" s="646"/>
      <c r="AE10" s="646">
        <v>72.467059694059387</v>
      </c>
      <c r="AF10" s="646">
        <v>99.30702317107577</v>
      </c>
      <c r="AG10" s="646">
        <v>33.531818868055431</v>
      </c>
      <c r="AH10" s="646"/>
      <c r="AI10" s="646"/>
      <c r="AJ10" s="646"/>
      <c r="AK10" s="645"/>
      <c r="AL10" s="645"/>
      <c r="AM10" s="647"/>
      <c r="AN10" s="651">
        <v>90.714163374524205</v>
      </c>
      <c r="AO10" s="648"/>
      <c r="AP10" s="649"/>
      <c r="AQ10" s="652">
        <f t="shared" si="0"/>
        <v>3473.4760970807611</v>
      </c>
      <c r="AS10" s="4"/>
    </row>
    <row r="11" spans="1:45" s="3" customFormat="1" ht="12.75" customHeight="1">
      <c r="A11" s="595" t="s">
        <v>129</v>
      </c>
      <c r="B11" s="596"/>
      <c r="C11" s="597">
        <f>SUM(D11:G11)</f>
        <v>0</v>
      </c>
      <c r="D11" s="602">
        <v>0</v>
      </c>
      <c r="E11" s="603"/>
      <c r="F11" s="600"/>
      <c r="G11" s="600"/>
      <c r="H11" s="601">
        <f>SUM(I11:K11)</f>
        <v>5.8425469182429177</v>
      </c>
      <c r="I11" s="602">
        <v>5.8425469182429177</v>
      </c>
      <c r="J11" s="603"/>
      <c r="K11" s="603"/>
      <c r="L11" s="601">
        <f>SUM(M11:Z11)</f>
        <v>0.63499472294399995</v>
      </c>
      <c r="M11" s="603"/>
      <c r="N11" s="653"/>
      <c r="O11" s="653">
        <v>0</v>
      </c>
      <c r="P11" s="603"/>
      <c r="Q11" s="603"/>
      <c r="R11" s="603"/>
      <c r="S11" s="603">
        <v>0</v>
      </c>
      <c r="T11" s="603">
        <v>0.63499472294399995</v>
      </c>
      <c r="U11" s="603">
        <v>0</v>
      </c>
      <c r="V11" s="603"/>
      <c r="W11" s="600"/>
      <c r="X11" s="600"/>
      <c r="Y11" s="600"/>
      <c r="Z11" s="603"/>
      <c r="AA11" s="601">
        <v>272.96145103491432</v>
      </c>
      <c r="AB11" s="604">
        <f>SUM(AC11:AM11)</f>
        <v>10.597627443985861</v>
      </c>
      <c r="AC11" s="605"/>
      <c r="AD11" s="603"/>
      <c r="AE11" s="603">
        <v>3.5615559908571428</v>
      </c>
      <c r="AF11" s="603"/>
      <c r="AG11" s="603"/>
      <c r="AH11" s="603">
        <v>7.0360714531287174</v>
      </c>
      <c r="AI11" s="603"/>
      <c r="AJ11" s="603"/>
      <c r="AK11" s="602"/>
      <c r="AL11" s="602"/>
      <c r="AM11" s="600"/>
      <c r="AN11" s="606"/>
      <c r="AO11" s="606"/>
      <c r="AP11" s="604"/>
      <c r="AQ11" s="607">
        <f t="shared" si="0"/>
        <v>290.03662012008709</v>
      </c>
      <c r="AS11" s="4"/>
    </row>
    <row r="12" spans="1:45" s="3" customFormat="1" ht="12.75" customHeight="1">
      <c r="A12" s="595" t="s">
        <v>130</v>
      </c>
      <c r="B12" s="596"/>
      <c r="C12" s="597"/>
      <c r="D12" s="602"/>
      <c r="E12" s="603"/>
      <c r="F12" s="600"/>
      <c r="G12" s="600"/>
      <c r="H12" s="601"/>
      <c r="I12" s="602"/>
      <c r="J12" s="603"/>
      <c r="K12" s="603"/>
      <c r="L12" s="601"/>
      <c r="M12" s="603"/>
      <c r="N12" s="653"/>
      <c r="O12" s="653"/>
      <c r="P12" s="603"/>
      <c r="Q12" s="603"/>
      <c r="R12" s="603"/>
      <c r="S12" s="603"/>
      <c r="T12" s="603"/>
      <c r="U12" s="603"/>
      <c r="V12" s="603"/>
      <c r="W12" s="600"/>
      <c r="X12" s="600"/>
      <c r="Y12" s="600"/>
      <c r="Z12" s="603"/>
      <c r="AA12" s="601"/>
      <c r="AB12" s="604"/>
      <c r="AC12" s="605"/>
      <c r="AD12" s="603"/>
      <c r="AE12" s="603"/>
      <c r="AF12" s="603"/>
      <c r="AG12" s="603"/>
      <c r="AH12" s="603"/>
      <c r="AI12" s="603"/>
      <c r="AJ12" s="603"/>
      <c r="AK12" s="602"/>
      <c r="AL12" s="602"/>
      <c r="AM12" s="600"/>
      <c r="AN12" s="606"/>
      <c r="AO12" s="606">
        <v>42.942060079999997</v>
      </c>
      <c r="AP12" s="604"/>
      <c r="AQ12" s="607">
        <f t="shared" si="0"/>
        <v>42.942060079999997</v>
      </c>
      <c r="AS12" s="4"/>
    </row>
    <row r="13" spans="1:45" s="3" customFormat="1" ht="12.75" customHeight="1">
      <c r="A13" s="595" t="s">
        <v>131</v>
      </c>
      <c r="B13" s="596"/>
      <c r="C13" s="597">
        <f>SUM(D13:G13)</f>
        <v>0</v>
      </c>
      <c r="D13" s="602"/>
      <c r="E13" s="600"/>
      <c r="F13" s="600"/>
      <c r="G13" s="600"/>
      <c r="H13" s="601">
        <f>SUM(I13:K13)</f>
        <v>68.075576842105264</v>
      </c>
      <c r="I13" s="602">
        <v>68.075576842105264</v>
      </c>
      <c r="J13" s="603"/>
      <c r="K13" s="603"/>
      <c r="L13" s="601">
        <f>SUM(M13:Z13)</f>
        <v>0</v>
      </c>
      <c r="M13" s="603"/>
      <c r="N13" s="603"/>
      <c r="O13" s="603"/>
      <c r="P13" s="603"/>
      <c r="Q13" s="603"/>
      <c r="R13" s="603"/>
      <c r="S13" s="603"/>
      <c r="T13" s="603"/>
      <c r="U13" s="603"/>
      <c r="V13" s="603"/>
      <c r="W13" s="600"/>
      <c r="X13" s="600"/>
      <c r="Y13" s="600"/>
      <c r="Z13" s="603"/>
      <c r="AA13" s="601"/>
      <c r="AB13" s="604">
        <f>SUM(AC13:AM13)</f>
        <v>0</v>
      </c>
      <c r="AC13" s="605"/>
      <c r="AD13" s="603"/>
      <c r="AE13" s="603"/>
      <c r="AF13" s="603"/>
      <c r="AG13" s="603"/>
      <c r="AH13" s="603"/>
      <c r="AI13" s="603"/>
      <c r="AJ13" s="603"/>
      <c r="AK13" s="602"/>
      <c r="AL13" s="602"/>
      <c r="AM13" s="600"/>
      <c r="AN13" s="606"/>
      <c r="AO13" s="606"/>
      <c r="AP13" s="604"/>
      <c r="AQ13" s="607">
        <f t="shared" si="0"/>
        <v>68.075576842105264</v>
      </c>
      <c r="AS13" s="4"/>
    </row>
    <row r="14" spans="1:45" s="3" customFormat="1" ht="12.75" customHeight="1">
      <c r="A14" s="654" t="s">
        <v>132</v>
      </c>
      <c r="B14" s="655"/>
      <c r="C14" s="656">
        <f>SUM(D14:G14)</f>
        <v>0</v>
      </c>
      <c r="D14" s="657"/>
      <c r="E14" s="658"/>
      <c r="F14" s="659"/>
      <c r="G14" s="659"/>
      <c r="H14" s="660">
        <f>SUM(I14:K14)</f>
        <v>0</v>
      </c>
      <c r="I14" s="657"/>
      <c r="J14" s="658"/>
      <c r="K14" s="658"/>
      <c r="L14" s="660">
        <f>SUM(M14:Z14)</f>
        <v>3130.991863521042</v>
      </c>
      <c r="M14" s="658">
        <v>3092.2052611591994</v>
      </c>
      <c r="N14" s="658">
        <v>38.786602361842682</v>
      </c>
      <c r="O14" s="658"/>
      <c r="P14" s="658"/>
      <c r="Q14" s="658"/>
      <c r="R14" s="658"/>
      <c r="S14" s="658"/>
      <c r="T14" s="658"/>
      <c r="U14" s="658"/>
      <c r="V14" s="658"/>
      <c r="W14" s="659"/>
      <c r="X14" s="659"/>
      <c r="Y14" s="659"/>
      <c r="Z14" s="658"/>
      <c r="AA14" s="660">
        <v>40.734584907594211</v>
      </c>
      <c r="AB14" s="661">
        <f>SUM(AC14:AM14)</f>
        <v>0</v>
      </c>
      <c r="AC14" s="662"/>
      <c r="AD14" s="658"/>
      <c r="AE14" s="658"/>
      <c r="AF14" s="658"/>
      <c r="AG14" s="658"/>
      <c r="AH14" s="658"/>
      <c r="AI14" s="658"/>
      <c r="AJ14" s="658"/>
      <c r="AK14" s="657"/>
      <c r="AL14" s="657"/>
      <c r="AM14" s="659"/>
      <c r="AN14" s="663"/>
      <c r="AO14" s="663">
        <v>11.442471999999999</v>
      </c>
      <c r="AP14" s="661"/>
      <c r="AQ14" s="664">
        <f t="shared" si="0"/>
        <v>3183.1689204286363</v>
      </c>
      <c r="AS14" s="4"/>
    </row>
    <row r="15" spans="1:45" s="6" customFormat="1" ht="12.75" customHeight="1">
      <c r="A15" s="665" t="s">
        <v>133</v>
      </c>
      <c r="B15" s="666"/>
      <c r="C15" s="667">
        <f t="shared" ref="C15:AP15" si="8">SUM(C16:C20)</f>
        <v>0</v>
      </c>
      <c r="D15" s="668">
        <f t="shared" si="8"/>
        <v>0</v>
      </c>
      <c r="E15" s="669">
        <f t="shared" si="8"/>
        <v>0</v>
      </c>
      <c r="F15" s="670">
        <f t="shared" si="8"/>
        <v>0</v>
      </c>
      <c r="G15" s="670">
        <f t="shared" si="8"/>
        <v>0</v>
      </c>
      <c r="H15" s="671">
        <f t="shared" si="8"/>
        <v>64.671797999999995</v>
      </c>
      <c r="I15" s="668">
        <f t="shared" si="8"/>
        <v>0</v>
      </c>
      <c r="J15" s="669">
        <f t="shared" si="8"/>
        <v>0</v>
      </c>
      <c r="K15" s="669">
        <f t="shared" si="8"/>
        <v>64.671797999999995</v>
      </c>
      <c r="L15" s="671">
        <f t="shared" si="8"/>
        <v>3166.7858692089685</v>
      </c>
      <c r="M15" s="669">
        <f t="shared" si="8"/>
        <v>0</v>
      </c>
      <c r="N15" s="669">
        <f t="shared" si="8"/>
        <v>0</v>
      </c>
      <c r="O15" s="669">
        <f t="shared" si="8"/>
        <v>90.017983923640699</v>
      </c>
      <c r="P15" s="669">
        <f t="shared" si="8"/>
        <v>640.53679657777786</v>
      </c>
      <c r="Q15" s="669">
        <f t="shared" si="8"/>
        <v>226.77459106847999</v>
      </c>
      <c r="R15" s="669">
        <f t="shared" si="8"/>
        <v>0</v>
      </c>
      <c r="S15" s="669">
        <f t="shared" si="8"/>
        <v>960.95017928079096</v>
      </c>
      <c r="T15" s="669">
        <f t="shared" si="8"/>
        <v>64.797462901984332</v>
      </c>
      <c r="U15" s="669">
        <f t="shared" si="8"/>
        <v>1146.9502117491124</v>
      </c>
      <c r="V15" s="669">
        <f t="shared" si="8"/>
        <v>0</v>
      </c>
      <c r="W15" s="670">
        <f t="shared" si="8"/>
        <v>36.758643707182323</v>
      </c>
      <c r="X15" s="670">
        <f t="shared" si="8"/>
        <v>0</v>
      </c>
      <c r="Y15" s="670">
        <f t="shared" si="8"/>
        <v>0</v>
      </c>
      <c r="Z15" s="669">
        <f t="shared" si="8"/>
        <v>0</v>
      </c>
      <c r="AA15" s="671">
        <f t="shared" si="8"/>
        <v>0</v>
      </c>
      <c r="AB15" s="672">
        <f t="shared" si="8"/>
        <v>0</v>
      </c>
      <c r="AC15" s="673">
        <f t="shared" si="8"/>
        <v>0</v>
      </c>
      <c r="AD15" s="669">
        <f t="shared" si="8"/>
        <v>0</v>
      </c>
      <c r="AE15" s="669">
        <f t="shared" si="8"/>
        <v>0</v>
      </c>
      <c r="AF15" s="669">
        <f t="shared" si="8"/>
        <v>0</v>
      </c>
      <c r="AG15" s="674">
        <f t="shared" si="8"/>
        <v>0</v>
      </c>
      <c r="AH15" s="674">
        <f t="shared" si="8"/>
        <v>0</v>
      </c>
      <c r="AI15" s="674">
        <f t="shared" si="8"/>
        <v>0</v>
      </c>
      <c r="AJ15" s="674">
        <f t="shared" si="8"/>
        <v>0</v>
      </c>
      <c r="AK15" s="668">
        <f t="shared" si="8"/>
        <v>0</v>
      </c>
      <c r="AL15" s="668">
        <f t="shared" si="8"/>
        <v>0</v>
      </c>
      <c r="AM15" s="670">
        <f t="shared" si="8"/>
        <v>0</v>
      </c>
      <c r="AN15" s="671">
        <f t="shared" si="8"/>
        <v>0</v>
      </c>
      <c r="AO15" s="671">
        <f t="shared" si="8"/>
        <v>1873.361490524092</v>
      </c>
      <c r="AP15" s="672">
        <f t="shared" si="8"/>
        <v>0</v>
      </c>
      <c r="AQ15" s="675">
        <f t="shared" si="0"/>
        <v>5104.8191577330599</v>
      </c>
      <c r="AR15" s="3"/>
      <c r="AS15" s="5"/>
    </row>
    <row r="16" spans="1:45" s="8" customFormat="1" ht="12.75" customHeight="1">
      <c r="A16" s="642" t="s">
        <v>128</v>
      </c>
      <c r="B16" s="643"/>
      <c r="C16" s="644">
        <f>SUM(D16:G16)</f>
        <v>0</v>
      </c>
      <c r="D16" s="645"/>
      <c r="E16" s="646"/>
      <c r="F16" s="647"/>
      <c r="G16" s="647"/>
      <c r="H16" s="648">
        <f>SUM(I16:K16)</f>
        <v>0</v>
      </c>
      <c r="I16" s="645"/>
      <c r="J16" s="646"/>
      <c r="K16" s="646"/>
      <c r="L16" s="648">
        <f>SUM(M16:Z16)</f>
        <v>0</v>
      </c>
      <c r="M16" s="646"/>
      <c r="N16" s="646"/>
      <c r="O16" s="646"/>
      <c r="P16" s="646"/>
      <c r="Q16" s="646"/>
      <c r="R16" s="646"/>
      <c r="S16" s="646"/>
      <c r="T16" s="646"/>
      <c r="U16" s="646"/>
      <c r="V16" s="646"/>
      <c r="W16" s="647"/>
      <c r="X16" s="647"/>
      <c r="Y16" s="647"/>
      <c r="Z16" s="646"/>
      <c r="AA16" s="648"/>
      <c r="AB16" s="649">
        <f>SUM(AC16:AL16)</f>
        <v>0</v>
      </c>
      <c r="AC16" s="650"/>
      <c r="AD16" s="646"/>
      <c r="AE16" s="646"/>
      <c r="AF16" s="646"/>
      <c r="AG16" s="653"/>
      <c r="AH16" s="653"/>
      <c r="AI16" s="653"/>
      <c r="AJ16" s="653"/>
      <c r="AK16" s="645"/>
      <c r="AL16" s="645"/>
      <c r="AM16" s="647"/>
      <c r="AN16" s="651"/>
      <c r="AO16" s="651">
        <v>1667.7865923774164</v>
      </c>
      <c r="AP16" s="649"/>
      <c r="AQ16" s="676">
        <f>C16+H16+L16+AA16+AO16+AP16</f>
        <v>1667.7865923774164</v>
      </c>
      <c r="AR16" s="3"/>
      <c r="AS16" s="7"/>
    </row>
    <row r="17" spans="1:45" s="8" customFormat="1" ht="12.75" customHeight="1">
      <c r="A17" s="595" t="s">
        <v>129</v>
      </c>
      <c r="B17" s="596"/>
      <c r="C17" s="597">
        <f>SUM(D17:G17)</f>
        <v>0</v>
      </c>
      <c r="D17" s="602"/>
      <c r="E17" s="603"/>
      <c r="F17" s="600"/>
      <c r="G17" s="600"/>
      <c r="H17" s="601">
        <f>SUM(I17:K17)</f>
        <v>0</v>
      </c>
      <c r="I17" s="602"/>
      <c r="J17" s="603"/>
      <c r="K17" s="603"/>
      <c r="L17" s="601">
        <f>SUM(M17:Z17)</f>
        <v>0</v>
      </c>
      <c r="M17" s="603"/>
      <c r="N17" s="603"/>
      <c r="O17" s="603"/>
      <c r="P17" s="603"/>
      <c r="Q17" s="603"/>
      <c r="R17" s="603"/>
      <c r="S17" s="603"/>
      <c r="T17" s="603"/>
      <c r="U17" s="603"/>
      <c r="V17" s="603"/>
      <c r="W17" s="600"/>
      <c r="X17" s="600"/>
      <c r="Y17" s="600"/>
      <c r="Z17" s="603"/>
      <c r="AA17" s="601"/>
      <c r="AB17" s="604">
        <f>SUM(AC17:AL17)</f>
        <v>0</v>
      </c>
      <c r="AC17" s="605"/>
      <c r="AD17" s="603"/>
      <c r="AE17" s="603"/>
      <c r="AF17" s="603"/>
      <c r="AG17" s="603"/>
      <c r="AH17" s="603"/>
      <c r="AI17" s="603"/>
      <c r="AJ17" s="603"/>
      <c r="AK17" s="602"/>
      <c r="AL17" s="602"/>
      <c r="AM17" s="600"/>
      <c r="AN17" s="606"/>
      <c r="AO17" s="677">
        <v>185.14395873624346</v>
      </c>
      <c r="AP17" s="604"/>
      <c r="AQ17" s="607">
        <f>C17+H17+L17+AA17+AO17+AP17</f>
        <v>185.14395873624346</v>
      </c>
      <c r="AR17" s="3"/>
      <c r="AS17" s="7"/>
    </row>
    <row r="18" spans="1:45" s="8" customFormat="1" ht="12.75" customHeight="1">
      <c r="A18" s="595" t="s">
        <v>134</v>
      </c>
      <c r="B18" s="596"/>
      <c r="C18" s="597"/>
      <c r="D18" s="602"/>
      <c r="E18" s="603"/>
      <c r="F18" s="600"/>
      <c r="G18" s="600"/>
      <c r="H18" s="601"/>
      <c r="I18" s="602"/>
      <c r="J18" s="603"/>
      <c r="K18" s="603"/>
      <c r="L18" s="601"/>
      <c r="M18" s="603"/>
      <c r="N18" s="603"/>
      <c r="O18" s="603"/>
      <c r="P18" s="603"/>
      <c r="Q18" s="603"/>
      <c r="R18" s="603"/>
      <c r="S18" s="603"/>
      <c r="T18" s="603"/>
      <c r="U18" s="603"/>
      <c r="V18" s="603"/>
      <c r="W18" s="600"/>
      <c r="X18" s="600"/>
      <c r="Y18" s="600"/>
      <c r="Z18" s="603"/>
      <c r="AA18" s="601"/>
      <c r="AB18" s="604"/>
      <c r="AC18" s="605"/>
      <c r="AD18" s="603"/>
      <c r="AE18" s="603"/>
      <c r="AF18" s="603"/>
      <c r="AG18" s="603"/>
      <c r="AH18" s="603"/>
      <c r="AI18" s="603"/>
      <c r="AJ18" s="603"/>
      <c r="AK18" s="602"/>
      <c r="AL18" s="602"/>
      <c r="AM18" s="600"/>
      <c r="AN18" s="606"/>
      <c r="AO18" s="606">
        <v>20.430939410432</v>
      </c>
      <c r="AP18" s="604"/>
      <c r="AQ18" s="607">
        <f t="shared" si="0"/>
        <v>20.430939410432</v>
      </c>
      <c r="AR18" s="3"/>
      <c r="AS18" s="7"/>
    </row>
    <row r="19" spans="1:45" s="8" customFormat="1" ht="12.75" customHeight="1">
      <c r="A19" s="595" t="s">
        <v>131</v>
      </c>
      <c r="B19" s="596"/>
      <c r="C19" s="597"/>
      <c r="D19" s="84"/>
      <c r="E19" s="603"/>
      <c r="F19" s="600"/>
      <c r="G19" s="600"/>
      <c r="H19" s="601">
        <f>SUM(I19:K19)</f>
        <v>64.671797999999995</v>
      </c>
      <c r="I19" s="602"/>
      <c r="J19" s="603"/>
      <c r="K19" s="603">
        <v>64.671797999999995</v>
      </c>
      <c r="L19" s="601">
        <f>SUM(M19:Z19)</f>
        <v>0</v>
      </c>
      <c r="M19" s="603"/>
      <c r="N19" s="603"/>
      <c r="O19" s="603"/>
      <c r="P19" s="603"/>
      <c r="Q19" s="603"/>
      <c r="R19" s="603"/>
      <c r="S19" s="603"/>
      <c r="T19" s="603"/>
      <c r="U19" s="603"/>
      <c r="V19" s="603"/>
      <c r="W19" s="600"/>
      <c r="X19" s="600"/>
      <c r="Y19" s="600"/>
      <c r="Z19" s="603"/>
      <c r="AA19" s="601"/>
      <c r="AB19" s="604">
        <f>SUM(AC19:AL19)</f>
        <v>0</v>
      </c>
      <c r="AC19" s="605"/>
      <c r="AD19" s="603"/>
      <c r="AE19" s="603"/>
      <c r="AF19" s="603"/>
      <c r="AG19" s="603"/>
      <c r="AH19" s="603"/>
      <c r="AI19" s="603"/>
      <c r="AJ19" s="603"/>
      <c r="AK19" s="602"/>
      <c r="AL19" s="602"/>
      <c r="AM19" s="600"/>
      <c r="AN19" s="606"/>
      <c r="AO19" s="606"/>
      <c r="AP19" s="604"/>
      <c r="AQ19" s="607">
        <f t="shared" si="0"/>
        <v>64.671797999999995</v>
      </c>
      <c r="AR19" s="3"/>
      <c r="AS19" s="7"/>
    </row>
    <row r="20" spans="1:45" s="8" customFormat="1" ht="12.75" customHeight="1">
      <c r="A20" s="654" t="s">
        <v>135</v>
      </c>
      <c r="B20" s="655"/>
      <c r="C20" s="656"/>
      <c r="D20" s="657"/>
      <c r="E20" s="658"/>
      <c r="F20" s="659"/>
      <c r="G20" s="659"/>
      <c r="H20" s="660">
        <f>SUM(I20:K20)</f>
        <v>0</v>
      </c>
      <c r="I20" s="657"/>
      <c r="J20" s="658"/>
      <c r="K20" s="658"/>
      <c r="L20" s="660">
        <f>SUM(M20:Z20)</f>
        <v>3166.7858692089685</v>
      </c>
      <c r="M20" s="658"/>
      <c r="N20" s="658"/>
      <c r="O20" s="658">
        <v>90.017983923640699</v>
      </c>
      <c r="P20" s="658">
        <v>640.53679657777786</v>
      </c>
      <c r="Q20" s="658">
        <v>226.77459106847999</v>
      </c>
      <c r="R20" s="658">
        <v>0</v>
      </c>
      <c r="S20" s="658">
        <v>960.95017928079096</v>
      </c>
      <c r="T20" s="658">
        <v>64.797462901984332</v>
      </c>
      <c r="U20" s="658">
        <v>1146.9502117491124</v>
      </c>
      <c r="V20" s="658"/>
      <c r="W20" s="659">
        <v>36.758643707182323</v>
      </c>
      <c r="X20" s="659"/>
      <c r="Y20" s="659"/>
      <c r="Z20" s="658"/>
      <c r="AA20" s="660"/>
      <c r="AB20" s="661">
        <f>SUM(AC20:AL20)</f>
        <v>0</v>
      </c>
      <c r="AC20" s="662"/>
      <c r="AD20" s="658"/>
      <c r="AE20" s="658"/>
      <c r="AF20" s="658"/>
      <c r="AG20" s="658"/>
      <c r="AH20" s="658"/>
      <c r="AI20" s="658"/>
      <c r="AJ20" s="658"/>
      <c r="AK20" s="657"/>
      <c r="AL20" s="657"/>
      <c r="AM20" s="659"/>
      <c r="AN20" s="663"/>
      <c r="AO20" s="663"/>
      <c r="AP20" s="661"/>
      <c r="AQ20" s="664">
        <f t="shared" si="0"/>
        <v>3166.7858692089685</v>
      </c>
      <c r="AR20" s="3"/>
      <c r="AS20" s="7"/>
    </row>
    <row r="21" spans="1:45" s="8" customFormat="1" ht="12.75" customHeight="1">
      <c r="A21" s="678" t="s">
        <v>136</v>
      </c>
      <c r="B21" s="679"/>
      <c r="C21" s="680">
        <f>SUM(C22:C24)</f>
        <v>22.240061570656763</v>
      </c>
      <c r="D21" s="681">
        <f>SUM(D22:D24)</f>
        <v>-17.141361188350004</v>
      </c>
      <c r="E21" s="682">
        <f>SUM(E22:E24)</f>
        <v>39.381422759006767</v>
      </c>
      <c r="F21" s="683">
        <f>SUM(F22:F24)</f>
        <v>0</v>
      </c>
      <c r="G21" s="683">
        <f>SUM(G22:G24)</f>
        <v>0</v>
      </c>
      <c r="H21" s="684">
        <f>SUM(I21:K21)</f>
        <v>0</v>
      </c>
      <c r="I21" s="681">
        <f>SUM(I22:I24)</f>
        <v>0</v>
      </c>
      <c r="J21" s="682">
        <f>SUM(J22:J24)</f>
        <v>0</v>
      </c>
      <c r="K21" s="682">
        <f>SUM(K22:K24)</f>
        <v>0</v>
      </c>
      <c r="L21" s="684">
        <f>SUM(M21:Z21)</f>
        <v>-24.953759699422424</v>
      </c>
      <c r="M21" s="682">
        <f t="shared" ref="M21:AQ21" si="9">SUM(M22:M24)</f>
        <v>0</v>
      </c>
      <c r="N21" s="682">
        <f t="shared" si="9"/>
        <v>30.880435114089789</v>
      </c>
      <c r="O21" s="682">
        <f t="shared" si="9"/>
        <v>0</v>
      </c>
      <c r="P21" s="682">
        <f t="shared" si="9"/>
        <v>-31.080771455555681</v>
      </c>
      <c r="Q21" s="682">
        <f t="shared" si="9"/>
        <v>374.46366644960005</v>
      </c>
      <c r="R21" s="682">
        <f t="shared" si="9"/>
        <v>-373.64776418279996</v>
      </c>
      <c r="S21" s="682">
        <f t="shared" si="9"/>
        <v>0</v>
      </c>
      <c r="T21" s="682">
        <f t="shared" si="9"/>
        <v>0</v>
      </c>
      <c r="U21" s="682">
        <f t="shared" si="9"/>
        <v>-3.3292640540998377</v>
      </c>
      <c r="V21" s="682">
        <f t="shared" si="9"/>
        <v>-22.240061570656767</v>
      </c>
      <c r="W21" s="683">
        <f t="shared" si="9"/>
        <v>0</v>
      </c>
      <c r="X21" s="683">
        <f t="shared" si="9"/>
        <v>0</v>
      </c>
      <c r="Y21" s="683">
        <f t="shared" si="9"/>
        <v>0</v>
      </c>
      <c r="Z21" s="682">
        <f t="shared" si="9"/>
        <v>0</v>
      </c>
      <c r="AA21" s="684">
        <f t="shared" si="9"/>
        <v>0</v>
      </c>
      <c r="AB21" s="685">
        <f t="shared" si="9"/>
        <v>-804.14402736760053</v>
      </c>
      <c r="AC21" s="686">
        <f t="shared" si="9"/>
        <v>-59.691708987970003</v>
      </c>
      <c r="AD21" s="682">
        <f t="shared" si="9"/>
        <v>-743.01992281532614</v>
      </c>
      <c r="AE21" s="682">
        <f t="shared" si="9"/>
        <v>0</v>
      </c>
      <c r="AF21" s="682">
        <f t="shared" si="9"/>
        <v>0</v>
      </c>
      <c r="AG21" s="687">
        <f t="shared" si="9"/>
        <v>0</v>
      </c>
      <c r="AH21" s="687">
        <f t="shared" si="9"/>
        <v>0</v>
      </c>
      <c r="AI21" s="687">
        <f t="shared" si="9"/>
        <v>0</v>
      </c>
      <c r="AJ21" s="687">
        <f t="shared" si="9"/>
        <v>0</v>
      </c>
      <c r="AK21" s="681">
        <f t="shared" si="9"/>
        <v>-1.4323955643044282</v>
      </c>
      <c r="AL21" s="687">
        <f t="shared" si="9"/>
        <v>0</v>
      </c>
      <c r="AM21" s="683">
        <f t="shared" si="9"/>
        <v>0</v>
      </c>
      <c r="AN21" s="688">
        <f t="shared" si="9"/>
        <v>0</v>
      </c>
      <c r="AO21" s="684">
        <f t="shared" si="9"/>
        <v>804.14402736760053</v>
      </c>
      <c r="AP21" s="685">
        <f t="shared" si="9"/>
        <v>0</v>
      </c>
      <c r="AQ21" s="689">
        <f t="shared" si="9"/>
        <v>-2.7136981287656603</v>
      </c>
      <c r="AR21" s="3"/>
      <c r="AS21" s="7"/>
    </row>
    <row r="22" spans="1:45" s="8" customFormat="1" ht="12.75" customHeight="1">
      <c r="A22" s="642" t="s">
        <v>137</v>
      </c>
      <c r="B22" s="643"/>
      <c r="C22" s="690"/>
      <c r="D22" s="691"/>
      <c r="E22" s="692"/>
      <c r="F22" s="647"/>
      <c r="G22" s="647"/>
      <c r="H22" s="648"/>
      <c r="I22" s="693"/>
      <c r="J22" s="646"/>
      <c r="K22" s="646"/>
      <c r="L22" s="648"/>
      <c r="M22" s="646"/>
      <c r="N22" s="646"/>
      <c r="O22" s="646"/>
      <c r="P22" s="646"/>
      <c r="Q22" s="646"/>
      <c r="R22" s="646"/>
      <c r="S22" s="646"/>
      <c r="T22" s="646"/>
      <c r="U22" s="646"/>
      <c r="V22" s="646"/>
      <c r="W22" s="647"/>
      <c r="X22" s="647"/>
      <c r="Y22" s="647"/>
      <c r="Z22" s="646"/>
      <c r="AA22" s="648"/>
      <c r="AB22" s="649">
        <f>SUM(AC22:AM22)</f>
        <v>-804.14402736760053</v>
      </c>
      <c r="AC22" s="650">
        <f>-AC2</f>
        <v>-59.691708987970003</v>
      </c>
      <c r="AD22" s="646">
        <f>-AD2</f>
        <v>-743.01992281532614</v>
      </c>
      <c r="AE22" s="646"/>
      <c r="AF22" s="646"/>
      <c r="AG22" s="653"/>
      <c r="AH22" s="653"/>
      <c r="AI22" s="653"/>
      <c r="AJ22" s="653"/>
      <c r="AK22" s="645">
        <v>-1.4323955643044282</v>
      </c>
      <c r="AL22" s="653"/>
      <c r="AM22" s="647"/>
      <c r="AN22" s="651"/>
      <c r="AO22" s="648">
        <f>-(C22+H22+L22+AA22+AB22)</f>
        <v>804.14402736760053</v>
      </c>
      <c r="AP22" s="649"/>
      <c r="AQ22" s="676">
        <f>C22+H22+L22+AA22+AB22+AN22+AO22+AP22</f>
        <v>0</v>
      </c>
      <c r="AR22" s="3"/>
      <c r="AS22" s="7"/>
    </row>
    <row r="23" spans="1:45" s="8" customFormat="1" ht="12.75" customHeight="1">
      <c r="A23" s="694" t="s">
        <v>138</v>
      </c>
      <c r="B23" s="666"/>
      <c r="C23" s="695"/>
      <c r="D23" s="696"/>
      <c r="E23" s="669"/>
      <c r="F23" s="697"/>
      <c r="G23" s="697"/>
      <c r="H23" s="671"/>
      <c r="I23" s="698"/>
      <c r="J23" s="699"/>
      <c r="K23" s="699"/>
      <c r="L23" s="671"/>
      <c r="M23" s="699"/>
      <c r="N23" s="699"/>
      <c r="O23" s="699"/>
      <c r="P23" s="699"/>
      <c r="Q23" s="699"/>
      <c r="R23" s="699"/>
      <c r="S23" s="699"/>
      <c r="T23" s="699"/>
      <c r="U23" s="699"/>
      <c r="V23" s="699"/>
      <c r="W23" s="697"/>
      <c r="X23" s="697"/>
      <c r="Y23" s="697"/>
      <c r="Z23" s="699"/>
      <c r="AA23" s="671"/>
      <c r="AB23" s="672"/>
      <c r="AC23" s="700"/>
      <c r="AD23" s="699"/>
      <c r="AE23" s="699"/>
      <c r="AF23" s="699"/>
      <c r="AG23" s="699"/>
      <c r="AH23" s="699"/>
      <c r="AI23" s="699"/>
      <c r="AJ23" s="699"/>
      <c r="AK23" s="701"/>
      <c r="AL23" s="701"/>
      <c r="AM23" s="697"/>
      <c r="AN23" s="702"/>
      <c r="AO23" s="671"/>
      <c r="AP23" s="672"/>
      <c r="AQ23" s="703">
        <f>C23+H23+L23+AA23+AB23+AN23+AO23+AP23</f>
        <v>0</v>
      </c>
      <c r="AR23" s="3"/>
      <c r="AS23" s="7"/>
    </row>
    <row r="24" spans="1:45" s="8" customFormat="1" ht="12.75" customHeight="1" thickBot="1">
      <c r="A24" s="609" t="s">
        <v>139</v>
      </c>
      <c r="B24" s="610"/>
      <c r="C24" s="704">
        <f>SUM(D24:G24)</f>
        <v>22.240061570656763</v>
      </c>
      <c r="D24" s="705">
        <v>-17.141361188350004</v>
      </c>
      <c r="E24" s="617">
        <f>-D24-V24</f>
        <v>39.381422759006767</v>
      </c>
      <c r="F24" s="612"/>
      <c r="G24" s="612"/>
      <c r="H24" s="613"/>
      <c r="I24" s="706"/>
      <c r="J24" s="617"/>
      <c r="K24" s="617"/>
      <c r="L24" s="613">
        <f>SUM(N24:Z24)</f>
        <v>-24.953759699422424</v>
      </c>
      <c r="M24" s="617"/>
      <c r="N24" s="617">
        <v>30.880435114089789</v>
      </c>
      <c r="O24" s="617"/>
      <c r="P24" s="617">
        <v>-31.080771455555681</v>
      </c>
      <c r="Q24" s="617">
        <v>374.46366644960005</v>
      </c>
      <c r="R24" s="617">
        <v>-373.64776418279996</v>
      </c>
      <c r="S24" s="617">
        <v>0</v>
      </c>
      <c r="T24" s="617"/>
      <c r="U24" s="617">
        <v>-3.3292640540998377</v>
      </c>
      <c r="V24" s="612">
        <v>-22.240061570656767</v>
      </c>
      <c r="W24" s="612">
        <v>0</v>
      </c>
      <c r="X24" s="612"/>
      <c r="Y24" s="612"/>
      <c r="Z24" s="617"/>
      <c r="AA24" s="613"/>
      <c r="AB24" s="613">
        <f>SUM(AC24:AM24)</f>
        <v>0</v>
      </c>
      <c r="AC24" s="616"/>
      <c r="AD24" s="617"/>
      <c r="AE24" s="617"/>
      <c r="AF24" s="617"/>
      <c r="AG24" s="617"/>
      <c r="AH24" s="617"/>
      <c r="AI24" s="617"/>
      <c r="AJ24" s="617"/>
      <c r="AK24" s="614"/>
      <c r="AL24" s="614"/>
      <c r="AM24" s="612"/>
      <c r="AN24" s="618"/>
      <c r="AO24" s="613"/>
      <c r="AP24" s="615"/>
      <c r="AQ24" s="619">
        <f>C24+H24+L24+AA24+AB24+AN24+AO24+AP24</f>
        <v>-2.7136981287656603</v>
      </c>
      <c r="AR24" s="3"/>
      <c r="AS24" s="7"/>
    </row>
    <row r="25" spans="1:45" s="8" customFormat="1" ht="12.75" customHeight="1" thickBot="1">
      <c r="A25" s="665" t="s">
        <v>140</v>
      </c>
      <c r="B25" s="666"/>
      <c r="C25" s="667">
        <f>SUM(D25:G25)</f>
        <v>0</v>
      </c>
      <c r="D25" s="668"/>
      <c r="E25" s="669"/>
      <c r="F25" s="697"/>
      <c r="G25" s="697"/>
      <c r="H25" s="671">
        <f>SUM(I25:K25)</f>
        <v>10.28324833984202</v>
      </c>
      <c r="I25" s="697">
        <v>10.28324833984202</v>
      </c>
      <c r="J25" s="699"/>
      <c r="K25" s="699"/>
      <c r="L25" s="671">
        <f>SUM(O25:Z25)</f>
        <v>98.284657617035819</v>
      </c>
      <c r="M25" s="699"/>
      <c r="N25" s="699"/>
      <c r="O25" s="699">
        <v>95.274692021714102</v>
      </c>
      <c r="P25" s="699"/>
      <c r="Q25" s="699"/>
      <c r="R25" s="699"/>
      <c r="S25" s="699">
        <v>0</v>
      </c>
      <c r="T25" s="699">
        <v>4.1693256233877908E-3</v>
      </c>
      <c r="U25" s="699">
        <v>3.0057962696983291</v>
      </c>
      <c r="V25" s="699"/>
      <c r="W25" s="697"/>
      <c r="X25" s="697"/>
      <c r="Y25" s="697"/>
      <c r="Z25" s="699"/>
      <c r="AA25" s="671">
        <v>57.528599543766255</v>
      </c>
      <c r="AB25" s="672">
        <f>SUM(AC25:AI25)</f>
        <v>0</v>
      </c>
      <c r="AC25" s="673"/>
      <c r="AD25" s="699"/>
      <c r="AE25" s="699"/>
      <c r="AF25" s="699"/>
      <c r="AG25" s="699"/>
      <c r="AH25" s="699"/>
      <c r="AI25" s="699"/>
      <c r="AJ25" s="699"/>
      <c r="AK25" s="701"/>
      <c r="AL25" s="701"/>
      <c r="AM25" s="697"/>
      <c r="AN25" s="702"/>
      <c r="AO25" s="671">
        <v>259.46681438260055</v>
      </c>
      <c r="AP25" s="672"/>
      <c r="AQ25" s="703">
        <f>C25+H25+L25+AA25+AB25+AN25+AO25+AP25</f>
        <v>425.56331988324462</v>
      </c>
      <c r="AR25" s="3"/>
      <c r="AS25" s="7"/>
    </row>
    <row r="26" spans="1:45" s="6" customFormat="1" ht="12.75" customHeight="1" thickBot="1">
      <c r="A26" s="707" t="s">
        <v>141</v>
      </c>
      <c r="B26" s="708"/>
      <c r="C26" s="709">
        <f t="shared" ref="C26:AP26" si="10">C7-C9+C15+C21-C25</f>
        <v>348.69297193905459</v>
      </c>
      <c r="D26" s="710">
        <f t="shared" si="10"/>
        <v>190.34389623369066</v>
      </c>
      <c r="E26" s="711">
        <f t="shared" si="10"/>
        <v>149.86072528467759</v>
      </c>
      <c r="F26" s="711">
        <f t="shared" si="10"/>
        <v>0</v>
      </c>
      <c r="G26" s="711">
        <f t="shared" si="10"/>
        <v>8.4883504206865013</v>
      </c>
      <c r="H26" s="712">
        <f t="shared" si="10"/>
        <v>199.31419506885081</v>
      </c>
      <c r="I26" s="710">
        <f t="shared" si="10"/>
        <v>0.37225106885087023</v>
      </c>
      <c r="J26" s="711">
        <f t="shared" si="10"/>
        <v>127.70399999999999</v>
      </c>
      <c r="K26" s="711">
        <f t="shared" si="10"/>
        <v>71.237943999999999</v>
      </c>
      <c r="L26" s="712">
        <f t="shared" si="10"/>
        <v>7296.7282199976062</v>
      </c>
      <c r="M26" s="711">
        <f t="shared" si="10"/>
        <v>0</v>
      </c>
      <c r="N26" s="711">
        <f t="shared" si="10"/>
        <v>-0.14794174855289199</v>
      </c>
      <c r="O26" s="711">
        <f t="shared" si="10"/>
        <v>-5.2567080980734033</v>
      </c>
      <c r="P26" s="711">
        <f t="shared" si="10"/>
        <v>799.46408249999979</v>
      </c>
      <c r="Q26" s="711">
        <f t="shared" si="10"/>
        <v>962.00436969728003</v>
      </c>
      <c r="R26" s="711">
        <f t="shared" si="10"/>
        <v>1095.3569190907197</v>
      </c>
      <c r="S26" s="711">
        <f t="shared" si="10"/>
        <v>39.21120498695575</v>
      </c>
      <c r="T26" s="711">
        <f t="shared" si="10"/>
        <v>187.88084937540125</v>
      </c>
      <c r="U26" s="711">
        <f t="shared" si="10"/>
        <v>3833.6812396704358</v>
      </c>
      <c r="V26" s="711">
        <f t="shared" si="10"/>
        <v>145.44440711224036</v>
      </c>
      <c r="W26" s="711">
        <f t="shared" si="10"/>
        <v>7.506512734116022</v>
      </c>
      <c r="X26" s="711">
        <f t="shared" si="10"/>
        <v>195.36275312176252</v>
      </c>
      <c r="Y26" s="711">
        <f t="shared" si="10"/>
        <v>1.2096467108549098</v>
      </c>
      <c r="Z26" s="711">
        <f t="shared" si="10"/>
        <v>35.010884844467988</v>
      </c>
      <c r="AA26" s="712">
        <f t="shared" si="10"/>
        <v>1921.4292269183238</v>
      </c>
      <c r="AB26" s="713">
        <f t="shared" si="10"/>
        <v>456.44000480998989</v>
      </c>
      <c r="AC26" s="640">
        <f t="shared" si="10"/>
        <v>0</v>
      </c>
      <c r="AD26" s="624">
        <f t="shared" si="10"/>
        <v>0</v>
      </c>
      <c r="AE26" s="624">
        <f t="shared" si="10"/>
        <v>196.67659478004623</v>
      </c>
      <c r="AF26" s="624">
        <f t="shared" si="10"/>
        <v>40.692904224132207</v>
      </c>
      <c r="AG26" s="624">
        <f t="shared" si="10"/>
        <v>0</v>
      </c>
      <c r="AH26" s="624">
        <f t="shared" si="10"/>
        <v>9.7770611234061491</v>
      </c>
      <c r="AI26" s="624">
        <f t="shared" si="10"/>
        <v>124.01266332172798</v>
      </c>
      <c r="AJ26" s="624">
        <f t="shared" si="10"/>
        <v>27.929372998367999</v>
      </c>
      <c r="AK26" s="626">
        <f t="shared" si="10"/>
        <v>0</v>
      </c>
      <c r="AL26" s="626">
        <f t="shared" si="10"/>
        <v>13.54608560366562</v>
      </c>
      <c r="AM26" s="714">
        <f t="shared" si="10"/>
        <v>43.805322758643676</v>
      </c>
      <c r="AN26" s="712">
        <f t="shared" si="10"/>
        <v>54.722939604974087</v>
      </c>
      <c r="AO26" s="712">
        <f t="shared" si="10"/>
        <v>2361.2693974490917</v>
      </c>
      <c r="AP26" s="713">
        <f t="shared" si="10"/>
        <v>0</v>
      </c>
      <c r="AQ26" s="715">
        <f>C26+H26+L26+AA26+AB26+AN26+AO26+AP26</f>
        <v>12638.596955787891</v>
      </c>
      <c r="AR26" s="3"/>
      <c r="AS26" s="5"/>
    </row>
    <row r="27" spans="1:45" s="6" customFormat="1" ht="12.75" customHeight="1">
      <c r="A27" s="620" t="s">
        <v>142</v>
      </c>
      <c r="B27" s="621"/>
      <c r="C27" s="622">
        <f t="shared" ref="C27:V27" si="11">C28</f>
        <v>0</v>
      </c>
      <c r="D27" s="626">
        <f t="shared" si="11"/>
        <v>0</v>
      </c>
      <c r="E27" s="624">
        <f t="shared" si="11"/>
        <v>0</v>
      </c>
      <c r="F27" s="639">
        <f t="shared" si="11"/>
        <v>0</v>
      </c>
      <c r="G27" s="639">
        <f t="shared" si="11"/>
        <v>0</v>
      </c>
      <c r="H27" s="625">
        <f t="shared" si="11"/>
        <v>0</v>
      </c>
      <c r="I27" s="626">
        <f t="shared" si="11"/>
        <v>0</v>
      </c>
      <c r="J27" s="624">
        <f t="shared" si="11"/>
        <v>0</v>
      </c>
      <c r="K27" s="624">
        <f t="shared" si="11"/>
        <v>0</v>
      </c>
      <c r="L27" s="625">
        <f t="shared" si="11"/>
        <v>231.58328467708543</v>
      </c>
      <c r="M27" s="624">
        <f t="shared" si="11"/>
        <v>0</v>
      </c>
      <c r="N27" s="624">
        <f t="shared" si="11"/>
        <v>0</v>
      </c>
      <c r="O27" s="624">
        <f t="shared" si="11"/>
        <v>0</v>
      </c>
      <c r="P27" s="624">
        <f t="shared" si="11"/>
        <v>0</v>
      </c>
      <c r="Q27" s="624">
        <f t="shared" si="11"/>
        <v>0</v>
      </c>
      <c r="R27" s="624">
        <f t="shared" si="11"/>
        <v>0</v>
      </c>
      <c r="S27" s="624">
        <f t="shared" si="11"/>
        <v>0</v>
      </c>
      <c r="T27" s="624">
        <f t="shared" si="11"/>
        <v>0</v>
      </c>
      <c r="U27" s="624">
        <f t="shared" si="11"/>
        <v>0</v>
      </c>
      <c r="V27" s="624">
        <f t="shared" si="11"/>
        <v>0</v>
      </c>
      <c r="W27" s="639"/>
      <c r="X27" s="639">
        <f t="shared" ref="X27:AQ27" si="12">X28</f>
        <v>195.36275312176252</v>
      </c>
      <c r="Y27" s="639">
        <f t="shared" si="12"/>
        <v>1.2096467108549098</v>
      </c>
      <c r="Z27" s="624">
        <f t="shared" si="12"/>
        <v>35.010884844467988</v>
      </c>
      <c r="AA27" s="625">
        <f t="shared" si="12"/>
        <v>0</v>
      </c>
      <c r="AB27" s="623">
        <f t="shared" si="12"/>
        <v>0</v>
      </c>
      <c r="AC27" s="640">
        <f t="shared" si="12"/>
        <v>0</v>
      </c>
      <c r="AD27" s="624">
        <f t="shared" si="12"/>
        <v>0</v>
      </c>
      <c r="AE27" s="624">
        <f t="shared" si="12"/>
        <v>0</v>
      </c>
      <c r="AF27" s="624">
        <f t="shared" si="12"/>
        <v>0</v>
      </c>
      <c r="AG27" s="624">
        <f t="shared" si="12"/>
        <v>0</v>
      </c>
      <c r="AH27" s="624">
        <f t="shared" si="12"/>
        <v>0</v>
      </c>
      <c r="AI27" s="624">
        <f t="shared" si="12"/>
        <v>0</v>
      </c>
      <c r="AJ27" s="624">
        <f t="shared" si="12"/>
        <v>0</v>
      </c>
      <c r="AK27" s="626">
        <f t="shared" si="12"/>
        <v>0</v>
      </c>
      <c r="AL27" s="626">
        <f t="shared" si="12"/>
        <v>0</v>
      </c>
      <c r="AM27" s="639">
        <f t="shared" si="12"/>
        <v>0</v>
      </c>
      <c r="AN27" s="625">
        <f t="shared" si="12"/>
        <v>0</v>
      </c>
      <c r="AO27" s="625">
        <f t="shared" si="12"/>
        <v>0</v>
      </c>
      <c r="AP27" s="623">
        <f t="shared" si="12"/>
        <v>0</v>
      </c>
      <c r="AQ27" s="628">
        <f t="shared" si="12"/>
        <v>231.58328467708543</v>
      </c>
      <c r="AR27" s="3"/>
      <c r="AS27" s="5"/>
    </row>
    <row r="28" spans="1:45" s="3" customFormat="1" ht="12.75" customHeight="1" thickBot="1">
      <c r="A28" s="716" t="s">
        <v>143</v>
      </c>
      <c r="B28" s="717"/>
      <c r="C28" s="718">
        <f>SUM(D28:G28)</f>
        <v>0</v>
      </c>
      <c r="D28" s="681"/>
      <c r="E28" s="682"/>
      <c r="F28" s="683"/>
      <c r="G28" s="683"/>
      <c r="H28" s="688">
        <f>SUM(I28:K28)</f>
        <v>0</v>
      </c>
      <c r="I28" s="681"/>
      <c r="J28" s="682"/>
      <c r="K28" s="682"/>
      <c r="L28" s="688">
        <f>SUM(M28:Z28)</f>
        <v>231.58328467708543</v>
      </c>
      <c r="M28" s="682"/>
      <c r="N28" s="682"/>
      <c r="O28" s="682"/>
      <c r="P28" s="682"/>
      <c r="Q28" s="682"/>
      <c r="R28" s="682"/>
      <c r="S28" s="682"/>
      <c r="T28" s="682"/>
      <c r="U28" s="682"/>
      <c r="V28" s="682"/>
      <c r="W28" s="683"/>
      <c r="X28" s="683">
        <f>X26</f>
        <v>195.36275312176252</v>
      </c>
      <c r="Y28" s="683">
        <f>Y26</f>
        <v>1.2096467108549098</v>
      </c>
      <c r="Z28" s="682">
        <f>Z26</f>
        <v>35.010884844467988</v>
      </c>
      <c r="AA28" s="688">
        <v>0</v>
      </c>
      <c r="AB28" s="719">
        <f>SUM(AC28:AI28)</f>
        <v>0</v>
      </c>
      <c r="AC28" s="686"/>
      <c r="AD28" s="682"/>
      <c r="AE28" s="682"/>
      <c r="AF28" s="682"/>
      <c r="AG28" s="682"/>
      <c r="AH28" s="682"/>
      <c r="AI28" s="682"/>
      <c r="AJ28" s="682"/>
      <c r="AK28" s="681"/>
      <c r="AL28" s="681"/>
      <c r="AM28" s="683"/>
      <c r="AN28" s="688"/>
      <c r="AO28" s="688"/>
      <c r="AP28" s="719"/>
      <c r="AQ28" s="689">
        <f t="shared" ref="AQ28:AQ72" si="13">C28+H28+L28+AA28+AB28+AN28+AO28+AP28</f>
        <v>231.58328467708543</v>
      </c>
      <c r="AS28" s="4"/>
    </row>
    <row r="29" spans="1:45" s="6" customFormat="1" ht="12.75" customHeight="1" thickBot="1">
      <c r="A29" s="620" t="s">
        <v>144</v>
      </c>
      <c r="B29" s="621"/>
      <c r="C29" s="622">
        <f t="shared" ref="C29:AQ29" si="14">C30+C45+C56+C58+C65+C70+C71</f>
        <v>351.41289633822032</v>
      </c>
      <c r="D29" s="626">
        <f t="shared" si="14"/>
        <v>190.16205136582681</v>
      </c>
      <c r="E29" s="624">
        <f t="shared" si="14"/>
        <v>153.30941368399715</v>
      </c>
      <c r="F29" s="639">
        <f t="shared" si="14"/>
        <v>0</v>
      </c>
      <c r="G29" s="639">
        <f t="shared" si="14"/>
        <v>7.795884678396293</v>
      </c>
      <c r="H29" s="625">
        <f t="shared" si="14"/>
        <v>197.36847005356</v>
      </c>
      <c r="I29" s="626">
        <f t="shared" si="14"/>
        <v>0.82966372355999995</v>
      </c>
      <c r="J29" s="626">
        <f t="shared" si="14"/>
        <v>127.70399999999999</v>
      </c>
      <c r="K29" s="626">
        <f t="shared" si="14"/>
        <v>68.834806329999992</v>
      </c>
      <c r="L29" s="625">
        <f t="shared" si="14"/>
        <v>7065.3194555859664</v>
      </c>
      <c r="M29" s="624">
        <f t="shared" si="14"/>
        <v>0</v>
      </c>
      <c r="N29" s="624">
        <f t="shared" si="14"/>
        <v>0</v>
      </c>
      <c r="O29" s="624">
        <f t="shared" si="14"/>
        <v>0</v>
      </c>
      <c r="P29" s="624">
        <f t="shared" si="14"/>
        <v>821.48002832197096</v>
      </c>
      <c r="Q29" s="624">
        <f t="shared" si="14"/>
        <v>946.63395628255989</v>
      </c>
      <c r="R29" s="624">
        <f t="shared" si="14"/>
        <v>1102.0673096951998</v>
      </c>
      <c r="S29" s="624">
        <f t="shared" si="14"/>
        <v>31.039400915077643</v>
      </c>
      <c r="T29" s="624">
        <f t="shared" si="14"/>
        <v>181.32381570558749</v>
      </c>
      <c r="U29" s="624">
        <f t="shared" si="14"/>
        <v>3838.1558666328419</v>
      </c>
      <c r="V29" s="624">
        <f t="shared" si="14"/>
        <v>144.61907803272823</v>
      </c>
      <c r="W29" s="639">
        <f t="shared" si="14"/>
        <v>0</v>
      </c>
      <c r="X29" s="639">
        <f t="shared" si="14"/>
        <v>0</v>
      </c>
      <c r="Y29" s="639">
        <f t="shared" si="14"/>
        <v>0</v>
      </c>
      <c r="Z29" s="626">
        <f t="shared" si="14"/>
        <v>0</v>
      </c>
      <c r="AA29" s="712">
        <f t="shared" si="14"/>
        <v>1961.7039372255224</v>
      </c>
      <c r="AB29" s="623">
        <f t="shared" si="14"/>
        <v>464.57031831216926</v>
      </c>
      <c r="AC29" s="640">
        <f t="shared" si="14"/>
        <v>0</v>
      </c>
      <c r="AD29" s="624">
        <f t="shared" si="14"/>
        <v>0</v>
      </c>
      <c r="AE29" s="624">
        <f t="shared" si="14"/>
        <v>202.50934255862566</v>
      </c>
      <c r="AF29" s="624">
        <f t="shared" si="14"/>
        <v>40.692904224132199</v>
      </c>
      <c r="AG29" s="624">
        <f t="shared" si="14"/>
        <v>0</v>
      </c>
      <c r="AH29" s="624">
        <f t="shared" si="14"/>
        <v>9.7770611234061491</v>
      </c>
      <c r="AI29" s="624">
        <f t="shared" si="14"/>
        <v>126.968349188928</v>
      </c>
      <c r="AJ29" s="624">
        <f t="shared" si="14"/>
        <v>27.271252854767997</v>
      </c>
      <c r="AK29" s="623">
        <f t="shared" si="14"/>
        <v>0</v>
      </c>
      <c r="AL29" s="623">
        <f t="shared" si="14"/>
        <v>13.546085603665619</v>
      </c>
      <c r="AM29" s="623">
        <f t="shared" si="14"/>
        <v>43.805322758643683</v>
      </c>
      <c r="AN29" s="623">
        <f t="shared" si="14"/>
        <v>54.722939604974094</v>
      </c>
      <c r="AO29" s="625">
        <f t="shared" si="14"/>
        <v>2397.4208343089181</v>
      </c>
      <c r="AP29" s="623">
        <f t="shared" si="14"/>
        <v>0</v>
      </c>
      <c r="AQ29" s="715">
        <f t="shared" si="14"/>
        <v>12492.518851429331</v>
      </c>
      <c r="AR29" s="3"/>
      <c r="AS29" s="5"/>
    </row>
    <row r="30" spans="1:45" s="10" customFormat="1" ht="12.75" customHeight="1">
      <c r="A30" s="86" t="s">
        <v>145</v>
      </c>
      <c r="B30" s="720"/>
      <c r="C30" s="721">
        <f>SUM(C31:C44)</f>
        <v>105.57009591000003</v>
      </c>
      <c r="D30" s="722">
        <v>105.4245493</v>
      </c>
      <c r="E30" s="722">
        <v>0</v>
      </c>
      <c r="F30" s="723"/>
      <c r="G30" s="723"/>
      <c r="H30" s="724">
        <f>SUM(H31:H44)</f>
        <v>0.82966372355999995</v>
      </c>
      <c r="I30" s="725">
        <f t="shared" ref="I30:K30" si="15">SUM(I31:I44)</f>
        <v>0.82966372355999995</v>
      </c>
      <c r="J30" s="722">
        <f t="shared" si="15"/>
        <v>0</v>
      </c>
      <c r="K30" s="722">
        <f t="shared" si="15"/>
        <v>0</v>
      </c>
      <c r="L30" s="724">
        <f>SUM(L31:L44)</f>
        <v>374.2907898235643</v>
      </c>
      <c r="M30" s="722">
        <f>SUM(M31:M44)</f>
        <v>0</v>
      </c>
      <c r="N30" s="722">
        <f>SUM(N31:N44)</f>
        <v>0</v>
      </c>
      <c r="O30" s="722">
        <f>SUM(O31:O44)</f>
        <v>0</v>
      </c>
      <c r="P30" s="722">
        <f>SUM(P31:P44)</f>
        <v>0</v>
      </c>
      <c r="Q30" s="722">
        <v>9.5497368091127406</v>
      </c>
      <c r="R30" s="722">
        <f>SUM(R31:R44)</f>
        <v>0</v>
      </c>
      <c r="S30" s="722">
        <v>30.396553446461994</v>
      </c>
      <c r="T30" s="722">
        <v>55.909311724159259</v>
      </c>
      <c r="U30" s="722">
        <v>137.32678867057862</v>
      </c>
      <c r="V30" s="722">
        <v>141.10839917325163</v>
      </c>
      <c r="W30" s="722">
        <f>SUM(W31:W44)</f>
        <v>0</v>
      </c>
      <c r="X30" s="722">
        <f>SUM(X31:X44)</f>
        <v>0</v>
      </c>
      <c r="Y30" s="722">
        <f>SUM(Y31:Y44)</f>
        <v>0</v>
      </c>
      <c r="Z30" s="722">
        <f>SUM(Z31:Z44)</f>
        <v>0</v>
      </c>
      <c r="AA30" s="724">
        <v>937.35749564856553</v>
      </c>
      <c r="AB30" s="726">
        <f t="shared" ref="AB30:AN30" si="16">SUM(AB31:AB44)</f>
        <v>196.85576511692614</v>
      </c>
      <c r="AC30" s="727">
        <f t="shared" si="16"/>
        <v>0</v>
      </c>
      <c r="AD30" s="722">
        <f t="shared" si="16"/>
        <v>0</v>
      </c>
      <c r="AE30" s="722">
        <f t="shared" si="16"/>
        <v>153.9273551380638</v>
      </c>
      <c r="AF30" s="722">
        <f t="shared" si="16"/>
        <v>40.692904224132199</v>
      </c>
      <c r="AG30" s="722">
        <f t="shared" si="16"/>
        <v>0</v>
      </c>
      <c r="AH30" s="722">
        <f t="shared" si="16"/>
        <v>2.2355057547301662</v>
      </c>
      <c r="AI30" s="722">
        <f t="shared" si="16"/>
        <v>0</v>
      </c>
      <c r="AJ30" s="722">
        <f t="shared" si="16"/>
        <v>0</v>
      </c>
      <c r="AK30" s="722">
        <f t="shared" si="16"/>
        <v>0</v>
      </c>
      <c r="AL30" s="722">
        <f t="shared" si="16"/>
        <v>0</v>
      </c>
      <c r="AM30" s="728">
        <f t="shared" si="16"/>
        <v>0</v>
      </c>
      <c r="AN30" s="725">
        <f t="shared" si="16"/>
        <v>54.722939604974094</v>
      </c>
      <c r="AO30" s="724">
        <v>621.72214114590861</v>
      </c>
      <c r="AP30" s="726">
        <f>SUM(AP31:AP44)</f>
        <v>0</v>
      </c>
      <c r="AQ30" s="641">
        <f t="shared" ref="AQ30" si="17">C30+H30+L30+AA30+AB30+AN30+AO30+AP30</f>
        <v>2291.3488909734988</v>
      </c>
      <c r="AR30" s="3"/>
      <c r="AS30" s="9"/>
    </row>
    <row r="31" spans="1:45" ht="12.75" customHeight="1">
      <c r="A31" s="729" t="s">
        <v>146</v>
      </c>
      <c r="B31" s="730" t="s">
        <v>147</v>
      </c>
      <c r="C31" s="731">
        <f t="shared" ref="C31:C43" si="18">SUM(D31:G31)</f>
        <v>0</v>
      </c>
      <c r="D31" s="650">
        <v>0</v>
      </c>
      <c r="E31" s="732"/>
      <c r="F31" s="732"/>
      <c r="G31" s="733"/>
      <c r="H31" s="734">
        <f t="shared" ref="H31:H43" si="19">SUM(I31:K31)</f>
        <v>0</v>
      </c>
      <c r="I31" s="735"/>
      <c r="J31" s="653"/>
      <c r="K31" s="653"/>
      <c r="L31" s="734">
        <f t="shared" ref="L31:L43" si="20">SUM(M31:Z31)</f>
        <v>22.334930091304539</v>
      </c>
      <c r="M31" s="653"/>
      <c r="N31" s="653"/>
      <c r="O31" s="653"/>
      <c r="P31" s="736"/>
      <c r="Q31" s="693">
        <v>0.34591578903338577</v>
      </c>
      <c r="R31" s="732"/>
      <c r="S31" s="693">
        <v>0</v>
      </c>
      <c r="T31" s="693">
        <v>1.3603740574248424</v>
      </c>
      <c r="U31" s="693">
        <v>20.628640244846309</v>
      </c>
      <c r="V31" s="693">
        <v>0</v>
      </c>
      <c r="W31" s="732"/>
      <c r="X31" s="735"/>
      <c r="Y31" s="736"/>
      <c r="Z31" s="653"/>
      <c r="AA31" s="651">
        <v>8.7861347374034651</v>
      </c>
      <c r="AB31" s="737">
        <f t="shared" ref="AB31:AB43" si="21">SUM(AC31:AM31)</f>
        <v>0</v>
      </c>
      <c r="AC31" s="738"/>
      <c r="AD31" s="653"/>
      <c r="AE31" s="653"/>
      <c r="AF31" s="653"/>
      <c r="AG31" s="653"/>
      <c r="AH31" s="653"/>
      <c r="AI31" s="653"/>
      <c r="AJ31" s="653"/>
      <c r="AK31" s="645"/>
      <c r="AL31" s="647"/>
      <c r="AM31" s="653"/>
      <c r="AN31" s="651"/>
      <c r="AO31" s="651">
        <v>18.350912208427118</v>
      </c>
      <c r="AP31" s="737"/>
      <c r="AQ31" s="652">
        <f t="shared" si="13"/>
        <v>49.471977037135119</v>
      </c>
    </row>
    <row r="32" spans="1:45" ht="12.75" customHeight="1">
      <c r="A32" s="739" t="s">
        <v>148</v>
      </c>
      <c r="B32" s="740" t="s">
        <v>149</v>
      </c>
      <c r="C32" s="597">
        <f t="shared" si="18"/>
        <v>18.505815952000003</v>
      </c>
      <c r="D32" s="605">
        <v>18.505815952000003</v>
      </c>
      <c r="E32" s="741"/>
      <c r="F32" s="741"/>
      <c r="G32" s="742"/>
      <c r="H32" s="601">
        <f t="shared" si="19"/>
        <v>0.82966372355999995</v>
      </c>
      <c r="I32" s="602">
        <v>0.82966372355999995</v>
      </c>
      <c r="J32" s="603"/>
      <c r="K32" s="603"/>
      <c r="L32" s="601">
        <f t="shared" si="20"/>
        <v>71.784094369696632</v>
      </c>
      <c r="M32" s="603"/>
      <c r="N32" s="603"/>
      <c r="O32" s="603"/>
      <c r="P32" s="736"/>
      <c r="Q32" s="741">
        <v>2.0660606672266768</v>
      </c>
      <c r="R32" s="741"/>
      <c r="S32" s="741">
        <v>22.968462416696998</v>
      </c>
      <c r="T32" s="741">
        <v>30.662877604409012</v>
      </c>
      <c r="U32" s="741">
        <v>16.086693681363943</v>
      </c>
      <c r="V32" s="741">
        <v>0</v>
      </c>
      <c r="W32" s="741"/>
      <c r="X32" s="602"/>
      <c r="Y32" s="600"/>
      <c r="Z32" s="603"/>
      <c r="AA32" s="606">
        <v>265.46537885977392</v>
      </c>
      <c r="AB32" s="604">
        <f t="shared" si="21"/>
        <v>26.063524749810167</v>
      </c>
      <c r="AC32" s="605"/>
      <c r="AD32" s="603"/>
      <c r="AE32" s="603">
        <v>23.828018995080001</v>
      </c>
      <c r="AF32" s="603"/>
      <c r="AG32" s="653"/>
      <c r="AH32" s="653">
        <v>2.2355057547301662</v>
      </c>
      <c r="AI32" s="653"/>
      <c r="AJ32" s="653"/>
      <c r="AK32" s="602"/>
      <c r="AL32" s="600"/>
      <c r="AM32" s="603"/>
      <c r="AN32" s="606"/>
      <c r="AO32" s="606">
        <v>148.76072128018708</v>
      </c>
      <c r="AP32" s="604"/>
      <c r="AQ32" s="607">
        <f t="shared" si="13"/>
        <v>531.4091989350278</v>
      </c>
    </row>
    <row r="33" spans="1:45" ht="12.75" customHeight="1">
      <c r="A33" s="739" t="s">
        <v>150</v>
      </c>
      <c r="B33" s="743" t="s">
        <v>151</v>
      </c>
      <c r="C33" s="597">
        <f t="shared" si="18"/>
        <v>0</v>
      </c>
      <c r="D33" s="605">
        <v>0</v>
      </c>
      <c r="E33" s="741"/>
      <c r="F33" s="741"/>
      <c r="G33" s="742"/>
      <c r="H33" s="601">
        <f t="shared" si="19"/>
        <v>0</v>
      </c>
      <c r="I33" s="602"/>
      <c r="J33" s="603"/>
      <c r="K33" s="603"/>
      <c r="L33" s="601">
        <f t="shared" si="20"/>
        <v>3.9848369673637745</v>
      </c>
      <c r="M33" s="603"/>
      <c r="N33" s="603"/>
      <c r="O33" s="603"/>
      <c r="P33" s="736"/>
      <c r="Q33" s="741">
        <v>6.1845550160514413E-2</v>
      </c>
      <c r="R33" s="741"/>
      <c r="S33" s="741">
        <v>0</v>
      </c>
      <c r="T33" s="741">
        <v>3.2282811958991577</v>
      </c>
      <c r="U33" s="741">
        <v>0.69471022130410232</v>
      </c>
      <c r="V33" s="741">
        <v>0</v>
      </c>
      <c r="W33" s="741"/>
      <c r="X33" s="602"/>
      <c r="Y33" s="600"/>
      <c r="Z33" s="603"/>
      <c r="AA33" s="606">
        <v>19.827078866680154</v>
      </c>
      <c r="AB33" s="604">
        <f t="shared" si="21"/>
        <v>0</v>
      </c>
      <c r="AC33" s="605"/>
      <c r="AD33" s="603"/>
      <c r="AE33" s="603"/>
      <c r="AF33" s="603"/>
      <c r="AG33" s="653"/>
      <c r="AH33" s="653"/>
      <c r="AI33" s="653"/>
      <c r="AJ33" s="653"/>
      <c r="AK33" s="602"/>
      <c r="AL33" s="600"/>
      <c r="AM33" s="603"/>
      <c r="AN33" s="606"/>
      <c r="AO33" s="606">
        <v>4.8844128009868593</v>
      </c>
      <c r="AP33" s="604"/>
      <c r="AQ33" s="607">
        <f t="shared" si="13"/>
        <v>28.696328635030788</v>
      </c>
    </row>
    <row r="34" spans="1:45" ht="12.75" customHeight="1">
      <c r="A34" s="739" t="s">
        <v>152</v>
      </c>
      <c r="B34" s="743" t="s">
        <v>153</v>
      </c>
      <c r="C34" s="597">
        <f t="shared" si="18"/>
        <v>0</v>
      </c>
      <c r="D34" s="605">
        <v>0</v>
      </c>
      <c r="E34" s="741"/>
      <c r="F34" s="741"/>
      <c r="G34" s="742"/>
      <c r="H34" s="601">
        <f t="shared" si="19"/>
        <v>0</v>
      </c>
      <c r="I34" s="602"/>
      <c r="J34" s="603"/>
      <c r="K34" s="603"/>
      <c r="L34" s="601">
        <f t="shared" si="20"/>
        <v>2.6182891559382289</v>
      </c>
      <c r="M34" s="603"/>
      <c r="N34" s="603"/>
      <c r="O34" s="603"/>
      <c r="P34" s="736"/>
      <c r="Q34" s="741">
        <v>8.9099521417690272E-2</v>
      </c>
      <c r="R34" s="741"/>
      <c r="S34" s="741">
        <v>0</v>
      </c>
      <c r="T34" s="741">
        <v>0.28505282634285456</v>
      </c>
      <c r="U34" s="741">
        <v>2.244136808177684</v>
      </c>
      <c r="V34" s="741">
        <v>0</v>
      </c>
      <c r="W34" s="741"/>
      <c r="X34" s="602"/>
      <c r="Y34" s="600"/>
      <c r="Z34" s="603"/>
      <c r="AA34" s="606">
        <v>3.0214445851101197</v>
      </c>
      <c r="AB34" s="604">
        <f t="shared" si="21"/>
        <v>127.87356205415999</v>
      </c>
      <c r="AC34" s="605"/>
      <c r="AD34" s="603"/>
      <c r="AE34" s="603">
        <v>127.87356205415999</v>
      </c>
      <c r="AF34" s="603"/>
      <c r="AG34" s="653"/>
      <c r="AH34" s="653"/>
      <c r="AI34" s="653"/>
      <c r="AJ34" s="653"/>
      <c r="AK34" s="602"/>
      <c r="AL34" s="600"/>
      <c r="AM34" s="603"/>
      <c r="AN34" s="606"/>
      <c r="AO34" s="606">
        <v>26.251691103783244</v>
      </c>
      <c r="AP34" s="604"/>
      <c r="AQ34" s="607">
        <f t="shared" si="13"/>
        <v>159.76498689899159</v>
      </c>
    </row>
    <row r="35" spans="1:45" ht="12.75" customHeight="1">
      <c r="A35" s="739" t="s">
        <v>154</v>
      </c>
      <c r="B35" s="743" t="s">
        <v>155</v>
      </c>
      <c r="C35" s="597">
        <f t="shared" si="18"/>
        <v>0</v>
      </c>
      <c r="D35" s="605">
        <v>0</v>
      </c>
      <c r="E35" s="741"/>
      <c r="F35" s="741"/>
      <c r="G35" s="742"/>
      <c r="H35" s="601">
        <f t="shared" si="19"/>
        <v>0</v>
      </c>
      <c r="I35" s="602"/>
      <c r="J35" s="603"/>
      <c r="K35" s="603"/>
      <c r="L35" s="601">
        <f t="shared" si="20"/>
        <v>0.83838358845358163</v>
      </c>
      <c r="M35" s="603"/>
      <c r="N35" s="603"/>
      <c r="O35" s="603"/>
      <c r="P35" s="736"/>
      <c r="Q35" s="741">
        <v>0.19497071745518102</v>
      </c>
      <c r="R35" s="741"/>
      <c r="S35" s="741">
        <v>0</v>
      </c>
      <c r="T35" s="741">
        <v>5.0985058370266664E-2</v>
      </c>
      <c r="U35" s="741">
        <v>0.59242781262813393</v>
      </c>
      <c r="V35" s="741">
        <v>0</v>
      </c>
      <c r="W35" s="741"/>
      <c r="X35" s="602"/>
      <c r="Y35" s="600"/>
      <c r="Z35" s="603"/>
      <c r="AA35" s="606">
        <v>4.5940947412447954</v>
      </c>
      <c r="AB35" s="604">
        <f t="shared" si="21"/>
        <v>0</v>
      </c>
      <c r="AC35" s="605"/>
      <c r="AD35" s="603"/>
      <c r="AE35" s="603"/>
      <c r="AF35" s="603"/>
      <c r="AG35" s="653"/>
      <c r="AH35" s="653"/>
      <c r="AI35" s="653"/>
      <c r="AJ35" s="653"/>
      <c r="AK35" s="602"/>
      <c r="AL35" s="600"/>
      <c r="AM35" s="603"/>
      <c r="AN35" s="606"/>
      <c r="AO35" s="606">
        <v>10.638816275668107</v>
      </c>
      <c r="AP35" s="604"/>
      <c r="AQ35" s="607">
        <f t="shared" si="13"/>
        <v>16.071294605366482</v>
      </c>
    </row>
    <row r="36" spans="1:45" ht="12.75" customHeight="1">
      <c r="A36" s="739" t="s">
        <v>156</v>
      </c>
      <c r="B36" s="743" t="s">
        <v>157</v>
      </c>
      <c r="C36" s="597">
        <f t="shared" si="18"/>
        <v>0</v>
      </c>
      <c r="D36" s="738">
        <v>0</v>
      </c>
      <c r="E36" s="741"/>
      <c r="F36" s="741"/>
      <c r="G36" s="742"/>
      <c r="H36" s="601">
        <f t="shared" si="19"/>
        <v>0</v>
      </c>
      <c r="I36" s="602"/>
      <c r="J36" s="603"/>
      <c r="K36" s="603"/>
      <c r="L36" s="601">
        <f t="shared" si="20"/>
        <v>20.491702651385793</v>
      </c>
      <c r="M36" s="603"/>
      <c r="N36" s="603"/>
      <c r="O36" s="603"/>
      <c r="P36" s="736"/>
      <c r="Q36" s="732">
        <v>0.29140784651903406</v>
      </c>
      <c r="R36" s="741"/>
      <c r="S36" s="732">
        <v>2.7458233928999998</v>
      </c>
      <c r="T36" s="732">
        <v>2.7311768767890574</v>
      </c>
      <c r="U36" s="732">
        <v>4.9055048279840703</v>
      </c>
      <c r="V36" s="732">
        <v>9.8177897071936346</v>
      </c>
      <c r="W36" s="741"/>
      <c r="X36" s="602"/>
      <c r="Y36" s="600"/>
      <c r="Z36" s="603"/>
      <c r="AA36" s="744">
        <v>128.0014006524043</v>
      </c>
      <c r="AB36" s="604">
        <f t="shared" si="21"/>
        <v>0</v>
      </c>
      <c r="AC36" s="605"/>
      <c r="AD36" s="603"/>
      <c r="AE36" s="603">
        <v>0</v>
      </c>
      <c r="AF36" s="603"/>
      <c r="AG36" s="653"/>
      <c r="AH36" s="653"/>
      <c r="AI36" s="653"/>
      <c r="AJ36" s="653"/>
      <c r="AK36" s="735"/>
      <c r="AL36" s="736"/>
      <c r="AM36" s="603"/>
      <c r="AN36" s="744"/>
      <c r="AO36" s="744">
        <v>104.62854472087723</v>
      </c>
      <c r="AP36" s="604"/>
      <c r="AQ36" s="607">
        <f t="shared" si="13"/>
        <v>253.12164802466731</v>
      </c>
    </row>
    <row r="37" spans="1:45" ht="12.75" customHeight="1">
      <c r="A37" s="739" t="s">
        <v>158</v>
      </c>
      <c r="B37" s="743" t="s">
        <v>159</v>
      </c>
      <c r="C37" s="597">
        <f t="shared" si="18"/>
        <v>0</v>
      </c>
      <c r="D37" s="605">
        <v>0</v>
      </c>
      <c r="E37" s="741"/>
      <c r="F37" s="741"/>
      <c r="G37" s="742"/>
      <c r="H37" s="601">
        <f t="shared" si="19"/>
        <v>0</v>
      </c>
      <c r="I37" s="602"/>
      <c r="J37" s="603"/>
      <c r="K37" s="603"/>
      <c r="L37" s="601">
        <f t="shared" si="20"/>
        <v>4.5221622064203446</v>
      </c>
      <c r="M37" s="603"/>
      <c r="N37" s="603"/>
      <c r="O37" s="603"/>
      <c r="P37" s="736"/>
      <c r="Q37" s="741">
        <v>1.8396430598593692</v>
      </c>
      <c r="R37" s="741"/>
      <c r="S37" s="741">
        <v>0</v>
      </c>
      <c r="T37" s="741">
        <v>1.2363876654789667</v>
      </c>
      <c r="U37" s="741">
        <v>1.446131481082009</v>
      </c>
      <c r="V37" s="741">
        <v>0</v>
      </c>
      <c r="W37" s="741"/>
      <c r="X37" s="602"/>
      <c r="Y37" s="600"/>
      <c r="Z37" s="603"/>
      <c r="AA37" s="606">
        <v>2.284026640331299</v>
      </c>
      <c r="AB37" s="604">
        <f t="shared" si="21"/>
        <v>0</v>
      </c>
      <c r="AC37" s="605"/>
      <c r="AD37" s="603"/>
      <c r="AE37" s="603"/>
      <c r="AF37" s="603"/>
      <c r="AG37" s="653"/>
      <c r="AH37" s="653"/>
      <c r="AI37" s="653"/>
      <c r="AJ37" s="653"/>
      <c r="AK37" s="602"/>
      <c r="AL37" s="600"/>
      <c r="AM37" s="603"/>
      <c r="AN37" s="606"/>
      <c r="AO37" s="606">
        <v>20.435816256672165</v>
      </c>
      <c r="AP37" s="604"/>
      <c r="AQ37" s="607">
        <f t="shared" si="13"/>
        <v>27.242005103423807</v>
      </c>
    </row>
    <row r="38" spans="1:45" ht="12.75" customHeight="1">
      <c r="A38" s="739" t="s">
        <v>160</v>
      </c>
      <c r="B38" s="743" t="s">
        <v>161</v>
      </c>
      <c r="C38" s="597">
        <f t="shared" si="18"/>
        <v>86.919212076000022</v>
      </c>
      <c r="D38" s="605">
        <v>86.919212076000022</v>
      </c>
      <c r="E38" s="741"/>
      <c r="F38" s="741"/>
      <c r="G38" s="742"/>
      <c r="H38" s="601">
        <f t="shared" si="19"/>
        <v>0</v>
      </c>
      <c r="I38" s="602"/>
      <c r="J38" s="603"/>
      <c r="K38" s="603"/>
      <c r="L38" s="601">
        <f t="shared" si="20"/>
        <v>165.25524621751634</v>
      </c>
      <c r="M38" s="603"/>
      <c r="N38" s="603"/>
      <c r="O38" s="603"/>
      <c r="P38" s="736"/>
      <c r="Q38" s="741">
        <v>1.7086143518921777</v>
      </c>
      <c r="R38" s="741"/>
      <c r="S38" s="741">
        <v>0</v>
      </c>
      <c r="T38" s="741">
        <v>2.4472828017727997</v>
      </c>
      <c r="U38" s="741">
        <v>29.80873959779337</v>
      </c>
      <c r="V38" s="741">
        <v>131.29060946605799</v>
      </c>
      <c r="W38" s="741"/>
      <c r="X38" s="602"/>
      <c r="Y38" s="600"/>
      <c r="Z38" s="603"/>
      <c r="AA38" s="606">
        <v>20.60514689627021</v>
      </c>
      <c r="AB38" s="604">
        <f t="shared" si="21"/>
        <v>42.918678312955997</v>
      </c>
      <c r="AC38" s="605"/>
      <c r="AD38" s="603"/>
      <c r="AE38" s="603">
        <v>2.2257740888237998</v>
      </c>
      <c r="AF38" s="603">
        <v>40.692904224132199</v>
      </c>
      <c r="AG38" s="653"/>
      <c r="AH38" s="653"/>
      <c r="AI38" s="653"/>
      <c r="AJ38" s="653"/>
      <c r="AK38" s="602"/>
      <c r="AL38" s="600"/>
      <c r="AM38" s="603"/>
      <c r="AN38" s="606">
        <v>54.722939604974094</v>
      </c>
      <c r="AO38" s="606">
        <v>54.010284601158837</v>
      </c>
      <c r="AP38" s="604"/>
      <c r="AQ38" s="607">
        <f t="shared" si="13"/>
        <v>424.43150770887547</v>
      </c>
    </row>
    <row r="39" spans="1:45" ht="12.75" customHeight="1">
      <c r="A39" s="739" t="s">
        <v>162</v>
      </c>
      <c r="B39" s="743" t="s">
        <v>163</v>
      </c>
      <c r="C39" s="597">
        <f t="shared" si="18"/>
        <v>0.14506788200000253</v>
      </c>
      <c r="D39" s="605">
        <v>0.14506788200000253</v>
      </c>
      <c r="E39" s="741"/>
      <c r="F39" s="741"/>
      <c r="G39" s="742"/>
      <c r="H39" s="601">
        <f t="shared" si="19"/>
        <v>0</v>
      </c>
      <c r="I39" s="602"/>
      <c r="J39" s="603"/>
      <c r="K39" s="603"/>
      <c r="L39" s="601">
        <f t="shared" si="20"/>
        <v>8.534515108025424</v>
      </c>
      <c r="M39" s="603"/>
      <c r="N39" s="603"/>
      <c r="O39" s="603"/>
      <c r="P39" s="736"/>
      <c r="Q39" s="741">
        <v>0.75262889856354831</v>
      </c>
      <c r="R39" s="741"/>
      <c r="S39" s="741">
        <v>1.0397614907400001</v>
      </c>
      <c r="T39" s="741">
        <v>3.4113639055014784</v>
      </c>
      <c r="U39" s="741">
        <v>3.3307608132203974</v>
      </c>
      <c r="V39" s="741">
        <v>0</v>
      </c>
      <c r="W39" s="741"/>
      <c r="X39" s="602"/>
      <c r="Y39" s="600"/>
      <c r="Z39" s="603"/>
      <c r="AA39" s="606">
        <v>408.68833080126041</v>
      </c>
      <c r="AB39" s="604">
        <f t="shared" si="21"/>
        <v>0</v>
      </c>
      <c r="AC39" s="605"/>
      <c r="AD39" s="603"/>
      <c r="AE39" s="603"/>
      <c r="AF39" s="603"/>
      <c r="AG39" s="653"/>
      <c r="AH39" s="653"/>
      <c r="AI39" s="653"/>
      <c r="AJ39" s="653"/>
      <c r="AK39" s="602"/>
      <c r="AL39" s="600"/>
      <c r="AM39" s="603"/>
      <c r="AN39" s="606"/>
      <c r="AO39" s="606">
        <v>49.329922605876547</v>
      </c>
      <c r="AP39" s="604"/>
      <c r="AQ39" s="607">
        <f t="shared" si="13"/>
        <v>466.6978363971624</v>
      </c>
    </row>
    <row r="40" spans="1:45" ht="12.75" customHeight="1">
      <c r="A40" s="739" t="s">
        <v>164</v>
      </c>
      <c r="B40" s="743" t="s">
        <v>165</v>
      </c>
      <c r="C40" s="597">
        <f t="shared" si="18"/>
        <v>0</v>
      </c>
      <c r="D40" s="605">
        <v>0</v>
      </c>
      <c r="E40" s="741"/>
      <c r="F40" s="741"/>
      <c r="G40" s="742"/>
      <c r="H40" s="601">
        <f t="shared" si="19"/>
        <v>0</v>
      </c>
      <c r="I40" s="602"/>
      <c r="J40" s="603"/>
      <c r="K40" s="603"/>
      <c r="L40" s="601">
        <f t="shared" si="20"/>
        <v>4.4175991624811015</v>
      </c>
      <c r="M40" s="603"/>
      <c r="N40" s="603"/>
      <c r="O40" s="603"/>
      <c r="P40" s="736"/>
      <c r="Q40" s="741">
        <v>0.21069416241124406</v>
      </c>
      <c r="R40" s="741"/>
      <c r="S40" s="741">
        <v>0</v>
      </c>
      <c r="T40" s="741">
        <v>2.0741648746085759</v>
      </c>
      <c r="U40" s="741">
        <v>2.1327401254612819</v>
      </c>
      <c r="V40" s="741">
        <v>0</v>
      </c>
      <c r="W40" s="741"/>
      <c r="X40" s="602"/>
      <c r="Y40" s="600"/>
      <c r="Z40" s="603"/>
      <c r="AA40" s="606">
        <v>7.9737681987539286</v>
      </c>
      <c r="AB40" s="604">
        <f t="shared" si="21"/>
        <v>0</v>
      </c>
      <c r="AC40" s="605"/>
      <c r="AD40" s="603"/>
      <c r="AE40" s="603"/>
      <c r="AF40" s="603"/>
      <c r="AG40" s="653"/>
      <c r="AH40" s="653"/>
      <c r="AI40" s="653"/>
      <c r="AJ40" s="653"/>
      <c r="AK40" s="602"/>
      <c r="AL40" s="600"/>
      <c r="AM40" s="603"/>
      <c r="AN40" s="606"/>
      <c r="AO40" s="606">
        <v>18.411529811795422</v>
      </c>
      <c r="AP40" s="604"/>
      <c r="AQ40" s="607">
        <f t="shared" si="13"/>
        <v>30.802897173030452</v>
      </c>
    </row>
    <row r="41" spans="1:45" ht="12.75" customHeight="1">
      <c r="A41" s="739" t="s">
        <v>166</v>
      </c>
      <c r="B41" s="743" t="s">
        <v>167</v>
      </c>
      <c r="C41" s="597">
        <f t="shared" si="18"/>
        <v>0</v>
      </c>
      <c r="D41" s="738">
        <v>0</v>
      </c>
      <c r="E41" s="741"/>
      <c r="F41" s="741"/>
      <c r="G41" s="742"/>
      <c r="H41" s="601">
        <f t="shared" si="19"/>
        <v>0</v>
      </c>
      <c r="I41" s="602"/>
      <c r="J41" s="603"/>
      <c r="K41" s="603"/>
      <c r="L41" s="601">
        <f t="shared" si="20"/>
        <v>3.5291908924471116</v>
      </c>
      <c r="M41" s="603"/>
      <c r="N41" s="603"/>
      <c r="O41" s="603"/>
      <c r="P41" s="736"/>
      <c r="Q41" s="732">
        <v>0.4496905257434014</v>
      </c>
      <c r="R41" s="741"/>
      <c r="S41" s="732">
        <v>0</v>
      </c>
      <c r="T41" s="732">
        <v>2.0880698905277391</v>
      </c>
      <c r="U41" s="732">
        <v>0.99143047617597102</v>
      </c>
      <c r="V41" s="732">
        <v>0</v>
      </c>
      <c r="W41" s="741"/>
      <c r="X41" s="602"/>
      <c r="Y41" s="600"/>
      <c r="Z41" s="603"/>
      <c r="AA41" s="744">
        <v>18.389717274057872</v>
      </c>
      <c r="AB41" s="604">
        <f t="shared" si="21"/>
        <v>0</v>
      </c>
      <c r="AC41" s="605"/>
      <c r="AD41" s="603"/>
      <c r="AE41" s="603"/>
      <c r="AF41" s="603"/>
      <c r="AG41" s="653"/>
      <c r="AH41" s="653"/>
      <c r="AI41" s="653"/>
      <c r="AJ41" s="653"/>
      <c r="AK41" s="735"/>
      <c r="AL41" s="736"/>
      <c r="AM41" s="603"/>
      <c r="AN41" s="744"/>
      <c r="AO41" s="744">
        <v>80.043410825191572</v>
      </c>
      <c r="AP41" s="604"/>
      <c r="AQ41" s="607">
        <f t="shared" si="13"/>
        <v>101.96231899169655</v>
      </c>
    </row>
    <row r="42" spans="1:45" ht="12.75" customHeight="1">
      <c r="A42" s="739" t="s">
        <v>168</v>
      </c>
      <c r="B42" s="743" t="s">
        <v>169</v>
      </c>
      <c r="C42" s="597">
        <f t="shared" si="18"/>
        <v>0</v>
      </c>
      <c r="D42" s="605">
        <v>0</v>
      </c>
      <c r="E42" s="741"/>
      <c r="F42" s="741"/>
      <c r="G42" s="742"/>
      <c r="H42" s="601">
        <f t="shared" si="19"/>
        <v>0</v>
      </c>
      <c r="I42" s="602"/>
      <c r="J42" s="603"/>
      <c r="K42" s="603"/>
      <c r="L42" s="601">
        <f t="shared" si="20"/>
        <v>1.41139605019423</v>
      </c>
      <c r="M42" s="603"/>
      <c r="N42" s="603"/>
      <c r="O42" s="603"/>
      <c r="P42" s="736"/>
      <c r="Q42" s="741">
        <v>5.2411483186876627E-2</v>
      </c>
      <c r="R42" s="741"/>
      <c r="S42" s="741">
        <v>0</v>
      </c>
      <c r="T42" s="741">
        <v>0.92352480729778486</v>
      </c>
      <c r="U42" s="741">
        <v>0.43545975970956852</v>
      </c>
      <c r="V42" s="741">
        <v>0</v>
      </c>
      <c r="W42" s="741"/>
      <c r="X42" s="602"/>
      <c r="Y42" s="600"/>
      <c r="Z42" s="603"/>
      <c r="AA42" s="606">
        <v>0.27057712702478681</v>
      </c>
      <c r="AB42" s="604">
        <f t="shared" si="21"/>
        <v>0</v>
      </c>
      <c r="AC42" s="605"/>
      <c r="AD42" s="603"/>
      <c r="AE42" s="603"/>
      <c r="AF42" s="603"/>
      <c r="AG42" s="653"/>
      <c r="AH42" s="653"/>
      <c r="AI42" s="653"/>
      <c r="AJ42" s="653"/>
      <c r="AK42" s="701"/>
      <c r="AL42" s="697"/>
      <c r="AM42" s="603"/>
      <c r="AN42" s="702"/>
      <c r="AO42" s="606">
        <v>2.2633417821038564</v>
      </c>
      <c r="AP42" s="604"/>
      <c r="AQ42" s="607">
        <f t="shared" si="13"/>
        <v>3.9453149593228733</v>
      </c>
    </row>
    <row r="43" spans="1:45" ht="12.75" customHeight="1">
      <c r="A43" s="739" t="s">
        <v>170</v>
      </c>
      <c r="B43" s="743" t="s">
        <v>171</v>
      </c>
      <c r="C43" s="597">
        <f t="shared" si="18"/>
        <v>0</v>
      </c>
      <c r="D43" s="605">
        <v>0</v>
      </c>
      <c r="E43" s="741"/>
      <c r="F43" s="741"/>
      <c r="G43" s="742"/>
      <c r="H43" s="601">
        <f t="shared" si="19"/>
        <v>0</v>
      </c>
      <c r="I43" s="602"/>
      <c r="J43" s="603"/>
      <c r="K43" s="603">
        <v>0</v>
      </c>
      <c r="L43" s="601">
        <f t="shared" si="20"/>
        <v>12.511675497016565</v>
      </c>
      <c r="M43" s="603"/>
      <c r="N43" s="603"/>
      <c r="O43" s="603"/>
      <c r="P43" s="600"/>
      <c r="Q43" s="741">
        <v>0.76415942486466115</v>
      </c>
      <c r="R43" s="741"/>
      <c r="S43" s="741">
        <v>3.6425061461249997</v>
      </c>
      <c r="T43" s="741">
        <v>4.9362806513030915</v>
      </c>
      <c r="U43" s="741">
        <v>3.1687292747238134</v>
      </c>
      <c r="V43" s="741">
        <v>0</v>
      </c>
      <c r="W43" s="741"/>
      <c r="X43" s="602"/>
      <c r="Y43" s="600"/>
      <c r="Z43" s="603"/>
      <c r="AA43" s="606">
        <v>30.013736057345717</v>
      </c>
      <c r="AB43" s="604">
        <f t="shared" si="21"/>
        <v>0</v>
      </c>
      <c r="AC43" s="605"/>
      <c r="AD43" s="603"/>
      <c r="AE43" s="603"/>
      <c r="AF43" s="603"/>
      <c r="AG43" s="603"/>
      <c r="AH43" s="603"/>
      <c r="AI43" s="603"/>
      <c r="AJ43" s="603"/>
      <c r="AK43" s="602"/>
      <c r="AL43" s="600"/>
      <c r="AM43" s="603"/>
      <c r="AN43" s="606"/>
      <c r="AO43" s="606">
        <v>59.095333131604164</v>
      </c>
      <c r="AP43" s="604"/>
      <c r="AQ43" s="607">
        <f t="shared" si="13"/>
        <v>101.62074468596644</v>
      </c>
    </row>
    <row r="44" spans="1:45" s="84" customFormat="1" ht="12.75" customHeight="1">
      <c r="A44" s="745" t="s">
        <v>798</v>
      </c>
      <c r="B44" s="746" t="s">
        <v>799</v>
      </c>
      <c r="C44" s="656">
        <f>SUM(D44:G44)</f>
        <v>0</v>
      </c>
      <c r="D44" s="662">
        <v>0</v>
      </c>
      <c r="E44" s="747"/>
      <c r="F44" s="747"/>
      <c r="G44" s="748"/>
      <c r="H44" s="660">
        <f>SUM(I44:K44)</f>
        <v>0</v>
      </c>
      <c r="I44" s="657"/>
      <c r="J44" s="658"/>
      <c r="K44" s="658"/>
      <c r="L44" s="660">
        <f>SUM(M44:Z44)</f>
        <v>52.05676786532063</v>
      </c>
      <c r="M44" s="658"/>
      <c r="N44" s="658"/>
      <c r="O44" s="658"/>
      <c r="P44" s="659"/>
      <c r="Q44" s="747">
        <v>0.72259481077897947</v>
      </c>
      <c r="R44" s="747"/>
      <c r="S44" s="747">
        <v>0</v>
      </c>
      <c r="T44" s="747">
        <v>0.47348950843364052</v>
      </c>
      <c r="U44" s="747">
        <v>50.860683546108007</v>
      </c>
      <c r="V44" s="747">
        <v>0</v>
      </c>
      <c r="W44" s="747"/>
      <c r="X44" s="657"/>
      <c r="Y44" s="659"/>
      <c r="Z44" s="658"/>
      <c r="AA44" s="663">
        <v>19.436660210904712</v>
      </c>
      <c r="AB44" s="661">
        <f>SUM(AC44:AM44)</f>
        <v>0</v>
      </c>
      <c r="AC44" s="662"/>
      <c r="AD44" s="658"/>
      <c r="AE44" s="658"/>
      <c r="AF44" s="658"/>
      <c r="AG44" s="658"/>
      <c r="AH44" s="658"/>
      <c r="AI44" s="658"/>
      <c r="AJ44" s="658"/>
      <c r="AK44" s="657"/>
      <c r="AL44" s="659"/>
      <c r="AM44" s="658"/>
      <c r="AN44" s="663"/>
      <c r="AO44" s="663">
        <v>24.617403741576357</v>
      </c>
      <c r="AP44" s="661"/>
      <c r="AQ44" s="664">
        <f>C44+H44+L44+AA44+AB44+AN44+AO44+AP44</f>
        <v>96.110831817801696</v>
      </c>
      <c r="AS44" s="4"/>
    </row>
    <row r="45" spans="1:45" s="6" customFormat="1" ht="12.75" customHeight="1">
      <c r="A45" s="86" t="s">
        <v>172</v>
      </c>
      <c r="B45" s="666"/>
      <c r="C45" s="749">
        <f t="shared" ref="C45:AP45" si="22">SUM(C46:C55)</f>
        <v>0</v>
      </c>
      <c r="D45" s="750">
        <f t="shared" si="22"/>
        <v>0</v>
      </c>
      <c r="E45" s="750">
        <f t="shared" si="22"/>
        <v>0</v>
      </c>
      <c r="F45" s="751">
        <f t="shared" si="22"/>
        <v>0</v>
      </c>
      <c r="G45" s="751">
        <f t="shared" si="22"/>
        <v>0</v>
      </c>
      <c r="H45" s="752">
        <f t="shared" si="22"/>
        <v>0</v>
      </c>
      <c r="I45" s="753">
        <f t="shared" si="22"/>
        <v>0</v>
      </c>
      <c r="J45" s="750">
        <f t="shared" si="22"/>
        <v>0</v>
      </c>
      <c r="K45" s="750">
        <f t="shared" si="22"/>
        <v>0</v>
      </c>
      <c r="L45" s="752">
        <f t="shared" si="22"/>
        <v>5019.9247759387081</v>
      </c>
      <c r="M45" s="750">
        <f t="shared" si="22"/>
        <v>0</v>
      </c>
      <c r="N45" s="750">
        <f t="shared" ref="N45" si="23">SUM(N46:N55)</f>
        <v>0</v>
      </c>
      <c r="O45" s="750">
        <f t="shared" si="22"/>
        <v>0</v>
      </c>
      <c r="P45" s="750">
        <f t="shared" si="22"/>
        <v>821.48002832197096</v>
      </c>
      <c r="Q45" s="750">
        <f t="shared" si="22"/>
        <v>0</v>
      </c>
      <c r="R45" s="750">
        <f t="shared" si="22"/>
        <v>1102.0673096951998</v>
      </c>
      <c r="S45" s="750">
        <f t="shared" si="22"/>
        <v>0</v>
      </c>
      <c r="T45" s="750">
        <f t="shared" si="22"/>
        <v>1.8520724281984335</v>
      </c>
      <c r="U45" s="750">
        <f>SUM(U46:U55)</f>
        <v>3094.5253654933395</v>
      </c>
      <c r="V45" s="750">
        <f t="shared" si="22"/>
        <v>0</v>
      </c>
      <c r="W45" s="751">
        <f t="shared" si="22"/>
        <v>0</v>
      </c>
      <c r="X45" s="751">
        <f t="shared" si="22"/>
        <v>0</v>
      </c>
      <c r="Y45" s="751">
        <f t="shared" si="22"/>
        <v>0</v>
      </c>
      <c r="Z45" s="750">
        <f t="shared" si="22"/>
        <v>0</v>
      </c>
      <c r="AA45" s="752">
        <f t="shared" si="22"/>
        <v>22.560835415583806</v>
      </c>
      <c r="AB45" s="754">
        <f t="shared" si="22"/>
        <v>154.23960204369601</v>
      </c>
      <c r="AC45" s="755">
        <f t="shared" si="22"/>
        <v>0</v>
      </c>
      <c r="AD45" s="750">
        <f t="shared" si="22"/>
        <v>0</v>
      </c>
      <c r="AE45" s="750">
        <f t="shared" si="22"/>
        <v>0</v>
      </c>
      <c r="AF45" s="750">
        <f t="shared" ref="AF45" si="24">SUM(AF46:AF55)</f>
        <v>0</v>
      </c>
      <c r="AG45" s="750">
        <f t="shared" si="22"/>
        <v>0</v>
      </c>
      <c r="AH45" s="750">
        <f t="shared" si="22"/>
        <v>0</v>
      </c>
      <c r="AI45" s="750">
        <f t="shared" si="22"/>
        <v>126.968349188928</v>
      </c>
      <c r="AJ45" s="750">
        <f t="shared" ref="AJ45" si="25">SUM(AJ46:AJ55)</f>
        <v>27.271252854767997</v>
      </c>
      <c r="AK45" s="753">
        <f t="shared" si="22"/>
        <v>0</v>
      </c>
      <c r="AL45" s="751">
        <f t="shared" ref="AL45" si="26">SUM(AL46:AL55)</f>
        <v>0</v>
      </c>
      <c r="AM45" s="750">
        <f t="shared" si="22"/>
        <v>0</v>
      </c>
      <c r="AN45" s="752">
        <f t="shared" si="22"/>
        <v>0</v>
      </c>
      <c r="AO45" s="752">
        <f t="shared" si="22"/>
        <v>5.3733816232262495</v>
      </c>
      <c r="AP45" s="754">
        <f t="shared" si="22"/>
        <v>0</v>
      </c>
      <c r="AQ45" s="756">
        <f t="shared" si="13"/>
        <v>5202.0985950212144</v>
      </c>
      <c r="AR45" s="3"/>
      <c r="AS45" s="5"/>
    </row>
    <row r="46" spans="1:45" s="3" customFormat="1" ht="12.75" customHeight="1">
      <c r="A46" s="757" t="s">
        <v>173</v>
      </c>
      <c r="B46" s="643"/>
      <c r="C46" s="644">
        <f t="shared" ref="C46:C64" si="27">SUM(D46:G46)</f>
        <v>0</v>
      </c>
      <c r="D46" s="758"/>
      <c r="E46" s="692"/>
      <c r="F46" s="647"/>
      <c r="G46" s="647"/>
      <c r="H46" s="648">
        <f t="shared" ref="H46:H64" si="28">SUM(I46:K46)</f>
        <v>0</v>
      </c>
      <c r="I46" s="645"/>
      <c r="J46" s="646"/>
      <c r="K46" s="646"/>
      <c r="L46" s="648">
        <f t="shared" ref="L46:L64" si="29">SUM(M46:Z46)</f>
        <v>702.41214426261672</v>
      </c>
      <c r="M46" s="646"/>
      <c r="N46" s="646"/>
      <c r="O46" s="646"/>
      <c r="P46" s="646"/>
      <c r="Q46" s="646"/>
      <c r="R46" s="646"/>
      <c r="S46" s="646"/>
      <c r="T46" s="646"/>
      <c r="U46" s="646">
        <v>702.41214426261672</v>
      </c>
      <c r="V46" s="646"/>
      <c r="W46" s="647"/>
      <c r="X46" s="647"/>
      <c r="Y46" s="647"/>
      <c r="Z46" s="646"/>
      <c r="AA46" s="651">
        <v>2.9723185667999998E-2</v>
      </c>
      <c r="AB46" s="649">
        <f t="shared" ref="AB46:AB64" si="30">SUM(AC46:AM46)</f>
        <v>30.002374318707627</v>
      </c>
      <c r="AC46" s="650"/>
      <c r="AD46" s="646"/>
      <c r="AE46" s="646"/>
      <c r="AF46" s="646"/>
      <c r="AG46" s="646"/>
      <c r="AH46" s="646"/>
      <c r="AI46" s="646">
        <v>30.002374318707627</v>
      </c>
      <c r="AJ46" s="646">
        <v>0</v>
      </c>
      <c r="AK46" s="645"/>
      <c r="AL46" s="647"/>
      <c r="AM46" s="646"/>
      <c r="AN46" s="648"/>
      <c r="AO46" s="651"/>
      <c r="AP46" s="649"/>
      <c r="AQ46" s="676">
        <f t="shared" si="13"/>
        <v>732.44424176699238</v>
      </c>
      <c r="AS46" s="4"/>
    </row>
    <row r="47" spans="1:45" s="3" customFormat="1" ht="12.75" customHeight="1">
      <c r="A47" s="729" t="s">
        <v>174</v>
      </c>
      <c r="B47" s="759"/>
      <c r="C47" s="597">
        <f t="shared" si="27"/>
        <v>0</v>
      </c>
      <c r="D47" s="760"/>
      <c r="E47" s="761"/>
      <c r="F47" s="736"/>
      <c r="G47" s="736"/>
      <c r="H47" s="601">
        <f t="shared" si="28"/>
        <v>0</v>
      </c>
      <c r="I47" s="735"/>
      <c r="J47" s="653"/>
      <c r="K47" s="653"/>
      <c r="L47" s="734">
        <f t="shared" si="29"/>
        <v>319.57486919365164</v>
      </c>
      <c r="M47" s="653"/>
      <c r="N47" s="653"/>
      <c r="O47" s="653"/>
      <c r="P47" s="653"/>
      <c r="Q47" s="653"/>
      <c r="R47" s="653"/>
      <c r="S47" s="653"/>
      <c r="T47" s="653"/>
      <c r="U47" s="653">
        <v>319.57486919365164</v>
      </c>
      <c r="V47" s="653"/>
      <c r="W47" s="736"/>
      <c r="X47" s="736"/>
      <c r="Y47" s="736"/>
      <c r="Z47" s="653"/>
      <c r="AA47" s="744"/>
      <c r="AB47" s="737">
        <f t="shared" si="30"/>
        <v>13.65011258235765</v>
      </c>
      <c r="AC47" s="738"/>
      <c r="AD47" s="653"/>
      <c r="AE47" s="653"/>
      <c r="AF47" s="653"/>
      <c r="AG47" s="653"/>
      <c r="AH47" s="653"/>
      <c r="AI47" s="653">
        <v>13.65011258235765</v>
      </c>
      <c r="AJ47" s="653">
        <v>0</v>
      </c>
      <c r="AK47" s="735"/>
      <c r="AL47" s="736"/>
      <c r="AM47" s="653"/>
      <c r="AN47" s="734"/>
      <c r="AO47" s="744"/>
      <c r="AP47" s="737"/>
      <c r="AQ47" s="652">
        <f t="shared" si="13"/>
        <v>333.22498177600926</v>
      </c>
      <c r="AS47" s="4"/>
    </row>
    <row r="48" spans="1:45" s="3" customFormat="1" ht="12.75" customHeight="1">
      <c r="A48" s="739" t="s">
        <v>175</v>
      </c>
      <c r="B48" s="596"/>
      <c r="C48" s="597">
        <f t="shared" si="27"/>
        <v>0</v>
      </c>
      <c r="D48" s="598"/>
      <c r="E48" s="608"/>
      <c r="F48" s="600"/>
      <c r="G48" s="600"/>
      <c r="H48" s="601">
        <f t="shared" si="28"/>
        <v>0</v>
      </c>
      <c r="I48" s="602"/>
      <c r="J48" s="603"/>
      <c r="K48" s="603"/>
      <c r="L48" s="601">
        <f t="shared" si="29"/>
        <v>1985.7767970742025</v>
      </c>
      <c r="M48" s="603"/>
      <c r="N48" s="603"/>
      <c r="O48" s="603"/>
      <c r="P48" s="603">
        <v>673.74419325959013</v>
      </c>
      <c r="Q48" s="603"/>
      <c r="R48" s="603"/>
      <c r="S48" s="603"/>
      <c r="T48" s="603">
        <v>1.8520724281984335</v>
      </c>
      <c r="U48" s="603">
        <v>1310.180531386414</v>
      </c>
      <c r="V48" s="603"/>
      <c r="W48" s="600"/>
      <c r="X48" s="600"/>
      <c r="Y48" s="600"/>
      <c r="Z48" s="603"/>
      <c r="AA48" s="606"/>
      <c r="AB48" s="604">
        <f t="shared" si="30"/>
        <v>78.347166728170066</v>
      </c>
      <c r="AC48" s="605"/>
      <c r="AD48" s="603"/>
      <c r="AE48" s="603"/>
      <c r="AF48" s="603"/>
      <c r="AG48" s="603"/>
      <c r="AH48" s="603"/>
      <c r="AI48" s="603">
        <v>55.96219690791942</v>
      </c>
      <c r="AJ48" s="603">
        <v>22.384969820250642</v>
      </c>
      <c r="AK48" s="602"/>
      <c r="AL48" s="600"/>
      <c r="AM48" s="603"/>
      <c r="AN48" s="601"/>
      <c r="AO48" s="606">
        <v>1.0652907432262495</v>
      </c>
      <c r="AP48" s="604"/>
      <c r="AQ48" s="607">
        <f t="shared" si="13"/>
        <v>2065.1892545455989</v>
      </c>
      <c r="AS48" s="4"/>
    </row>
    <row r="49" spans="1:45" s="3" customFormat="1" ht="12.75" customHeight="1">
      <c r="A49" s="739" t="s">
        <v>176</v>
      </c>
      <c r="B49" s="596"/>
      <c r="C49" s="597">
        <f t="shared" si="27"/>
        <v>0</v>
      </c>
      <c r="D49" s="598"/>
      <c r="E49" s="608"/>
      <c r="F49" s="600"/>
      <c r="G49" s="600"/>
      <c r="H49" s="601">
        <f t="shared" si="28"/>
        <v>0</v>
      </c>
      <c r="I49" s="602"/>
      <c r="J49" s="603"/>
      <c r="K49" s="603"/>
      <c r="L49" s="601">
        <f t="shared" si="29"/>
        <v>131.85233821544426</v>
      </c>
      <c r="M49" s="603"/>
      <c r="N49" s="603"/>
      <c r="O49" s="603"/>
      <c r="P49" s="603">
        <v>6.3769522656162847</v>
      </c>
      <c r="Q49" s="603"/>
      <c r="R49" s="603"/>
      <c r="S49" s="603"/>
      <c r="T49" s="603"/>
      <c r="U49" s="603">
        <v>125.47538594982798</v>
      </c>
      <c r="V49" s="603"/>
      <c r="W49" s="600"/>
      <c r="X49" s="600"/>
      <c r="Y49" s="600"/>
      <c r="Z49" s="603"/>
      <c r="AA49" s="606"/>
      <c r="AB49" s="604">
        <f t="shared" si="30"/>
        <v>5.5713463444749705</v>
      </c>
      <c r="AC49" s="605"/>
      <c r="AD49" s="603"/>
      <c r="AE49" s="603"/>
      <c r="AF49" s="603"/>
      <c r="AG49" s="603"/>
      <c r="AH49" s="603"/>
      <c r="AI49" s="603">
        <v>5.3594738186126225</v>
      </c>
      <c r="AJ49" s="603">
        <v>0.21187252586234828</v>
      </c>
      <c r="AK49" s="602"/>
      <c r="AL49" s="600"/>
      <c r="AM49" s="603"/>
      <c r="AN49" s="601"/>
      <c r="AO49" s="606"/>
      <c r="AP49" s="604"/>
      <c r="AQ49" s="607">
        <f t="shared" si="13"/>
        <v>137.42368455991922</v>
      </c>
      <c r="AS49" s="4"/>
    </row>
    <row r="50" spans="1:45" s="3" customFormat="1" ht="12.75" customHeight="1">
      <c r="A50" s="739" t="s">
        <v>177</v>
      </c>
      <c r="B50" s="596"/>
      <c r="C50" s="597">
        <f t="shared" si="27"/>
        <v>0</v>
      </c>
      <c r="D50" s="598"/>
      <c r="E50" s="608"/>
      <c r="F50" s="600"/>
      <c r="G50" s="600"/>
      <c r="H50" s="601">
        <f t="shared" si="28"/>
        <v>0</v>
      </c>
      <c r="I50" s="602"/>
      <c r="J50" s="603"/>
      <c r="K50" s="603"/>
      <c r="L50" s="601">
        <f t="shared" si="29"/>
        <v>38.043221783939138</v>
      </c>
      <c r="M50" s="603"/>
      <c r="N50" s="603"/>
      <c r="O50" s="603"/>
      <c r="P50" s="603"/>
      <c r="Q50" s="603"/>
      <c r="R50" s="762"/>
      <c r="S50" s="603"/>
      <c r="T50" s="603"/>
      <c r="U50" s="603">
        <v>38.043221783939138</v>
      </c>
      <c r="V50" s="603"/>
      <c r="W50" s="600"/>
      <c r="X50" s="600"/>
      <c r="Y50" s="600"/>
      <c r="Z50" s="603"/>
      <c r="AA50" s="606"/>
      <c r="AB50" s="604">
        <f t="shared" si="30"/>
        <v>0</v>
      </c>
      <c r="AC50" s="605"/>
      <c r="AD50" s="603"/>
      <c r="AE50" s="603"/>
      <c r="AF50" s="603"/>
      <c r="AG50" s="603"/>
      <c r="AH50" s="603"/>
      <c r="AI50" s="603">
        <v>0</v>
      </c>
      <c r="AJ50" s="603"/>
      <c r="AK50" s="602"/>
      <c r="AL50" s="600"/>
      <c r="AM50" s="603"/>
      <c r="AN50" s="601"/>
      <c r="AO50" s="606">
        <v>4.30809088</v>
      </c>
      <c r="AP50" s="604"/>
      <c r="AQ50" s="607">
        <f t="shared" si="13"/>
        <v>42.35131266393914</v>
      </c>
      <c r="AS50" s="4"/>
    </row>
    <row r="51" spans="1:45" s="3" customFormat="1" ht="12.75" customHeight="1">
      <c r="A51" s="739" t="s">
        <v>178</v>
      </c>
      <c r="B51" s="596"/>
      <c r="C51" s="597">
        <f t="shared" si="27"/>
        <v>0</v>
      </c>
      <c r="D51" s="598"/>
      <c r="E51" s="608"/>
      <c r="F51" s="600"/>
      <c r="G51" s="600"/>
      <c r="H51" s="601">
        <f t="shared" si="28"/>
        <v>0</v>
      </c>
      <c r="I51" s="602"/>
      <c r="J51" s="603"/>
      <c r="K51" s="603"/>
      <c r="L51" s="601">
        <f t="shared" si="29"/>
        <v>5.5768892778871404</v>
      </c>
      <c r="M51" s="603"/>
      <c r="N51" s="603"/>
      <c r="O51" s="603"/>
      <c r="P51" s="603">
        <v>0.66818888888888883</v>
      </c>
      <c r="Q51" s="603"/>
      <c r="R51" s="603">
        <v>4.9087003889982519</v>
      </c>
      <c r="S51" s="603"/>
      <c r="T51" s="603"/>
      <c r="U51" s="603"/>
      <c r="V51" s="603"/>
      <c r="W51" s="600"/>
      <c r="X51" s="600"/>
      <c r="Y51" s="600"/>
      <c r="Z51" s="603"/>
      <c r="AA51" s="606"/>
      <c r="AB51" s="604">
        <f t="shared" si="30"/>
        <v>0</v>
      </c>
      <c r="AC51" s="605"/>
      <c r="AD51" s="603"/>
      <c r="AE51" s="603"/>
      <c r="AF51" s="603"/>
      <c r="AG51" s="603"/>
      <c r="AH51" s="603"/>
      <c r="AI51" s="603"/>
      <c r="AJ51" s="603"/>
      <c r="AK51" s="602"/>
      <c r="AL51" s="600"/>
      <c r="AM51" s="603"/>
      <c r="AN51" s="601"/>
      <c r="AO51" s="606"/>
      <c r="AP51" s="604"/>
      <c r="AQ51" s="607">
        <f t="shared" si="13"/>
        <v>5.5768892778871404</v>
      </c>
      <c r="AS51" s="4"/>
    </row>
    <row r="52" spans="1:45" s="3" customFormat="1" ht="12.75" customHeight="1">
      <c r="A52" s="739" t="s">
        <v>179</v>
      </c>
      <c r="B52" s="743"/>
      <c r="C52" s="763">
        <f t="shared" si="27"/>
        <v>0</v>
      </c>
      <c r="D52" s="762"/>
      <c r="E52" s="762"/>
      <c r="F52" s="764"/>
      <c r="G52" s="764"/>
      <c r="H52" s="765">
        <f t="shared" si="28"/>
        <v>0</v>
      </c>
      <c r="I52" s="766"/>
      <c r="J52" s="762"/>
      <c r="K52" s="762"/>
      <c r="L52" s="765">
        <f t="shared" si="29"/>
        <v>1097.1586093062015</v>
      </c>
      <c r="M52" s="762"/>
      <c r="N52" s="762"/>
      <c r="O52" s="762"/>
      <c r="P52" s="653"/>
      <c r="Q52" s="762"/>
      <c r="R52" s="762">
        <v>1097.1586093062015</v>
      </c>
      <c r="S52" s="762"/>
      <c r="T52" s="762"/>
      <c r="U52" s="762"/>
      <c r="V52" s="762"/>
      <c r="W52" s="764"/>
      <c r="X52" s="764"/>
      <c r="Y52" s="764"/>
      <c r="Z52" s="762"/>
      <c r="AA52" s="744"/>
      <c r="AB52" s="767">
        <f t="shared" si="30"/>
        <v>0</v>
      </c>
      <c r="AC52" s="768"/>
      <c r="AD52" s="762"/>
      <c r="AE52" s="762"/>
      <c r="AF52" s="762"/>
      <c r="AG52" s="762"/>
      <c r="AH52" s="762"/>
      <c r="AI52" s="762"/>
      <c r="AJ52" s="762"/>
      <c r="AK52" s="735"/>
      <c r="AL52" s="736"/>
      <c r="AM52" s="762"/>
      <c r="AN52" s="744"/>
      <c r="AO52" s="744"/>
      <c r="AP52" s="767"/>
      <c r="AQ52" s="769">
        <f t="shared" si="13"/>
        <v>1097.1586093062015</v>
      </c>
      <c r="AS52" s="4"/>
    </row>
    <row r="53" spans="1:45" s="3" customFormat="1" ht="12.75" customHeight="1">
      <c r="A53" s="739" t="s">
        <v>180</v>
      </c>
      <c r="B53" s="743"/>
      <c r="C53" s="763">
        <f t="shared" si="27"/>
        <v>0</v>
      </c>
      <c r="D53" s="766"/>
      <c r="E53" s="762"/>
      <c r="F53" s="764"/>
      <c r="G53" s="764"/>
      <c r="H53" s="765">
        <f t="shared" si="28"/>
        <v>0</v>
      </c>
      <c r="I53" s="766"/>
      <c r="J53" s="762"/>
      <c r="K53" s="762"/>
      <c r="L53" s="765">
        <f t="shared" si="29"/>
        <v>176.94052908505745</v>
      </c>
      <c r="M53" s="762"/>
      <c r="N53" s="762"/>
      <c r="O53" s="762"/>
      <c r="P53" s="762">
        <v>0</v>
      </c>
      <c r="Q53" s="762"/>
      <c r="R53" s="762"/>
      <c r="S53" s="762"/>
      <c r="T53" s="762"/>
      <c r="U53" s="762">
        <v>176.94052908505745</v>
      </c>
      <c r="V53" s="762"/>
      <c r="W53" s="764"/>
      <c r="X53" s="764"/>
      <c r="Y53" s="764"/>
      <c r="Z53" s="762"/>
      <c r="AA53" s="744"/>
      <c r="AB53" s="767">
        <f t="shared" si="30"/>
        <v>7.5577223843887342</v>
      </c>
      <c r="AC53" s="768"/>
      <c r="AD53" s="762"/>
      <c r="AE53" s="762"/>
      <c r="AF53" s="762"/>
      <c r="AG53" s="762"/>
      <c r="AH53" s="762"/>
      <c r="AI53" s="603">
        <v>7.5577223843887342</v>
      </c>
      <c r="AJ53" s="603">
        <v>0</v>
      </c>
      <c r="AK53" s="762"/>
      <c r="AL53" s="762"/>
      <c r="AM53" s="762"/>
      <c r="AN53" s="744"/>
      <c r="AO53" s="606"/>
      <c r="AP53" s="767"/>
      <c r="AQ53" s="769">
        <f t="shared" si="13"/>
        <v>184.49825146944619</v>
      </c>
      <c r="AS53" s="4"/>
    </row>
    <row r="54" spans="1:45" s="3" customFormat="1" ht="12.75" customHeight="1">
      <c r="A54" s="595" t="s">
        <v>181</v>
      </c>
      <c r="B54" s="596"/>
      <c r="C54" s="763">
        <f t="shared" si="27"/>
        <v>0</v>
      </c>
      <c r="D54" s="766"/>
      <c r="E54" s="762"/>
      <c r="F54" s="764"/>
      <c r="G54" s="764"/>
      <c r="H54" s="765">
        <f t="shared" si="28"/>
        <v>0</v>
      </c>
      <c r="I54" s="766"/>
      <c r="J54" s="762"/>
      <c r="K54" s="762"/>
      <c r="L54" s="765">
        <f t="shared" si="29"/>
        <v>83.913724293678101</v>
      </c>
      <c r="M54" s="762"/>
      <c r="N54" s="762"/>
      <c r="O54" s="762"/>
      <c r="P54" s="762"/>
      <c r="Q54" s="762"/>
      <c r="R54" s="762"/>
      <c r="S54" s="762"/>
      <c r="T54" s="762"/>
      <c r="U54" s="762">
        <v>83.913724293678101</v>
      </c>
      <c r="V54" s="762"/>
      <c r="W54" s="764"/>
      <c r="X54" s="764"/>
      <c r="Y54" s="764"/>
      <c r="Z54" s="762"/>
      <c r="AA54" s="702"/>
      <c r="AB54" s="767">
        <f t="shared" si="30"/>
        <v>0</v>
      </c>
      <c r="AC54" s="768"/>
      <c r="AD54" s="762"/>
      <c r="AE54" s="762"/>
      <c r="AF54" s="762"/>
      <c r="AG54" s="762"/>
      <c r="AH54" s="762"/>
      <c r="AI54" s="762"/>
      <c r="AJ54" s="762"/>
      <c r="AK54" s="762"/>
      <c r="AL54" s="762"/>
      <c r="AM54" s="762"/>
      <c r="AN54" s="702"/>
      <c r="AO54" s="744"/>
      <c r="AP54" s="767"/>
      <c r="AQ54" s="769">
        <f t="shared" si="13"/>
        <v>83.913724293678101</v>
      </c>
      <c r="AS54" s="4"/>
    </row>
    <row r="55" spans="1:45" s="3" customFormat="1" ht="12.75" customHeight="1">
      <c r="A55" s="654" t="s">
        <v>182</v>
      </c>
      <c r="B55" s="655"/>
      <c r="C55" s="656">
        <f t="shared" si="27"/>
        <v>0</v>
      </c>
      <c r="D55" s="770"/>
      <c r="E55" s="771"/>
      <c r="F55" s="659"/>
      <c r="G55" s="659"/>
      <c r="H55" s="660">
        <f t="shared" si="28"/>
        <v>0</v>
      </c>
      <c r="I55" s="657"/>
      <c r="J55" s="658"/>
      <c r="K55" s="658"/>
      <c r="L55" s="660">
        <f t="shared" si="29"/>
        <v>478.67565344603031</v>
      </c>
      <c r="M55" s="658"/>
      <c r="N55" s="658"/>
      <c r="O55" s="658"/>
      <c r="P55" s="658">
        <v>140.69069390787573</v>
      </c>
      <c r="Q55" s="658"/>
      <c r="R55" s="658"/>
      <c r="S55" s="658">
        <v>0</v>
      </c>
      <c r="T55" s="658"/>
      <c r="U55" s="658">
        <v>337.98495953815461</v>
      </c>
      <c r="V55" s="658"/>
      <c r="W55" s="659"/>
      <c r="X55" s="659"/>
      <c r="Y55" s="659"/>
      <c r="Z55" s="658"/>
      <c r="AA55" s="663">
        <v>22.531112229915806</v>
      </c>
      <c r="AB55" s="661">
        <f t="shared" si="30"/>
        <v>19.110879685596952</v>
      </c>
      <c r="AC55" s="662"/>
      <c r="AD55" s="658"/>
      <c r="AE55" s="658"/>
      <c r="AF55" s="658"/>
      <c r="AG55" s="658"/>
      <c r="AH55" s="658"/>
      <c r="AI55" s="658">
        <v>14.436469176941943</v>
      </c>
      <c r="AJ55" s="658">
        <v>4.6744105086550087</v>
      </c>
      <c r="AK55" s="657"/>
      <c r="AL55" s="659"/>
      <c r="AM55" s="658"/>
      <c r="AN55" s="660"/>
      <c r="AO55" s="663"/>
      <c r="AP55" s="661"/>
      <c r="AQ55" s="664">
        <f t="shared" si="13"/>
        <v>520.3176453615431</v>
      </c>
      <c r="AS55" s="4"/>
    </row>
    <row r="56" spans="1:45" s="31" customFormat="1" ht="12.75" customHeight="1">
      <c r="A56" s="86" t="s">
        <v>1</v>
      </c>
      <c r="B56" s="773"/>
      <c r="C56" s="774">
        <f t="shared" si="27"/>
        <v>245.30288163122782</v>
      </c>
      <c r="D56" s="775">
        <v>84.19758326883435</v>
      </c>
      <c r="E56" s="599">
        <v>153.30941368399715</v>
      </c>
      <c r="F56" s="776"/>
      <c r="G56" s="776">
        <v>7.795884678396293</v>
      </c>
      <c r="H56" s="777">
        <f t="shared" si="28"/>
        <v>196.53880633</v>
      </c>
      <c r="I56" s="775"/>
      <c r="J56" s="674">
        <v>127.70399999999999</v>
      </c>
      <c r="K56" s="674">
        <v>68.834806329999992</v>
      </c>
      <c r="L56" s="777">
        <f t="shared" si="29"/>
        <v>1204.833103126648</v>
      </c>
      <c r="M56" s="674"/>
      <c r="N56" s="674"/>
      <c r="O56" s="674"/>
      <c r="P56" s="674">
        <v>0</v>
      </c>
      <c r="Q56" s="674">
        <v>863.40024232349867</v>
      </c>
      <c r="R56" s="674"/>
      <c r="S56" s="674">
        <v>0</v>
      </c>
      <c r="T56" s="674">
        <v>53.841522983216713</v>
      </c>
      <c r="U56" s="674">
        <v>284.08105108362315</v>
      </c>
      <c r="V56" s="674">
        <v>3.5102867363093639</v>
      </c>
      <c r="W56" s="776"/>
      <c r="X56" s="776"/>
      <c r="Y56" s="776"/>
      <c r="Z56" s="674"/>
      <c r="AA56" s="777">
        <v>604.09375845912712</v>
      </c>
      <c r="AB56" s="778">
        <f t="shared" si="30"/>
        <v>72.095627568998594</v>
      </c>
      <c r="AC56" s="779"/>
      <c r="AD56" s="674"/>
      <c r="AE56" s="674">
        <v>30.588864173321877</v>
      </c>
      <c r="AF56" s="674"/>
      <c r="AG56" s="674"/>
      <c r="AH56" s="674"/>
      <c r="AI56" s="674"/>
      <c r="AJ56" s="674"/>
      <c r="AK56" s="775"/>
      <c r="AL56" s="776">
        <v>13.379590942008413</v>
      </c>
      <c r="AM56" s="674">
        <v>28.127172453668308</v>
      </c>
      <c r="AN56" s="777"/>
      <c r="AO56" s="777">
        <v>702.94473599999992</v>
      </c>
      <c r="AP56" s="778"/>
      <c r="AQ56" s="675">
        <f t="shared" si="13"/>
        <v>3025.8089131160013</v>
      </c>
      <c r="AR56" s="29"/>
      <c r="AS56" s="30"/>
    </row>
    <row r="57" spans="1:45" s="6" customFormat="1" ht="12.75" customHeight="1">
      <c r="A57" s="772" t="s">
        <v>800</v>
      </c>
      <c r="B57" s="773"/>
      <c r="C57" s="774">
        <f>C58+C65</f>
        <v>0.53991879699248124</v>
      </c>
      <c r="D57" s="674">
        <f t="shared" ref="D57:AP57" si="31">D58+D65</f>
        <v>0.53991879699248124</v>
      </c>
      <c r="E57" s="674">
        <f t="shared" si="31"/>
        <v>0</v>
      </c>
      <c r="F57" s="776">
        <f t="shared" si="31"/>
        <v>0</v>
      </c>
      <c r="G57" s="776">
        <f t="shared" si="31"/>
        <v>0</v>
      </c>
      <c r="H57" s="777">
        <f t="shared" si="31"/>
        <v>0</v>
      </c>
      <c r="I57" s="775">
        <f t="shared" si="31"/>
        <v>0</v>
      </c>
      <c r="J57" s="775">
        <f t="shared" si="31"/>
        <v>0</v>
      </c>
      <c r="K57" s="775">
        <f t="shared" si="31"/>
        <v>0</v>
      </c>
      <c r="L57" s="777">
        <f t="shared" si="31"/>
        <v>263.55542937744985</v>
      </c>
      <c r="M57" s="674">
        <f t="shared" si="31"/>
        <v>0</v>
      </c>
      <c r="N57" s="674">
        <f t="shared" si="31"/>
        <v>0</v>
      </c>
      <c r="O57" s="674">
        <f t="shared" si="31"/>
        <v>0</v>
      </c>
      <c r="P57" s="674">
        <f t="shared" si="31"/>
        <v>0</v>
      </c>
      <c r="Q57" s="674">
        <f t="shared" si="31"/>
        <v>73.683977149948603</v>
      </c>
      <c r="R57" s="674">
        <f t="shared" si="31"/>
        <v>0</v>
      </c>
      <c r="S57" s="674">
        <f t="shared" si="31"/>
        <v>0.64284746861564912</v>
      </c>
      <c r="T57" s="674">
        <f t="shared" si="31"/>
        <v>69.72090857001308</v>
      </c>
      <c r="U57" s="674">
        <f t="shared" si="31"/>
        <v>119.50730406570531</v>
      </c>
      <c r="V57" s="674">
        <f t="shared" si="31"/>
        <v>3.9212316723240829E-4</v>
      </c>
      <c r="W57" s="776">
        <f t="shared" si="31"/>
        <v>0</v>
      </c>
      <c r="X57" s="776">
        <f t="shared" si="31"/>
        <v>0</v>
      </c>
      <c r="Y57" s="776">
        <f t="shared" si="31"/>
        <v>0</v>
      </c>
      <c r="Z57" s="775">
        <f t="shared" si="31"/>
        <v>0</v>
      </c>
      <c r="AA57" s="777">
        <f t="shared" si="31"/>
        <v>397.69184770224592</v>
      </c>
      <c r="AB57" s="778">
        <f t="shared" si="31"/>
        <v>41.379323582548558</v>
      </c>
      <c r="AC57" s="779">
        <f t="shared" si="31"/>
        <v>0</v>
      </c>
      <c r="AD57" s="674">
        <f t="shared" si="31"/>
        <v>0</v>
      </c>
      <c r="AE57" s="674">
        <f t="shared" si="31"/>
        <v>17.99312324724</v>
      </c>
      <c r="AF57" s="674">
        <f t="shared" si="31"/>
        <v>0</v>
      </c>
      <c r="AG57" s="674">
        <f t="shared" si="31"/>
        <v>0</v>
      </c>
      <c r="AH57" s="674">
        <f t="shared" si="31"/>
        <v>7.541555368675982</v>
      </c>
      <c r="AI57" s="674">
        <f t="shared" si="31"/>
        <v>0</v>
      </c>
      <c r="AJ57" s="674">
        <f t="shared" si="31"/>
        <v>0</v>
      </c>
      <c r="AK57" s="674">
        <f t="shared" si="31"/>
        <v>0</v>
      </c>
      <c r="AL57" s="674">
        <f t="shared" si="31"/>
        <v>0.16649466165720572</v>
      </c>
      <c r="AM57" s="775">
        <f t="shared" si="31"/>
        <v>15.678150304975372</v>
      </c>
      <c r="AN57" s="777">
        <f t="shared" si="31"/>
        <v>0</v>
      </c>
      <c r="AO57" s="777">
        <f t="shared" si="31"/>
        <v>1019.3925755397834</v>
      </c>
      <c r="AP57" s="778">
        <f t="shared" si="31"/>
        <v>0</v>
      </c>
      <c r="AQ57" s="780">
        <f t="shared" si="13"/>
        <v>1722.5590949990201</v>
      </c>
      <c r="AR57" s="3"/>
      <c r="AS57" s="27"/>
    </row>
    <row r="58" spans="1:45" s="3" customFormat="1" ht="12.75" customHeight="1">
      <c r="A58" s="86" t="s">
        <v>801</v>
      </c>
      <c r="B58" s="773"/>
      <c r="C58" s="774">
        <f t="shared" si="27"/>
        <v>0.53991879699248124</v>
      </c>
      <c r="D58" s="779">
        <v>0.53991879699248124</v>
      </c>
      <c r="E58" s="778">
        <v>0</v>
      </c>
      <c r="F58" s="778">
        <f>SUM(F59:F64)</f>
        <v>0</v>
      </c>
      <c r="G58" s="781">
        <v>0</v>
      </c>
      <c r="H58" s="777">
        <f t="shared" si="28"/>
        <v>0</v>
      </c>
      <c r="I58" s="775">
        <f>SUM(I59:I64)</f>
        <v>0</v>
      </c>
      <c r="J58" s="775">
        <f>SUM(J59:J64)</f>
        <v>0</v>
      </c>
      <c r="K58" s="775">
        <f>SUM(K59:K64)</f>
        <v>0</v>
      </c>
      <c r="L58" s="777">
        <f t="shared" si="29"/>
        <v>123.39297948584372</v>
      </c>
      <c r="M58" s="674">
        <f t="shared" ref="M58:AN58" si="32">SUM(M59:M64)</f>
        <v>0</v>
      </c>
      <c r="N58" s="776">
        <f t="shared" si="32"/>
        <v>0</v>
      </c>
      <c r="O58" s="776">
        <f t="shared" si="32"/>
        <v>0</v>
      </c>
      <c r="P58" s="778">
        <f t="shared" si="32"/>
        <v>0</v>
      </c>
      <c r="Q58" s="778">
        <v>25.817592108194308</v>
      </c>
      <c r="R58" s="778">
        <f t="shared" si="32"/>
        <v>0</v>
      </c>
      <c r="S58" s="778">
        <v>0</v>
      </c>
      <c r="T58" s="778">
        <v>53.639757659500326</v>
      </c>
      <c r="U58" s="778">
        <v>43.935237594981864</v>
      </c>
      <c r="V58" s="778">
        <f t="shared" si="32"/>
        <v>3.9212316723240829E-4</v>
      </c>
      <c r="W58" s="778">
        <f t="shared" si="32"/>
        <v>0</v>
      </c>
      <c r="X58" s="778">
        <f t="shared" si="32"/>
        <v>0</v>
      </c>
      <c r="Y58" s="776">
        <f t="shared" si="32"/>
        <v>0</v>
      </c>
      <c r="Z58" s="775">
        <f t="shared" si="32"/>
        <v>0</v>
      </c>
      <c r="AA58" s="777">
        <v>205.61511570855646</v>
      </c>
      <c r="AB58" s="778">
        <f t="shared" si="30"/>
        <v>23.586836774290585</v>
      </c>
      <c r="AC58" s="779">
        <f t="shared" si="32"/>
        <v>0</v>
      </c>
      <c r="AD58" s="674">
        <f t="shared" si="32"/>
        <v>0</v>
      </c>
      <c r="AE58" s="674">
        <f t="shared" si="32"/>
        <v>5.0179504193776099</v>
      </c>
      <c r="AF58" s="674"/>
      <c r="AG58" s="674">
        <f t="shared" si="32"/>
        <v>0</v>
      </c>
      <c r="AH58" s="674">
        <f t="shared" si="32"/>
        <v>2.7242413882803982</v>
      </c>
      <c r="AI58" s="674">
        <f t="shared" si="32"/>
        <v>0</v>
      </c>
      <c r="AJ58" s="674">
        <f t="shared" si="32"/>
        <v>0</v>
      </c>
      <c r="AK58" s="674"/>
      <c r="AL58" s="674">
        <v>0.16649466165720572</v>
      </c>
      <c r="AM58" s="776">
        <v>15.678150304975372</v>
      </c>
      <c r="AN58" s="777">
        <f t="shared" si="32"/>
        <v>0</v>
      </c>
      <c r="AO58" s="777">
        <v>684.51532146142654</v>
      </c>
      <c r="AP58" s="778">
        <f t="shared" ref="AP58" si="33">SUM(AP59:AP64)</f>
        <v>0</v>
      </c>
      <c r="AQ58" s="780">
        <f t="shared" si="13"/>
        <v>1037.6501722271098</v>
      </c>
      <c r="AS58" s="28"/>
    </row>
    <row r="59" spans="1:45" s="16" customFormat="1" ht="12.75" customHeight="1">
      <c r="A59" s="782" t="s">
        <v>802</v>
      </c>
      <c r="B59" s="783" t="s">
        <v>803</v>
      </c>
      <c r="C59" s="644">
        <f t="shared" si="27"/>
        <v>9.9984962406015031E-3</v>
      </c>
      <c r="D59" s="784">
        <v>9.9984962406015031E-3</v>
      </c>
      <c r="E59" s="649"/>
      <c r="F59" s="649"/>
      <c r="G59" s="690"/>
      <c r="H59" s="648">
        <f t="shared" si="28"/>
        <v>0</v>
      </c>
      <c r="I59" s="758"/>
      <c r="J59" s="758"/>
      <c r="K59" s="758"/>
      <c r="L59" s="648">
        <f t="shared" si="29"/>
        <v>32.327049654868127</v>
      </c>
      <c r="M59" s="692"/>
      <c r="N59" s="785"/>
      <c r="O59" s="785"/>
      <c r="P59" s="649"/>
      <c r="Q59" s="786">
        <v>8.0278057943609493</v>
      </c>
      <c r="R59" s="649"/>
      <c r="S59" s="786">
        <v>0</v>
      </c>
      <c r="T59" s="786">
        <v>15.105482293518097</v>
      </c>
      <c r="U59" s="786">
        <v>9.19376156698908</v>
      </c>
      <c r="V59" s="786">
        <v>0</v>
      </c>
      <c r="W59" s="649"/>
      <c r="X59" s="649"/>
      <c r="Y59" s="785"/>
      <c r="Z59" s="758"/>
      <c r="AA59" s="787">
        <v>57.532573159401849</v>
      </c>
      <c r="AB59" s="649">
        <f t="shared" si="30"/>
        <v>1.2773333532141125</v>
      </c>
      <c r="AC59" s="788"/>
      <c r="AD59" s="692"/>
      <c r="AE59" s="789">
        <v>1.2773333532141125</v>
      </c>
      <c r="AF59" s="789"/>
      <c r="AG59" s="789"/>
      <c r="AH59" s="789">
        <v>0</v>
      </c>
      <c r="AI59" s="789"/>
      <c r="AJ59" s="789"/>
      <c r="AK59" s="789"/>
      <c r="AL59" s="789">
        <v>0</v>
      </c>
      <c r="AM59" s="790">
        <v>0</v>
      </c>
      <c r="AN59" s="648"/>
      <c r="AO59" s="787">
        <v>227.43297899256885</v>
      </c>
      <c r="AP59" s="649"/>
      <c r="AQ59" s="791">
        <f t="shared" si="13"/>
        <v>318.57993365629352</v>
      </c>
      <c r="AS59" s="28"/>
    </row>
    <row r="60" spans="1:45" s="16" customFormat="1" ht="12.75" customHeight="1">
      <c r="A60" s="782" t="s">
        <v>804</v>
      </c>
      <c r="B60" s="783" t="s">
        <v>805</v>
      </c>
      <c r="C60" s="597">
        <f t="shared" si="27"/>
        <v>1.0998345864661654E-2</v>
      </c>
      <c r="D60" s="784">
        <v>1.0998345864661654E-2</v>
      </c>
      <c r="E60" s="604"/>
      <c r="F60" s="604"/>
      <c r="G60" s="792"/>
      <c r="H60" s="601">
        <f t="shared" si="28"/>
        <v>0</v>
      </c>
      <c r="I60" s="598"/>
      <c r="J60" s="598"/>
      <c r="K60" s="598"/>
      <c r="L60" s="601">
        <f t="shared" si="29"/>
        <v>24.137833390343388</v>
      </c>
      <c r="M60" s="608"/>
      <c r="N60" s="599"/>
      <c r="O60" s="599"/>
      <c r="P60" s="604"/>
      <c r="Q60" s="786">
        <v>5.3543303518790886</v>
      </c>
      <c r="R60" s="604"/>
      <c r="S60" s="786">
        <v>0</v>
      </c>
      <c r="T60" s="786">
        <v>5.393987425308894</v>
      </c>
      <c r="U60" s="786">
        <v>13.389515613155407</v>
      </c>
      <c r="V60" s="786">
        <v>0</v>
      </c>
      <c r="W60" s="604"/>
      <c r="X60" s="604"/>
      <c r="Y60" s="599"/>
      <c r="Z60" s="598"/>
      <c r="AA60" s="787">
        <v>17.076846566169994</v>
      </c>
      <c r="AB60" s="604">
        <f t="shared" si="30"/>
        <v>6.7770858417357749E-2</v>
      </c>
      <c r="AC60" s="793"/>
      <c r="AD60" s="608"/>
      <c r="AE60" s="794">
        <v>6.7770858417357749E-2</v>
      </c>
      <c r="AF60" s="794"/>
      <c r="AG60" s="794"/>
      <c r="AH60" s="794">
        <v>0</v>
      </c>
      <c r="AI60" s="794"/>
      <c r="AJ60" s="794"/>
      <c r="AK60" s="794"/>
      <c r="AL60" s="794">
        <v>0</v>
      </c>
      <c r="AM60" s="795">
        <v>0</v>
      </c>
      <c r="AN60" s="601"/>
      <c r="AO60" s="787">
        <v>69.841724309024471</v>
      </c>
      <c r="AP60" s="604"/>
      <c r="AQ60" s="796">
        <f t="shared" si="13"/>
        <v>111.13517346981988</v>
      </c>
      <c r="AS60" s="28"/>
    </row>
    <row r="61" spans="1:45" s="16" customFormat="1" ht="12.75" customHeight="1">
      <c r="A61" s="782" t="s">
        <v>806</v>
      </c>
      <c r="B61" s="783" t="s">
        <v>807</v>
      </c>
      <c r="C61" s="597">
        <f t="shared" si="27"/>
        <v>0.48392721804511274</v>
      </c>
      <c r="D61" s="784">
        <v>0.48392721804511274</v>
      </c>
      <c r="E61" s="604"/>
      <c r="F61" s="604"/>
      <c r="G61" s="792"/>
      <c r="H61" s="601">
        <f t="shared" si="28"/>
        <v>0</v>
      </c>
      <c r="I61" s="598"/>
      <c r="J61" s="598"/>
      <c r="K61" s="598"/>
      <c r="L61" s="601">
        <f t="shared" si="29"/>
        <v>31.333616383670492</v>
      </c>
      <c r="M61" s="608"/>
      <c r="N61" s="599"/>
      <c r="O61" s="599"/>
      <c r="P61" s="604"/>
      <c r="Q61" s="786">
        <v>4.9790317487546645</v>
      </c>
      <c r="R61" s="604"/>
      <c r="S61" s="786">
        <v>0</v>
      </c>
      <c r="T61" s="786">
        <v>19.202826984364982</v>
      </c>
      <c r="U61" s="786">
        <v>7.1517576505508451</v>
      </c>
      <c r="V61" s="786">
        <v>0</v>
      </c>
      <c r="W61" s="604"/>
      <c r="X61" s="604"/>
      <c r="Y61" s="599"/>
      <c r="Z61" s="598"/>
      <c r="AA61" s="787">
        <v>37.147190784142389</v>
      </c>
      <c r="AB61" s="604">
        <f t="shared" si="30"/>
        <v>2.1318354810851448</v>
      </c>
      <c r="AC61" s="793"/>
      <c r="AD61" s="608"/>
      <c r="AE61" s="794">
        <v>2.1318354810851448</v>
      </c>
      <c r="AF61" s="794"/>
      <c r="AG61" s="794"/>
      <c r="AH61" s="794">
        <v>0</v>
      </c>
      <c r="AI61" s="794"/>
      <c r="AJ61" s="794"/>
      <c r="AK61" s="794"/>
      <c r="AL61" s="794">
        <v>0</v>
      </c>
      <c r="AM61" s="795">
        <v>0</v>
      </c>
      <c r="AN61" s="601"/>
      <c r="AO61" s="787">
        <v>87.896378653102275</v>
      </c>
      <c r="AP61" s="604"/>
      <c r="AQ61" s="796">
        <f t="shared" si="13"/>
        <v>158.99294852004542</v>
      </c>
      <c r="AS61" s="28"/>
    </row>
    <row r="62" spans="1:45" s="16" customFormat="1" ht="12.75" customHeight="1">
      <c r="A62" s="782" t="s">
        <v>808</v>
      </c>
      <c r="B62" s="783" t="s">
        <v>809</v>
      </c>
      <c r="C62" s="597">
        <f t="shared" si="27"/>
        <v>0</v>
      </c>
      <c r="D62" s="784">
        <v>0</v>
      </c>
      <c r="E62" s="604"/>
      <c r="F62" s="604"/>
      <c r="G62" s="792"/>
      <c r="H62" s="601">
        <f t="shared" si="28"/>
        <v>0</v>
      </c>
      <c r="I62" s="598"/>
      <c r="J62" s="598"/>
      <c r="K62" s="598"/>
      <c r="L62" s="601">
        <f t="shared" si="29"/>
        <v>5.4379501694305112</v>
      </c>
      <c r="M62" s="608"/>
      <c r="N62" s="599"/>
      <c r="O62" s="599"/>
      <c r="P62" s="604"/>
      <c r="Q62" s="786">
        <v>1.5602301478206442</v>
      </c>
      <c r="R62" s="604"/>
      <c r="S62" s="786">
        <v>0</v>
      </c>
      <c r="T62" s="786">
        <v>1.6396331271347122</v>
      </c>
      <c r="U62" s="786">
        <v>2.2380868944751544</v>
      </c>
      <c r="V62" s="786">
        <v>0</v>
      </c>
      <c r="W62" s="604"/>
      <c r="X62" s="604"/>
      <c r="Y62" s="599"/>
      <c r="Z62" s="598"/>
      <c r="AA62" s="787">
        <v>9.7954001243574229</v>
      </c>
      <c r="AB62" s="604">
        <f t="shared" si="30"/>
        <v>3.8305267801115254E-2</v>
      </c>
      <c r="AC62" s="793"/>
      <c r="AD62" s="608"/>
      <c r="AE62" s="794">
        <v>3.8305267801115254E-2</v>
      </c>
      <c r="AF62" s="794"/>
      <c r="AG62" s="794"/>
      <c r="AH62" s="794">
        <v>0</v>
      </c>
      <c r="AI62" s="794"/>
      <c r="AJ62" s="794"/>
      <c r="AK62" s="794"/>
      <c r="AL62" s="794">
        <v>0</v>
      </c>
      <c r="AM62" s="795">
        <v>0</v>
      </c>
      <c r="AN62" s="601"/>
      <c r="AO62" s="787">
        <v>168.21982573047418</v>
      </c>
      <c r="AP62" s="604"/>
      <c r="AQ62" s="796">
        <f t="shared" si="13"/>
        <v>183.49148129206324</v>
      </c>
      <c r="AS62" s="28"/>
    </row>
    <row r="63" spans="1:45" s="16" customFormat="1" ht="12.75" customHeight="1">
      <c r="A63" s="782" t="s">
        <v>810</v>
      </c>
      <c r="B63" s="783" t="s">
        <v>811</v>
      </c>
      <c r="C63" s="597">
        <f t="shared" si="27"/>
        <v>3.4994736842105266E-2</v>
      </c>
      <c r="D63" s="797">
        <v>3.4994736842105266E-2</v>
      </c>
      <c r="E63" s="604"/>
      <c r="F63" s="604"/>
      <c r="G63" s="792"/>
      <c r="H63" s="601">
        <f t="shared" si="28"/>
        <v>0</v>
      </c>
      <c r="I63" s="598"/>
      <c r="J63" s="598"/>
      <c r="K63" s="598"/>
      <c r="L63" s="601">
        <f t="shared" si="29"/>
        <v>2.5994355613729017</v>
      </c>
      <c r="M63" s="608"/>
      <c r="N63" s="599"/>
      <c r="O63" s="599"/>
      <c r="P63" s="604"/>
      <c r="Q63" s="798">
        <v>0.92243336442098911</v>
      </c>
      <c r="R63" s="604"/>
      <c r="S63" s="798">
        <v>0</v>
      </c>
      <c r="T63" s="798">
        <v>0.18424146092891816</v>
      </c>
      <c r="U63" s="798">
        <v>1.4927607360229946</v>
      </c>
      <c r="V63" s="798">
        <v>0</v>
      </c>
      <c r="W63" s="604"/>
      <c r="X63" s="604"/>
      <c r="Y63" s="599"/>
      <c r="Z63" s="598"/>
      <c r="AA63" s="799">
        <v>15.333339022313094</v>
      </c>
      <c r="AB63" s="604">
        <f t="shared" si="30"/>
        <v>0</v>
      </c>
      <c r="AC63" s="793"/>
      <c r="AD63" s="608"/>
      <c r="AE63" s="794">
        <v>0</v>
      </c>
      <c r="AF63" s="794"/>
      <c r="AG63" s="794"/>
      <c r="AH63" s="794">
        <v>0</v>
      </c>
      <c r="AI63" s="794"/>
      <c r="AJ63" s="794"/>
      <c r="AK63" s="794"/>
      <c r="AL63" s="794">
        <v>0</v>
      </c>
      <c r="AM63" s="795">
        <v>0</v>
      </c>
      <c r="AN63" s="601"/>
      <c r="AO63" s="799">
        <v>37.594013086148287</v>
      </c>
      <c r="AP63" s="604"/>
      <c r="AQ63" s="796">
        <f t="shared" si="13"/>
        <v>55.561782406676386</v>
      </c>
      <c r="AS63" s="28"/>
    </row>
    <row r="64" spans="1:45" s="16" customFormat="1" ht="12.75" customHeight="1">
      <c r="A64" s="800" t="s">
        <v>812</v>
      </c>
      <c r="B64" s="801"/>
      <c r="C64" s="656">
        <f t="shared" si="27"/>
        <v>0</v>
      </c>
      <c r="D64" s="797">
        <v>0</v>
      </c>
      <c r="E64" s="661"/>
      <c r="F64" s="661"/>
      <c r="G64" s="802"/>
      <c r="H64" s="660">
        <f t="shared" si="28"/>
        <v>0</v>
      </c>
      <c r="I64" s="770"/>
      <c r="J64" s="770"/>
      <c r="K64" s="770"/>
      <c r="L64" s="660">
        <f t="shared" si="29"/>
        <v>27.557094326158314</v>
      </c>
      <c r="M64" s="771"/>
      <c r="N64" s="803"/>
      <c r="O64" s="803"/>
      <c r="P64" s="661"/>
      <c r="Q64" s="798">
        <v>4.9737607009579721</v>
      </c>
      <c r="R64" s="661"/>
      <c r="S64" s="798">
        <v>0</v>
      </c>
      <c r="T64" s="798">
        <v>12.11358636824472</v>
      </c>
      <c r="U64" s="798">
        <v>10.469355133788389</v>
      </c>
      <c r="V64" s="798">
        <v>3.9212316723240829E-4</v>
      </c>
      <c r="W64" s="661"/>
      <c r="X64" s="661"/>
      <c r="Y64" s="803"/>
      <c r="Z64" s="770"/>
      <c r="AA64" s="799">
        <v>68.729766052171726</v>
      </c>
      <c r="AB64" s="661">
        <f t="shared" si="30"/>
        <v>20.071591813772855</v>
      </c>
      <c r="AC64" s="804"/>
      <c r="AD64" s="771"/>
      <c r="AE64" s="805">
        <v>1.5027054588598796</v>
      </c>
      <c r="AF64" s="805"/>
      <c r="AG64" s="805"/>
      <c r="AH64" s="805">
        <v>2.7242413882803982</v>
      </c>
      <c r="AI64" s="805"/>
      <c r="AJ64" s="805"/>
      <c r="AK64" s="805"/>
      <c r="AL64" s="805">
        <v>0.16649466165720572</v>
      </c>
      <c r="AM64" s="806">
        <v>15.678150304975372</v>
      </c>
      <c r="AN64" s="660"/>
      <c r="AO64" s="799">
        <v>93.530400690108436</v>
      </c>
      <c r="AP64" s="661"/>
      <c r="AQ64" s="807">
        <f t="shared" si="13"/>
        <v>209.88885288221132</v>
      </c>
      <c r="AS64" s="28"/>
    </row>
    <row r="65" spans="1:45" s="3" customFormat="1" ht="12.75" customHeight="1">
      <c r="A65" s="86" t="s">
        <v>813</v>
      </c>
      <c r="B65" s="773"/>
      <c r="C65" s="656">
        <f>SUM(D65:G65)</f>
        <v>0</v>
      </c>
      <c r="D65" s="779">
        <f>SUM(D66:D69)</f>
        <v>0</v>
      </c>
      <c r="E65" s="747"/>
      <c r="F65" s="747"/>
      <c r="G65" s="748"/>
      <c r="H65" s="660">
        <f>SUM(I65:K65)</f>
        <v>0</v>
      </c>
      <c r="I65" s="657"/>
      <c r="J65" s="658">
        <v>0</v>
      </c>
      <c r="K65" s="658">
        <v>0</v>
      </c>
      <c r="L65" s="660">
        <f>SUM(M65:Z65)</f>
        <v>140.16244989160612</v>
      </c>
      <c r="M65" s="658"/>
      <c r="N65" s="659"/>
      <c r="O65" s="659"/>
      <c r="P65" s="747"/>
      <c r="Q65" s="778">
        <v>47.866385041754299</v>
      </c>
      <c r="R65" s="747"/>
      <c r="S65" s="778">
        <v>0.64284746861564912</v>
      </c>
      <c r="T65" s="778">
        <v>16.081150910512747</v>
      </c>
      <c r="U65" s="778">
        <v>75.572066470723442</v>
      </c>
      <c r="V65" s="778">
        <f>SUM(V66:V69)</f>
        <v>0</v>
      </c>
      <c r="W65" s="747"/>
      <c r="X65" s="747"/>
      <c r="Y65" s="659"/>
      <c r="Z65" s="658"/>
      <c r="AA65" s="777">
        <v>192.07673199368949</v>
      </c>
      <c r="AB65" s="661">
        <f>SUM(AC65:AM65)</f>
        <v>17.792486808257973</v>
      </c>
      <c r="AC65" s="662"/>
      <c r="AD65" s="658"/>
      <c r="AE65" s="658">
        <f>SUM(AE66:AE69)</f>
        <v>12.975172827862389</v>
      </c>
      <c r="AF65" s="658"/>
      <c r="AG65" s="658"/>
      <c r="AH65" s="658">
        <v>4.8173139803955838</v>
      </c>
      <c r="AI65" s="658"/>
      <c r="AJ65" s="658"/>
      <c r="AK65" s="658"/>
      <c r="AL65" s="658"/>
      <c r="AM65" s="659"/>
      <c r="AN65" s="660"/>
      <c r="AO65" s="777">
        <v>334.87725407835688</v>
      </c>
      <c r="AP65" s="661"/>
      <c r="AQ65" s="808">
        <f t="shared" si="13"/>
        <v>684.90892277191051</v>
      </c>
      <c r="AS65" s="28"/>
    </row>
    <row r="66" spans="1:45" s="16" customFormat="1" ht="12.75" customHeight="1">
      <c r="A66" s="809" t="s">
        <v>814</v>
      </c>
      <c r="B66" s="810" t="s">
        <v>815</v>
      </c>
      <c r="C66" s="644">
        <f t="shared" ref="C66:C69" si="34">SUM(D66:G66)</f>
        <v>0</v>
      </c>
      <c r="D66" s="811">
        <v>0</v>
      </c>
      <c r="E66" s="693"/>
      <c r="F66" s="693"/>
      <c r="G66" s="812"/>
      <c r="H66" s="648">
        <f t="shared" ref="H66:H69" si="35">SUM(I66:K66)</f>
        <v>0</v>
      </c>
      <c r="I66" s="813"/>
      <c r="J66" s="646"/>
      <c r="K66" s="814"/>
      <c r="L66" s="648">
        <f t="shared" ref="L66:L69" si="36">SUM(M66:Z66)</f>
        <v>11.083842216367572</v>
      </c>
      <c r="M66" s="813"/>
      <c r="N66" s="693"/>
      <c r="O66" s="647"/>
      <c r="P66" s="693"/>
      <c r="Q66" s="815">
        <v>0.2530102942411856</v>
      </c>
      <c r="R66" s="693"/>
      <c r="S66" s="815">
        <v>0.3129380842779857</v>
      </c>
      <c r="T66" s="815">
        <v>1.0521462045500485</v>
      </c>
      <c r="U66" s="815">
        <v>9.4657476332983528</v>
      </c>
      <c r="V66" s="815">
        <v>0</v>
      </c>
      <c r="W66" s="693"/>
      <c r="X66" s="693"/>
      <c r="Y66" s="647"/>
      <c r="Z66" s="646"/>
      <c r="AA66" s="816">
        <v>8.4437848043838404</v>
      </c>
      <c r="AB66" s="649">
        <f t="shared" ref="AB66:AB69" si="37">SUM(AC66:AM66)</f>
        <v>5.4773432101994155</v>
      </c>
      <c r="AC66" s="650"/>
      <c r="AD66" s="646"/>
      <c r="AE66" s="646">
        <v>0.66002922980383205</v>
      </c>
      <c r="AF66" s="646"/>
      <c r="AG66" s="646"/>
      <c r="AH66" s="646">
        <v>4.8173139803955838</v>
      </c>
      <c r="AI66" s="646"/>
      <c r="AJ66" s="646"/>
      <c r="AK66" s="646"/>
      <c r="AL66" s="646"/>
      <c r="AM66" s="647"/>
      <c r="AN66" s="648"/>
      <c r="AO66" s="816">
        <v>55.850156928746095</v>
      </c>
      <c r="AP66" s="649"/>
      <c r="AQ66" s="676">
        <f t="shared" si="13"/>
        <v>80.85512715969692</v>
      </c>
      <c r="AS66" s="28"/>
    </row>
    <row r="67" spans="1:45" s="16" customFormat="1" ht="12.75" customHeight="1">
      <c r="A67" s="817" t="s">
        <v>816</v>
      </c>
      <c r="B67" s="818">
        <v>84</v>
      </c>
      <c r="C67" s="597">
        <f t="shared" si="34"/>
        <v>0</v>
      </c>
      <c r="D67" s="819">
        <v>0</v>
      </c>
      <c r="E67" s="741"/>
      <c r="F67" s="741"/>
      <c r="G67" s="742"/>
      <c r="H67" s="601">
        <f t="shared" si="35"/>
        <v>0</v>
      </c>
      <c r="I67" s="820"/>
      <c r="J67" s="603"/>
      <c r="K67" s="821"/>
      <c r="L67" s="601">
        <f t="shared" si="36"/>
        <v>59.95397707725251</v>
      </c>
      <c r="M67" s="820"/>
      <c r="N67" s="741"/>
      <c r="O67" s="600"/>
      <c r="P67" s="741"/>
      <c r="Q67" s="822">
        <v>11.981091641879475</v>
      </c>
      <c r="R67" s="741"/>
      <c r="S67" s="822">
        <v>0.20048339509750321</v>
      </c>
      <c r="T67" s="822">
        <v>7.85054023769447</v>
      </c>
      <c r="U67" s="822">
        <v>39.921861802581063</v>
      </c>
      <c r="V67" s="822">
        <v>0</v>
      </c>
      <c r="W67" s="741"/>
      <c r="X67" s="741"/>
      <c r="Y67" s="600"/>
      <c r="Z67" s="603"/>
      <c r="AA67" s="823">
        <v>66.187230278743982</v>
      </c>
      <c r="AB67" s="604">
        <f t="shared" si="37"/>
        <v>9.4672942649987188</v>
      </c>
      <c r="AC67" s="605"/>
      <c r="AD67" s="603"/>
      <c r="AE67" s="603">
        <v>9.4672942649987188</v>
      </c>
      <c r="AF67" s="603"/>
      <c r="AG67" s="603"/>
      <c r="AH67" s="603">
        <v>0</v>
      </c>
      <c r="AI67" s="603"/>
      <c r="AJ67" s="603"/>
      <c r="AK67" s="603"/>
      <c r="AL67" s="603"/>
      <c r="AM67" s="600"/>
      <c r="AN67" s="601"/>
      <c r="AO67" s="823">
        <v>154.30936641104071</v>
      </c>
      <c r="AP67" s="604"/>
      <c r="AQ67" s="607">
        <f t="shared" si="13"/>
        <v>289.91786803203593</v>
      </c>
      <c r="AS67" s="28"/>
    </row>
    <row r="68" spans="1:45" s="16" customFormat="1" ht="12.75" customHeight="1">
      <c r="A68" s="782" t="s">
        <v>817</v>
      </c>
      <c r="B68" s="783">
        <v>85</v>
      </c>
      <c r="C68" s="597">
        <f t="shared" si="34"/>
        <v>0</v>
      </c>
      <c r="D68" s="819">
        <v>0</v>
      </c>
      <c r="E68" s="741"/>
      <c r="F68" s="741"/>
      <c r="G68" s="742"/>
      <c r="H68" s="601">
        <f t="shared" si="35"/>
        <v>0</v>
      </c>
      <c r="I68" s="820"/>
      <c r="J68" s="603"/>
      <c r="K68" s="821"/>
      <c r="L68" s="601">
        <f t="shared" si="36"/>
        <v>42.831123161298109</v>
      </c>
      <c r="M68" s="820"/>
      <c r="N68" s="741"/>
      <c r="O68" s="600"/>
      <c r="P68" s="741"/>
      <c r="Q68" s="822">
        <v>21.281328374361724</v>
      </c>
      <c r="R68" s="741"/>
      <c r="S68" s="822">
        <v>3.2197887029108509E-2</v>
      </c>
      <c r="T68" s="822">
        <v>4.5585277188324795</v>
      </c>
      <c r="U68" s="822">
        <v>16.959069181074796</v>
      </c>
      <c r="V68" s="822">
        <v>0</v>
      </c>
      <c r="W68" s="741"/>
      <c r="X68" s="741"/>
      <c r="Y68" s="600"/>
      <c r="Z68" s="603"/>
      <c r="AA68" s="823">
        <v>53.929324235430926</v>
      </c>
      <c r="AB68" s="604">
        <f t="shared" si="37"/>
        <v>1.3804629203709615</v>
      </c>
      <c r="AC68" s="605"/>
      <c r="AD68" s="603"/>
      <c r="AE68" s="603">
        <v>1.3804629203709615</v>
      </c>
      <c r="AF68" s="603"/>
      <c r="AG68" s="603"/>
      <c r="AH68" s="603">
        <v>0</v>
      </c>
      <c r="AI68" s="603"/>
      <c r="AJ68" s="603"/>
      <c r="AK68" s="603"/>
      <c r="AL68" s="603"/>
      <c r="AM68" s="600"/>
      <c r="AN68" s="601"/>
      <c r="AO68" s="823">
        <v>74.178871141573552</v>
      </c>
      <c r="AP68" s="604"/>
      <c r="AQ68" s="607">
        <f t="shared" si="13"/>
        <v>172.31978145867356</v>
      </c>
      <c r="AS68" s="28"/>
    </row>
    <row r="69" spans="1:45" s="16" customFormat="1" ht="12.75" customHeight="1">
      <c r="A69" s="800" t="s">
        <v>818</v>
      </c>
      <c r="B69" s="801" t="s">
        <v>819</v>
      </c>
      <c r="C69" s="763">
        <f t="shared" si="34"/>
        <v>0</v>
      </c>
      <c r="D69" s="824">
        <v>0</v>
      </c>
      <c r="E69" s="747"/>
      <c r="F69" s="747"/>
      <c r="G69" s="748"/>
      <c r="H69" s="765">
        <f t="shared" si="35"/>
        <v>0</v>
      </c>
      <c r="I69" s="825"/>
      <c r="J69" s="658"/>
      <c r="K69" s="826"/>
      <c r="L69" s="765">
        <f t="shared" si="36"/>
        <v>26.293507436687939</v>
      </c>
      <c r="M69" s="825"/>
      <c r="N69" s="747"/>
      <c r="O69" s="659"/>
      <c r="P69" s="747"/>
      <c r="Q69" s="827">
        <v>14.35095473127191</v>
      </c>
      <c r="R69" s="747"/>
      <c r="S69" s="827">
        <v>9.7228102211051784E-2</v>
      </c>
      <c r="T69" s="827">
        <v>2.6199367494357482</v>
      </c>
      <c r="U69" s="827">
        <v>9.2253878537692273</v>
      </c>
      <c r="V69" s="827">
        <v>0</v>
      </c>
      <c r="W69" s="747"/>
      <c r="X69" s="747"/>
      <c r="Y69" s="659"/>
      <c r="Z69" s="658"/>
      <c r="AA69" s="828">
        <v>63.51639267513076</v>
      </c>
      <c r="AB69" s="767">
        <f t="shared" si="37"/>
        <v>1.4673864126888767</v>
      </c>
      <c r="AC69" s="768"/>
      <c r="AD69" s="762"/>
      <c r="AE69" s="762">
        <v>1.4673864126888767</v>
      </c>
      <c r="AF69" s="762"/>
      <c r="AG69" s="762"/>
      <c r="AH69" s="762">
        <v>0</v>
      </c>
      <c r="AI69" s="762"/>
      <c r="AJ69" s="762"/>
      <c r="AK69" s="762"/>
      <c r="AL69" s="762"/>
      <c r="AM69" s="764"/>
      <c r="AN69" s="765"/>
      <c r="AO69" s="828">
        <v>50.538859596996531</v>
      </c>
      <c r="AP69" s="767"/>
      <c r="AQ69" s="769">
        <f t="shared" si="13"/>
        <v>141.81614612150412</v>
      </c>
      <c r="AS69" s="28"/>
    </row>
    <row r="70" spans="1:45" s="6" customFormat="1" ht="12.75" customHeight="1">
      <c r="A70" s="86" t="s">
        <v>183</v>
      </c>
      <c r="B70" s="679"/>
      <c r="C70" s="680">
        <f>SUM(D70:G70)</f>
        <v>0</v>
      </c>
      <c r="D70" s="829">
        <v>0</v>
      </c>
      <c r="E70" s="830"/>
      <c r="F70" s="831"/>
      <c r="G70" s="831"/>
      <c r="H70" s="684">
        <f>SUM(I70:K70)</f>
        <v>0</v>
      </c>
      <c r="I70" s="829"/>
      <c r="J70" s="830"/>
      <c r="K70" s="830"/>
      <c r="L70" s="684">
        <f>SUM(M70:Z70)</f>
        <v>175.46549158593075</v>
      </c>
      <c r="M70" s="830"/>
      <c r="N70" s="830"/>
      <c r="O70" s="830"/>
      <c r="P70" s="830">
        <v>0</v>
      </c>
      <c r="Q70" s="830">
        <v>0</v>
      </c>
      <c r="R70" s="830"/>
      <c r="S70" s="830"/>
      <c r="T70" s="832">
        <v>0</v>
      </c>
      <c r="U70" s="830">
        <v>175.46549158593075</v>
      </c>
      <c r="V70" s="646"/>
      <c r="W70" s="831"/>
      <c r="X70" s="831"/>
      <c r="Y70" s="831"/>
      <c r="Z70" s="830"/>
      <c r="AA70" s="684">
        <v>0</v>
      </c>
      <c r="AB70" s="685">
        <f>SUM(AC70:AM70)</f>
        <v>0</v>
      </c>
      <c r="AC70" s="833"/>
      <c r="AD70" s="830"/>
      <c r="AE70" s="830"/>
      <c r="AF70" s="830"/>
      <c r="AG70" s="830"/>
      <c r="AH70" s="830"/>
      <c r="AI70" s="830"/>
      <c r="AJ70" s="830"/>
      <c r="AK70" s="829"/>
      <c r="AL70" s="831"/>
      <c r="AM70" s="830"/>
      <c r="AN70" s="684"/>
      <c r="AO70" s="684">
        <v>47.988</v>
      </c>
      <c r="AP70" s="685"/>
      <c r="AQ70" s="675">
        <f t="shared" si="13"/>
        <v>223.45349158593075</v>
      </c>
      <c r="AR70" s="3"/>
      <c r="AS70" s="5"/>
    </row>
    <row r="71" spans="1:45" s="6" customFormat="1" ht="12.75" customHeight="1" thickBot="1">
      <c r="A71" s="86" t="s">
        <v>184</v>
      </c>
      <c r="B71" s="655"/>
      <c r="C71" s="656">
        <f>SUM(D71:G71)</f>
        <v>0</v>
      </c>
      <c r="D71" s="657"/>
      <c r="E71" s="658"/>
      <c r="F71" s="659"/>
      <c r="G71" s="659"/>
      <c r="H71" s="660">
        <f>SUM(I71:K71)</f>
        <v>0</v>
      </c>
      <c r="I71" s="657"/>
      <c r="J71" s="658"/>
      <c r="K71" s="658"/>
      <c r="L71" s="660">
        <f>SUM(M71:Z71)</f>
        <v>27.249865733664667</v>
      </c>
      <c r="M71" s="658"/>
      <c r="N71" s="658"/>
      <c r="O71" s="658"/>
      <c r="P71" s="658"/>
      <c r="Q71" s="658"/>
      <c r="R71" s="658"/>
      <c r="S71" s="658"/>
      <c r="T71" s="658"/>
      <c r="U71" s="771">
        <v>27.249865733664667</v>
      </c>
      <c r="V71" s="658"/>
      <c r="W71" s="659"/>
      <c r="X71" s="659"/>
      <c r="Y71" s="659"/>
      <c r="Z71" s="658"/>
      <c r="AA71" s="660"/>
      <c r="AB71" s="661">
        <f>SUM(AC71:AM71)</f>
        <v>0</v>
      </c>
      <c r="AC71" s="662"/>
      <c r="AD71" s="658"/>
      <c r="AE71" s="658"/>
      <c r="AF71" s="658"/>
      <c r="AG71" s="658"/>
      <c r="AH71" s="658"/>
      <c r="AI71" s="658"/>
      <c r="AJ71" s="658"/>
      <c r="AK71" s="657"/>
      <c r="AL71" s="659"/>
      <c r="AM71" s="658"/>
      <c r="AN71" s="660"/>
      <c r="AO71" s="663"/>
      <c r="AP71" s="661"/>
      <c r="AQ71" s="834">
        <f t="shared" si="13"/>
        <v>27.249865733664667</v>
      </c>
      <c r="AR71" s="3"/>
      <c r="AS71" s="5"/>
    </row>
    <row r="72" spans="1:45" s="6" customFormat="1" ht="12.75" customHeight="1" thickBot="1">
      <c r="A72" s="707" t="s">
        <v>185</v>
      </c>
      <c r="B72" s="708"/>
      <c r="C72" s="709">
        <f t="shared" ref="C72:AP72" si="38">C26-C27-C29</f>
        <v>-2.719924399165734</v>
      </c>
      <c r="D72" s="710">
        <f t="shared" si="38"/>
        <v>0.18184486786384468</v>
      </c>
      <c r="E72" s="711">
        <f t="shared" si="38"/>
        <v>-3.4486883993195647</v>
      </c>
      <c r="F72" s="714">
        <f t="shared" si="38"/>
        <v>0</v>
      </c>
      <c r="G72" s="714">
        <f t="shared" si="38"/>
        <v>0.6924657422902083</v>
      </c>
      <c r="H72" s="712">
        <f t="shared" si="38"/>
        <v>1.9457250152908045</v>
      </c>
      <c r="I72" s="710">
        <f t="shared" si="38"/>
        <v>-0.45741265470912973</v>
      </c>
      <c r="J72" s="711">
        <f t="shared" si="38"/>
        <v>0</v>
      </c>
      <c r="K72" s="711">
        <f t="shared" si="38"/>
        <v>2.4031376700000067</v>
      </c>
      <c r="L72" s="712">
        <f t="shared" si="38"/>
        <v>-0.17452026544560795</v>
      </c>
      <c r="M72" s="711">
        <f t="shared" si="38"/>
        <v>0</v>
      </c>
      <c r="N72" s="711">
        <f t="shared" si="38"/>
        <v>-0.14794174855289199</v>
      </c>
      <c r="O72" s="711">
        <f t="shared" si="38"/>
        <v>-5.2567080980734033</v>
      </c>
      <c r="P72" s="711">
        <f t="shared" si="38"/>
        <v>-22.015945821971172</v>
      </c>
      <c r="Q72" s="711">
        <f t="shared" si="38"/>
        <v>15.370413414720133</v>
      </c>
      <c r="R72" s="711">
        <f t="shared" si="38"/>
        <v>-6.7103906044801533</v>
      </c>
      <c r="S72" s="711">
        <f t="shared" si="38"/>
        <v>8.1718040718781069</v>
      </c>
      <c r="T72" s="711">
        <f t="shared" si="38"/>
        <v>6.5570336698137623</v>
      </c>
      <c r="U72" s="711">
        <f t="shared" si="38"/>
        <v>-4.4746269624060915</v>
      </c>
      <c r="V72" s="711">
        <f t="shared" si="38"/>
        <v>0.82532907951213019</v>
      </c>
      <c r="W72" s="714">
        <f t="shared" si="38"/>
        <v>7.506512734116022</v>
      </c>
      <c r="X72" s="714">
        <f t="shared" si="38"/>
        <v>0</v>
      </c>
      <c r="Y72" s="714">
        <f t="shared" si="38"/>
        <v>0</v>
      </c>
      <c r="Z72" s="711">
        <f t="shared" si="38"/>
        <v>0</v>
      </c>
      <c r="AA72" s="712">
        <f t="shared" si="38"/>
        <v>-40.274710307198575</v>
      </c>
      <c r="AB72" s="713">
        <f t="shared" si="38"/>
        <v>-8.1303135021793764</v>
      </c>
      <c r="AC72" s="835">
        <f t="shared" si="38"/>
        <v>0</v>
      </c>
      <c r="AD72" s="711">
        <f t="shared" si="38"/>
        <v>0</v>
      </c>
      <c r="AE72" s="711">
        <f t="shared" si="38"/>
        <v>-5.8327477785794315</v>
      </c>
      <c r="AF72" s="711">
        <f t="shared" si="38"/>
        <v>0</v>
      </c>
      <c r="AG72" s="711">
        <f t="shared" si="38"/>
        <v>0</v>
      </c>
      <c r="AH72" s="711">
        <f t="shared" si="38"/>
        <v>0</v>
      </c>
      <c r="AI72" s="711">
        <f t="shared" si="38"/>
        <v>-2.9556858672000175</v>
      </c>
      <c r="AJ72" s="711">
        <f t="shared" si="38"/>
        <v>0.65812014360000148</v>
      </c>
      <c r="AK72" s="710">
        <f t="shared" si="38"/>
        <v>0</v>
      </c>
      <c r="AL72" s="714">
        <f t="shared" si="38"/>
        <v>0</v>
      </c>
      <c r="AM72" s="711">
        <f t="shared" si="38"/>
        <v>0</v>
      </c>
      <c r="AN72" s="712">
        <f t="shared" si="38"/>
        <v>0</v>
      </c>
      <c r="AO72" s="712">
        <f t="shared" si="38"/>
        <v>-36.15143685982639</v>
      </c>
      <c r="AP72" s="713">
        <f t="shared" si="38"/>
        <v>0</v>
      </c>
      <c r="AQ72" s="715">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4" t="s">
        <v>820</v>
      </c>
      <c r="B74" s="672"/>
      <c r="C74" s="672"/>
      <c r="D74" s="672"/>
      <c r="E74" s="672"/>
      <c r="F74" s="672"/>
      <c r="G74" s="672"/>
      <c r="H74" s="672"/>
      <c r="I74" s="672"/>
      <c r="J74" s="672"/>
      <c r="K74" s="672"/>
      <c r="L74" s="13"/>
      <c r="M74" s="672"/>
      <c r="N74" s="672"/>
      <c r="Q74" s="672"/>
      <c r="R74" s="672"/>
      <c r="S74" s="672"/>
      <c r="T74" s="672"/>
      <c r="U74" s="672"/>
      <c r="V74" s="672"/>
      <c r="W74" s="665"/>
      <c r="Y74" s="672"/>
      <c r="Z74" s="672"/>
      <c r="AA74" s="672"/>
      <c r="AB74" s="672"/>
      <c r="AC74" s="672"/>
      <c r="AD74" s="672"/>
      <c r="AE74" s="672"/>
      <c r="AF74" s="672"/>
      <c r="AG74" s="672"/>
      <c r="AH74" s="672"/>
      <c r="AI74" s="672"/>
      <c r="AJ74" s="672"/>
      <c r="AK74" s="672"/>
      <c r="AL74" s="672"/>
      <c r="AM74" s="672"/>
      <c r="AN74" s="672"/>
      <c r="AO74" s="672"/>
      <c r="AP74" s="672"/>
      <c r="AQ74" s="672"/>
      <c r="AS74" s="5"/>
    </row>
    <row r="75" spans="1:45" ht="12.75" customHeight="1">
      <c r="A75" s="836"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7" t="s">
        <v>186</v>
      </c>
      <c r="B76" s="83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39" t="s">
        <v>187</v>
      </c>
      <c r="B77" s="836"/>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6"/>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0" t="s">
        <v>189</v>
      </c>
      <c r="B79" s="15"/>
      <c r="C79" s="15"/>
      <c r="D79" s="15"/>
      <c r="E79" s="841"/>
      <c r="F79" s="842"/>
      <c r="G79" s="842"/>
      <c r="H79" s="843"/>
      <c r="I79" s="842"/>
      <c r="J79" s="842"/>
      <c r="K79" s="842"/>
      <c r="L79" s="843"/>
      <c r="M79" s="842"/>
      <c r="N79" s="842"/>
      <c r="O79" s="842"/>
      <c r="P79" s="842"/>
      <c r="Q79" s="842"/>
      <c r="R79" s="842"/>
      <c r="S79" s="844"/>
      <c r="T79" s="466"/>
      <c r="U79" s="844"/>
      <c r="V79" s="844"/>
      <c r="W79" s="842"/>
      <c r="X79" s="842"/>
      <c r="Y79" s="842"/>
      <c r="Z79" s="842"/>
      <c r="AA79" s="843"/>
      <c r="AB79" s="845"/>
      <c r="AC79" s="842"/>
      <c r="AD79" s="842"/>
      <c r="AE79" s="842"/>
      <c r="AF79" s="842"/>
      <c r="AG79" s="842"/>
      <c r="AH79" s="842"/>
      <c r="AI79" s="842"/>
      <c r="AJ79" s="842"/>
      <c r="AK79" s="842"/>
      <c r="AL79" s="842"/>
      <c r="AM79" s="842"/>
      <c r="AN79" s="842"/>
      <c r="AO79" s="843"/>
      <c r="AP79" s="845"/>
      <c r="AQ79" s="842"/>
    </row>
    <row r="80" spans="1:45" ht="12.75" customHeight="1">
      <c r="A80" s="840" t="s">
        <v>190</v>
      </c>
      <c r="B80" s="15"/>
      <c r="C80" s="15"/>
      <c r="D80" s="15"/>
      <c r="E80" s="841"/>
      <c r="F80" s="842"/>
      <c r="G80" s="842"/>
      <c r="H80" s="843"/>
      <c r="I80" s="842"/>
      <c r="J80" s="842"/>
      <c r="K80" s="842"/>
      <c r="L80" s="843"/>
      <c r="M80" s="842"/>
      <c r="N80" s="842"/>
      <c r="O80" s="842"/>
      <c r="P80" s="842"/>
      <c r="Q80" s="842"/>
      <c r="R80" s="842"/>
      <c r="S80" s="844"/>
      <c r="T80" s="466"/>
      <c r="U80" s="844"/>
      <c r="V80" s="844"/>
      <c r="W80" s="842"/>
      <c r="X80" s="842"/>
      <c r="Y80" s="842"/>
      <c r="Z80" s="842"/>
      <c r="AA80" s="843"/>
      <c r="AB80" s="845"/>
      <c r="AC80" s="842"/>
      <c r="AD80" s="842"/>
      <c r="AE80" s="842"/>
      <c r="AF80" s="842"/>
      <c r="AG80" s="842"/>
      <c r="AH80" s="842"/>
      <c r="AI80" s="842"/>
      <c r="AJ80" s="842"/>
      <c r="AK80" s="842"/>
      <c r="AL80" s="842"/>
      <c r="AM80" s="842"/>
      <c r="AN80" s="842"/>
      <c r="AO80" s="843"/>
      <c r="AP80" s="845"/>
      <c r="AQ80" s="842"/>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18" sqref="Y1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4" t="s">
        <v>651</v>
      </c>
      <c r="G1" s="934"/>
      <c r="H1" s="934"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093" t="s">
        <v>635</v>
      </c>
      <c r="G2" s="1094"/>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095" t="s">
        <v>494</v>
      </c>
      <c r="G3" s="1096"/>
      <c r="H3" s="935">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097" t="s">
        <v>209</v>
      </c>
      <c r="G4" s="1098"/>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099" t="s">
        <v>502</v>
      </c>
      <c r="G5" s="1100"/>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6"/>
      <c r="F7" s="937" t="s">
        <v>219</v>
      </c>
      <c r="G7" s="938"/>
      <c r="H7" s="939"/>
      <c r="I7" s="1090" t="s">
        <v>220</v>
      </c>
      <c r="J7" s="1091"/>
      <c r="K7" s="1092"/>
      <c r="L7" s="1090" t="s">
        <v>221</v>
      </c>
      <c r="M7" s="1091"/>
      <c r="N7" s="1092"/>
      <c r="O7" s="1090" t="s">
        <v>222</v>
      </c>
      <c r="P7" s="1091"/>
      <c r="Q7" s="1092"/>
      <c r="R7" s="1105" t="s">
        <v>223</v>
      </c>
      <c r="S7" s="1090" t="s">
        <v>650</v>
      </c>
      <c r="T7" s="1091"/>
      <c r="U7" s="1091"/>
      <c r="V7" s="1091"/>
      <c r="W7" s="1091"/>
      <c r="X7" s="1092"/>
      <c r="Y7" s="1103" t="s">
        <v>713</v>
      </c>
      <c r="Z7" s="1103" t="s">
        <v>503</v>
      </c>
      <c r="AA7" s="1101" t="s">
        <v>772</v>
      </c>
      <c r="AB7" s="80"/>
      <c r="AC7" s="80"/>
      <c r="AD7" s="1111" t="s">
        <v>844</v>
      </c>
      <c r="AE7" s="1101"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2"/>
      <c r="F8" s="953" t="s">
        <v>42</v>
      </c>
      <c r="G8" s="954" t="s">
        <v>44</v>
      </c>
      <c r="H8" s="955" t="s">
        <v>46</v>
      </c>
      <c r="I8" s="956" t="s">
        <v>42</v>
      </c>
      <c r="J8" s="957" t="s">
        <v>44</v>
      </c>
      <c r="K8" s="958" t="s">
        <v>46</v>
      </c>
      <c r="L8" s="959" t="s">
        <v>42</v>
      </c>
      <c r="M8" s="957" t="s">
        <v>44</v>
      </c>
      <c r="N8" s="958" t="s">
        <v>46</v>
      </c>
      <c r="O8" s="956" t="s">
        <v>42</v>
      </c>
      <c r="P8" s="957" t="s">
        <v>44</v>
      </c>
      <c r="Q8" s="958" t="s">
        <v>46</v>
      </c>
      <c r="R8" s="1106"/>
      <c r="S8" s="960" t="s">
        <v>224</v>
      </c>
      <c r="T8" s="960" t="s">
        <v>225</v>
      </c>
      <c r="U8" s="960" t="s">
        <v>226</v>
      </c>
      <c r="V8" s="960" t="s">
        <v>227</v>
      </c>
      <c r="W8" s="960" t="s">
        <v>229</v>
      </c>
      <c r="X8" s="961" t="s">
        <v>228</v>
      </c>
      <c r="Y8" s="1104"/>
      <c r="Z8" s="1104"/>
      <c r="AA8" s="1102" t="s">
        <v>659</v>
      </c>
      <c r="AD8" s="1112"/>
      <c r="AE8" s="1102" t="s">
        <v>659</v>
      </c>
      <c r="AI8" s="930" t="s">
        <v>853</v>
      </c>
      <c r="AJ8" s="929">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0" t="s">
        <v>635</v>
      </c>
      <c r="F9" s="941">
        <f>'SHWLP-Apt'!$AC$7+'SHWLP-Apt'!AC20</f>
        <v>0.16459131203522775</v>
      </c>
      <c r="G9" s="942">
        <f>'SHWLP-Att'!$AC$7+'SHWLP-Att'!$AC$20</f>
        <v>5.0704062341758842</v>
      </c>
      <c r="H9" s="943">
        <f>'SHWLP-Det'!$AC$7+'SHWLP-Det'!$AC$20</f>
        <v>4.4289402363903694</v>
      </c>
      <c r="I9" s="941">
        <f>'SHWLP-Apt'!$AC$33+'SHWLP-Apt'!$AC$46</f>
        <v>6.7604469762179839E-3</v>
      </c>
      <c r="J9" s="942">
        <f>'SHWLP-Att'!$AC$33+'SHWLP-Att'!$AC$46</f>
        <v>0.40857711380143691</v>
      </c>
      <c r="K9" s="943">
        <f>'SHWLP-Det'!$AC$33+'SHWLP-Det'!$AC$46</f>
        <v>0.19100011800255523</v>
      </c>
      <c r="L9" s="944"/>
      <c r="M9" s="945"/>
      <c r="N9" s="946"/>
      <c r="O9" s="944"/>
      <c r="P9" s="945"/>
      <c r="Q9" s="946"/>
      <c r="R9" s="947"/>
      <c r="S9" s="944"/>
      <c r="T9" s="945"/>
      <c r="U9" s="945"/>
      <c r="V9" s="945"/>
      <c r="W9" s="945"/>
      <c r="X9" s="946"/>
      <c r="Y9" s="1064">
        <f>SUM(F9:X9)</f>
        <v>10.270275461381692</v>
      </c>
      <c r="Z9" s="1065">
        <f>C9</f>
        <v>10.270341048136247</v>
      </c>
      <c r="AA9" s="396">
        <f>ABS(Z9-Y9)/Z9</f>
        <v>6.3860347234789236E-6</v>
      </c>
      <c r="AD9" s="80">
        <f>AJ9+AJ20</f>
        <v>10.269075645345431</v>
      </c>
      <c r="AE9" s="396">
        <f>ABS(AD9-Y9)/AD9</f>
        <v>1.1683778342837939E-4</v>
      </c>
      <c r="AI9" s="930" t="s">
        <v>855</v>
      </c>
      <c r="AJ9" s="929">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066">
        <f>SUM(F10:X10)</f>
        <v>8.2462781312165596</v>
      </c>
      <c r="Z10" s="483">
        <f t="shared" ref="Z10:Z27" si="0">C10</f>
        <v>8.22868674342444</v>
      </c>
      <c r="AA10" s="396">
        <f>ABS(Z10-Y10)/Z10</f>
        <v>2.1378123071919071E-3</v>
      </c>
      <c r="AD10" s="80">
        <f>AJ14+AJ27</f>
        <v>8.1954076367650153</v>
      </c>
      <c r="AE10" s="396">
        <f t="shared" ref="AE10" si="1">ABS(AD10-Y10)/AD10</f>
        <v>6.2071951397922806E-3</v>
      </c>
      <c r="AI10" s="930" t="s">
        <v>411</v>
      </c>
      <c r="AJ10" s="929">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0" t="s">
        <v>201</v>
      </c>
      <c r="F11" s="941">
        <f>'SHWLP-Apt'!$AC$10</f>
        <v>8.3573096282426859E-2</v>
      </c>
      <c r="G11" s="942">
        <f>'SHWLP-Att'!$AC$10</f>
        <v>0.33082853487072278</v>
      </c>
      <c r="H11" s="943">
        <f>'SHWLP-Det'!$AC$10</f>
        <v>1.2959057787885466</v>
      </c>
      <c r="I11" s="941">
        <f>'SHWLP-Apt'!$AC$36</f>
        <v>4.1069611278495483E-2</v>
      </c>
      <c r="J11" s="942">
        <f>'SHWLP-Att'!$AC$36</f>
        <v>0.14904922252920194</v>
      </c>
      <c r="K11" s="943">
        <f>'SHWLP-Det'!$AC$36</f>
        <v>0.31428123467482028</v>
      </c>
      <c r="L11" s="941"/>
      <c r="M11" s="942"/>
      <c r="N11" s="943"/>
      <c r="O11" s="941"/>
      <c r="P11" s="942"/>
      <c r="Q11" s="943"/>
      <c r="R11" s="948">
        <v>3.9492406345735545E-2</v>
      </c>
      <c r="S11" s="941"/>
      <c r="T11" s="942"/>
      <c r="U11" s="942"/>
      <c r="V11" s="942"/>
      <c r="W11" s="942"/>
      <c r="X11" s="943"/>
      <c r="Y11" s="1064">
        <f t="shared" ref="Y11:Y25" si="2">SUM(F11:X11)</f>
        <v>2.2541998847699491</v>
      </c>
      <c r="Z11" s="1065">
        <f t="shared" si="0"/>
        <v>2.2542368842613176</v>
      </c>
      <c r="AA11" s="396">
        <f>ABS(Z11-Y11)/Z11</f>
        <v>1.6413311141702697E-5</v>
      </c>
      <c r="AD11" s="80">
        <f>AJ13+AJ26+AR8</f>
        <v>2.1294859113248128</v>
      </c>
      <c r="AE11" s="396">
        <f>ABS(AD11-Y11)/AD11</f>
        <v>5.8565296338376947E-2</v>
      </c>
      <c r="AI11" s="930" t="s">
        <v>857</v>
      </c>
      <c r="AJ11" s="929">
        <v>16.539193232500899</v>
      </c>
      <c r="AN11" s="80" t="s">
        <v>849</v>
      </c>
      <c r="AO11" s="80">
        <v>0.49</v>
      </c>
    </row>
    <row r="12" spans="1:45" s="80" customFormat="1" ht="12" customHeight="1">
      <c r="A12" s="283" t="s">
        <v>775</v>
      </c>
      <c r="B12" s="289" t="str">
        <f>'EB2018'!P1</f>
        <v xml:space="preserve"> Gasoline</v>
      </c>
      <c r="C12" s="289">
        <f>'EB2018'!P56*B4</f>
        <v>0</v>
      </c>
      <c r="D12" s="63"/>
      <c r="E12" s="949" t="s">
        <v>202</v>
      </c>
      <c r="F12" s="487"/>
      <c r="G12" s="486"/>
      <c r="H12" s="488"/>
      <c r="I12" s="487"/>
      <c r="J12" s="486"/>
      <c r="K12" s="488"/>
      <c r="L12" s="487"/>
      <c r="M12" s="486"/>
      <c r="N12" s="488"/>
      <c r="O12" s="487"/>
      <c r="P12" s="486"/>
      <c r="Q12" s="488"/>
      <c r="R12" s="483"/>
      <c r="S12" s="489"/>
      <c r="T12" s="486"/>
      <c r="U12" s="486"/>
      <c r="V12" s="486"/>
      <c r="W12" s="486"/>
      <c r="X12" s="488"/>
      <c r="Y12" s="1066">
        <f t="shared" si="2"/>
        <v>0</v>
      </c>
      <c r="Z12" s="483">
        <f t="shared" si="0"/>
        <v>0</v>
      </c>
      <c r="AA12" s="396"/>
      <c r="AD12" s="54"/>
      <c r="AE12" s="396"/>
      <c r="AI12" s="930" t="s">
        <v>858</v>
      </c>
      <c r="AJ12" s="929">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0" t="s">
        <v>203</v>
      </c>
      <c r="F13" s="941">
        <f>'SHWLP-Apt'!$AC$14</f>
        <v>0.27375224440749341</v>
      </c>
      <c r="G13" s="942">
        <f>'SHWLP-Att'!$AC$14</f>
        <v>7.94325505496891</v>
      </c>
      <c r="H13" s="943">
        <f>'SHWLP-Det'!$AC$14</f>
        <v>28.31276025174386</v>
      </c>
      <c r="I13" s="941">
        <f>'SHWLP-Apt'!$AC$40</f>
        <v>7.502765549128404E-2</v>
      </c>
      <c r="J13" s="942">
        <f>'SHWLP-Att'!$AC$40</f>
        <v>3.161093863610529</v>
      </c>
      <c r="K13" s="943">
        <f>'SHWLP-Det'!$AC$40</f>
        <v>8.4237771819133904</v>
      </c>
      <c r="L13" s="941"/>
      <c r="M13" s="942"/>
      <c r="N13" s="943"/>
      <c r="O13" s="941"/>
      <c r="P13" s="942"/>
      <c r="Q13" s="943"/>
      <c r="R13" s="948"/>
      <c r="S13" s="941"/>
      <c r="T13" s="942"/>
      <c r="U13" s="942"/>
      <c r="V13" s="942"/>
      <c r="W13" s="942"/>
      <c r="X13" s="943"/>
      <c r="Y13" s="1067">
        <f t="shared" si="2"/>
        <v>48.189666252135467</v>
      </c>
      <c r="Z13" s="1068">
        <f t="shared" si="0"/>
        <v>36.148841345600246</v>
      </c>
      <c r="AA13" s="396">
        <f>ABS(Z13+Z14+Z16-Y13)/(Z13+Z14+Z16)</f>
        <v>1.0214899430033942E-6</v>
      </c>
      <c r="AD13" s="80">
        <f>AJ12+AJ25</f>
        <v>43.727300517765926</v>
      </c>
      <c r="AE13" s="396">
        <f>ABS(AD13-Y13)/AD13</f>
        <v>0.10204987917231549</v>
      </c>
      <c r="AI13" s="930" t="s">
        <v>859</v>
      </c>
      <c r="AJ13" s="929">
        <v>1.6238402306206099</v>
      </c>
    </row>
    <row r="14" spans="1:45" s="80" customFormat="1" ht="12" customHeight="1">
      <c r="A14" s="283" t="s">
        <v>778</v>
      </c>
      <c r="B14" s="289" t="str">
        <f>'EB2018'!U1</f>
        <v xml:space="preserve"> Gasoil / Diesel /DERV</v>
      </c>
      <c r="C14" s="289">
        <f>'EB2018'!U56*RSD_Balance!B4</f>
        <v>11.893905446769136</v>
      </c>
      <c r="D14" s="63"/>
      <c r="E14" s="949" t="s">
        <v>204</v>
      </c>
      <c r="F14" s="487"/>
      <c r="G14" s="486"/>
      <c r="H14" s="488"/>
      <c r="I14" s="487"/>
      <c r="J14" s="486"/>
      <c r="K14" s="488"/>
      <c r="L14" s="487"/>
      <c r="M14" s="486"/>
      <c r="N14" s="488"/>
      <c r="O14" s="487"/>
      <c r="P14" s="486"/>
      <c r="Q14" s="488"/>
      <c r="R14" s="483"/>
      <c r="S14" s="489"/>
      <c r="T14" s="486"/>
      <c r="U14" s="486"/>
      <c r="V14" s="486"/>
      <c r="W14" s="486"/>
      <c r="X14" s="488"/>
      <c r="Y14" s="1069">
        <f t="shared" si="2"/>
        <v>0</v>
      </c>
      <c r="Z14" s="1070">
        <f t="shared" si="0"/>
        <v>11.893905446769136</v>
      </c>
      <c r="AA14" s="396">
        <f>ABS(Z13+Z14+Z16-Y13)/(Z13+Z14+Z16)</f>
        <v>1.0214899430033942E-6</v>
      </c>
      <c r="AI14" s="930" t="s">
        <v>412</v>
      </c>
      <c r="AJ14" s="929">
        <v>7.3969700958689097</v>
      </c>
    </row>
    <row r="15" spans="1:45" s="80" customFormat="1" ht="12" customHeight="1">
      <c r="A15" s="282" t="s">
        <v>779</v>
      </c>
      <c r="B15" s="288" t="str">
        <f>'EB2018'!S1</f>
        <v xml:space="preserve"> Fueloil</v>
      </c>
      <c r="C15" s="288">
        <f>'EB2018'!S56*RSD_Balance!B4</f>
        <v>0</v>
      </c>
      <c r="D15" s="63"/>
      <c r="E15" s="950" t="s">
        <v>205</v>
      </c>
      <c r="F15" s="941"/>
      <c r="G15" s="942"/>
      <c r="H15" s="943"/>
      <c r="I15" s="941"/>
      <c r="J15" s="942"/>
      <c r="K15" s="943"/>
      <c r="L15" s="941"/>
      <c r="M15" s="942"/>
      <c r="N15" s="943"/>
      <c r="O15" s="941"/>
      <c r="P15" s="942"/>
      <c r="Q15" s="943"/>
      <c r="R15" s="948"/>
      <c r="S15" s="941"/>
      <c r="T15" s="942"/>
      <c r="U15" s="942"/>
      <c r="V15" s="942"/>
      <c r="W15" s="942"/>
      <c r="X15" s="943"/>
      <c r="Y15" s="1067">
        <f t="shared" si="2"/>
        <v>0</v>
      </c>
      <c r="Z15" s="1070">
        <f t="shared" si="0"/>
        <v>0</v>
      </c>
      <c r="AA15" s="396">
        <f>ABS(Z13+Z14+Z16-Y13)/(Z13+Z14+Z16)</f>
        <v>1.0214899430033942E-6</v>
      </c>
      <c r="AI15" s="930" t="s">
        <v>861</v>
      </c>
      <c r="AJ15" s="929">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49" t="s">
        <v>206</v>
      </c>
      <c r="F16" s="487"/>
      <c r="G16" s="486"/>
      <c r="H16" s="488"/>
      <c r="I16" s="487"/>
      <c r="J16" s="486"/>
      <c r="K16" s="488"/>
      <c r="L16" s="487"/>
      <c r="M16" s="486"/>
      <c r="N16" s="488"/>
      <c r="O16" s="487"/>
      <c r="P16" s="486"/>
      <c r="Q16" s="488"/>
      <c r="R16" s="483"/>
      <c r="S16" s="489"/>
      <c r="T16" s="486"/>
      <c r="U16" s="486"/>
      <c r="V16" s="486"/>
      <c r="W16" s="486"/>
      <c r="X16" s="488"/>
      <c r="Y16" s="1069">
        <f t="shared" si="2"/>
        <v>0</v>
      </c>
      <c r="Z16" s="1070">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0" t="s">
        <v>207</v>
      </c>
      <c r="F17" s="941">
        <f>'SHWLP-Apt'!$AC$16</f>
        <v>1.2917915319249578</v>
      </c>
      <c r="G17" s="942">
        <f>'SHWLP-Att'!$AC$16</f>
        <v>11.88061145419794</v>
      </c>
      <c r="H17" s="943">
        <f>'SHWLP-Det'!$AC$16</f>
        <v>5.2349826248386568</v>
      </c>
      <c r="I17" s="941">
        <f>'SHWLP-Apt'!$AC$42</f>
        <v>0.60766654509829598</v>
      </c>
      <c r="J17" s="942">
        <f>'SHWLP-Att'!$AC$42</f>
        <v>4.1123466051091926</v>
      </c>
      <c r="K17" s="943">
        <f>'SHWLP-Det'!$AC$42</f>
        <v>1.4949122914566706</v>
      </c>
      <c r="L17" s="941"/>
      <c r="M17" s="942"/>
      <c r="N17" s="943"/>
      <c r="O17" s="941"/>
      <c r="P17" s="942"/>
      <c r="Q17" s="943"/>
      <c r="R17" s="948">
        <v>0.66992893469234771</v>
      </c>
      <c r="S17" s="941"/>
      <c r="T17" s="942"/>
      <c r="U17" s="942"/>
      <c r="V17" s="942"/>
      <c r="W17" s="942"/>
      <c r="X17" s="943"/>
      <c r="Y17" s="1064">
        <f t="shared" si="2"/>
        <v>25.292239987318062</v>
      </c>
      <c r="Z17" s="1065">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1"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066">
        <f t="shared" si="2"/>
        <v>0.56017671356000842</v>
      </c>
      <c r="Z18" s="483">
        <f t="shared" si="0"/>
        <v>0.56017671356000831</v>
      </c>
      <c r="AA18" s="396">
        <f>ABS(Z18-Y18)/Z18</f>
        <v>1.9819157022246073E-16</v>
      </c>
      <c r="AD18" s="80">
        <f>AJ28</f>
        <v>0.56017671356000898</v>
      </c>
      <c r="AE18" s="396">
        <f t="shared" si="3"/>
        <v>9.9095785111230238E-16</v>
      </c>
      <c r="AI18" s="932" t="s">
        <v>846</v>
      </c>
      <c r="AJ18" s="931">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0" t="s">
        <v>209</v>
      </c>
      <c r="F19" s="941">
        <f>'SHWLP-Apt'!$AC$22+'SHWLP-Apt'!$AC$23</f>
        <v>1.2281619824545106E-2</v>
      </c>
      <c r="G19" s="942">
        <f>'SHWLP-Att'!$AC$22+'SHWLP-Att'!$AC$23</f>
        <v>0.25492402682025317</v>
      </c>
      <c r="H19" s="943">
        <f>'SHWLP-Det'!$AC$22+'SHWLP-Det'!$AC$23</f>
        <v>0.86323742236417056</v>
      </c>
      <c r="I19" s="941">
        <f>'SHWLP-Apt'!$AC$49+'SHWLP-Apt'!$AC$48</f>
        <v>4.3598307382706758E-3</v>
      </c>
      <c r="J19" s="942">
        <f>'SHWLP-Att'!$AC$49+'SHWLP-Att'!$AC$48</f>
        <v>4.3903271312802583E-2</v>
      </c>
      <c r="K19" s="943">
        <f>'SHWLP-Det'!$AC$49+'SHWLP-Det'!$AC$48</f>
        <v>0.10197404576738722</v>
      </c>
      <c r="L19" s="941"/>
      <c r="M19" s="942"/>
      <c r="N19" s="943"/>
      <c r="O19" s="941"/>
      <c r="P19" s="942"/>
      <c r="Q19" s="943"/>
      <c r="R19" s="948"/>
      <c r="S19" s="941"/>
      <c r="T19" s="942"/>
      <c r="U19" s="942"/>
      <c r="V19" s="942"/>
      <c r="W19" s="942"/>
      <c r="X19" s="943"/>
      <c r="Y19" s="1064">
        <f>SUM(F19:X19)</f>
        <v>1.2806802168274294</v>
      </c>
      <c r="Z19" s="1065">
        <f t="shared" si="0"/>
        <v>1.2806945652086403</v>
      </c>
      <c r="AA19" s="396">
        <f>ABS(Z19-Y19)/Z19</f>
        <v>1.1203593425581169E-5</v>
      </c>
      <c r="AD19" s="80">
        <f>AJ29+AJ15</f>
        <v>1.2689594898892349</v>
      </c>
      <c r="AE19" s="396">
        <f t="shared" si="3"/>
        <v>9.2364862957268722E-3</v>
      </c>
      <c r="AI19" s="932" t="s">
        <v>854</v>
      </c>
      <c r="AJ19" s="931">
        <v>7.8153182244299698E-5</v>
      </c>
      <c r="AQ19" s="80" t="s">
        <v>724</v>
      </c>
      <c r="AR19" s="80">
        <v>1.41</v>
      </c>
    </row>
    <row r="20" spans="1:45" s="80" customFormat="1" ht="12" customHeight="1">
      <c r="A20" s="283" t="s">
        <v>784</v>
      </c>
      <c r="B20" s="289" t="str">
        <f>'EB2018'!AH1</f>
        <v xml:space="preserve"> Biogas</v>
      </c>
      <c r="C20" s="289">
        <f>'EB2018'!AH56*RSD_Balance!B4</f>
        <v>0</v>
      </c>
      <c r="D20" s="63"/>
      <c r="E20" s="949" t="s">
        <v>210</v>
      </c>
      <c r="F20" s="487"/>
      <c r="G20" s="486"/>
      <c r="H20" s="488"/>
      <c r="I20" s="487"/>
      <c r="J20" s="486"/>
      <c r="K20" s="488"/>
      <c r="L20" s="487"/>
      <c r="M20" s="486"/>
      <c r="N20" s="488"/>
      <c r="O20" s="487"/>
      <c r="P20" s="486"/>
      <c r="Q20" s="488"/>
      <c r="R20" s="483"/>
      <c r="S20" s="489"/>
      <c r="T20" s="486"/>
      <c r="U20" s="486"/>
      <c r="V20" s="486"/>
      <c r="W20" s="486"/>
      <c r="X20" s="488"/>
      <c r="Y20" s="1066">
        <f t="shared" si="2"/>
        <v>0</v>
      </c>
      <c r="Z20" s="483">
        <f t="shared" si="0"/>
        <v>0</v>
      </c>
      <c r="AI20" s="932" t="s">
        <v>855</v>
      </c>
      <c r="AJ20" s="931">
        <v>0.60910161182205103</v>
      </c>
    </row>
    <row r="21" spans="1:45" s="80" customFormat="1" ht="12" customHeight="1">
      <c r="A21" s="282" t="s">
        <v>211</v>
      </c>
      <c r="B21" s="288" t="str">
        <f>'EB2018'!AG1</f>
        <v xml:space="preserve"> Landfill Gas</v>
      </c>
      <c r="C21" s="288">
        <f>'EB2018'!AG56*RSD_Balance!B4</f>
        <v>0</v>
      </c>
      <c r="D21" s="63"/>
      <c r="E21" s="940" t="s">
        <v>211</v>
      </c>
      <c r="F21" s="941"/>
      <c r="G21" s="942"/>
      <c r="H21" s="943"/>
      <c r="I21" s="941"/>
      <c r="J21" s="942"/>
      <c r="K21" s="943"/>
      <c r="L21" s="941"/>
      <c r="M21" s="942"/>
      <c r="N21" s="943"/>
      <c r="O21" s="941"/>
      <c r="P21" s="942"/>
      <c r="Q21" s="943"/>
      <c r="R21" s="948"/>
      <c r="S21" s="941"/>
      <c r="T21" s="942"/>
      <c r="U21" s="942"/>
      <c r="V21" s="942"/>
      <c r="W21" s="942"/>
      <c r="X21" s="943"/>
      <c r="Y21" s="1064">
        <f t="shared" si="2"/>
        <v>0</v>
      </c>
      <c r="Z21" s="1065">
        <f t="shared" si="0"/>
        <v>0</v>
      </c>
      <c r="AI21" s="932" t="s">
        <v>411</v>
      </c>
      <c r="AJ21" s="931">
        <v>2.3626993757787398</v>
      </c>
    </row>
    <row r="22" spans="1:45" s="80" customFormat="1" ht="12" customHeight="1">
      <c r="A22" s="283" t="s">
        <v>829</v>
      </c>
      <c r="B22" s="289" t="str">
        <f>'EB2018'!AM1</f>
        <v xml:space="preserve"> Ambient Heat</v>
      </c>
      <c r="C22" s="289">
        <f>'EB2018'!AM56*RSD_Balance!B4</f>
        <v>1.1776284562901849</v>
      </c>
      <c r="D22" s="63"/>
      <c r="E22" s="951"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071">
        <f>SUM(F22:X22)</f>
        <v>0.94237394747894965</v>
      </c>
      <c r="Z22" s="1072">
        <f t="shared" si="0"/>
        <v>1.1776284562901849</v>
      </c>
      <c r="AA22" s="911">
        <f>ABS(Z22+Z27-Y22-Y27)/(Z22+Z27)</f>
        <v>1.5914422438032795E-2</v>
      </c>
      <c r="AD22" s="80">
        <f>AJ8+AJ18+AJ24</f>
        <v>2.2054176010201956</v>
      </c>
      <c r="AE22" s="396">
        <f>ABS(AD22-Y22)/SUM(AD22+AD27)</f>
        <v>0.57270045045300244</v>
      </c>
      <c r="AI22" s="932" t="s">
        <v>856</v>
      </c>
      <c r="AJ22" s="931">
        <v>2.1879412797081899E-5</v>
      </c>
    </row>
    <row r="23" spans="1:45" s="80" customFormat="1" ht="12" customHeight="1">
      <c r="A23" s="282" t="s">
        <v>785</v>
      </c>
      <c r="B23" s="288" t="s">
        <v>213</v>
      </c>
      <c r="C23" s="288">
        <f>'EB2018'!AI56*RSD_Balance!B4*0.5</f>
        <v>0</v>
      </c>
      <c r="D23" s="63"/>
      <c r="E23" s="940" t="s">
        <v>212</v>
      </c>
      <c r="F23" s="941">
        <f>'SHWLP-Apt'!$AC$9</f>
        <v>1.7192934537665048E-8</v>
      </c>
      <c r="G23" s="942">
        <f>'SHWLP-Att'!$AC$9</f>
        <v>0</v>
      </c>
      <c r="H23" s="943">
        <f>'SHWLP-Det'!$AC$9</f>
        <v>0</v>
      </c>
      <c r="I23" s="941">
        <f>'SHWLP-Apt'!$AC$35</f>
        <v>4.5044285009511168E-5</v>
      </c>
      <c r="J23" s="942">
        <f>'SHWLP-Att'!$AC$35</f>
        <v>2.2500434416947339E-5</v>
      </c>
      <c r="K23" s="943">
        <f>'SHWLP-Det'!$AC$35</f>
        <v>7.5222021429502872E-5</v>
      </c>
      <c r="L23" s="941"/>
      <c r="M23" s="942"/>
      <c r="N23" s="943"/>
      <c r="O23" s="941"/>
      <c r="P23" s="942"/>
      <c r="Q23" s="943"/>
      <c r="R23" s="948"/>
      <c r="S23" s="941"/>
      <c r="T23" s="942"/>
      <c r="U23" s="942"/>
      <c r="V23" s="942"/>
      <c r="W23" s="942"/>
      <c r="X23" s="943"/>
      <c r="Y23" s="1064">
        <f t="shared" si="2"/>
        <v>1.4278393379049903E-4</v>
      </c>
      <c r="Z23" s="1065">
        <f t="shared" si="0"/>
        <v>0</v>
      </c>
      <c r="AA23" s="54"/>
      <c r="AI23" s="932" t="s">
        <v>857</v>
      </c>
      <c r="AJ23" s="931">
        <v>6.3135409508426799</v>
      </c>
    </row>
    <row r="24" spans="1:45" s="80" customFormat="1" ht="12" customHeight="1">
      <c r="A24" s="283" t="s">
        <v>786</v>
      </c>
      <c r="B24" s="289" t="s">
        <v>215</v>
      </c>
      <c r="C24" s="289">
        <f>'EB2018'!AI56*RSD_Balance!B4*0.5</f>
        <v>0</v>
      </c>
      <c r="D24" s="63"/>
      <c r="E24" s="949"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066">
        <f t="shared" si="2"/>
        <v>2.5092112021939692E-4</v>
      </c>
      <c r="Z24" s="483">
        <f t="shared" si="0"/>
        <v>0</v>
      </c>
      <c r="AA24" s="54"/>
      <c r="AI24" s="932" t="s">
        <v>409</v>
      </c>
      <c r="AJ24" s="931">
        <v>2.3853289854654501E-3</v>
      </c>
    </row>
    <row r="25" spans="1:45" s="80" customFormat="1" ht="12" customHeight="1">
      <c r="A25" s="282" t="s">
        <v>216</v>
      </c>
      <c r="B25" s="288" t="str">
        <f>'EB2018'!AN1</f>
        <v xml:space="preserve"> Non-Renewable  Waste</v>
      </c>
      <c r="C25" s="288">
        <f>'EB2018'!AN56*RSD_Balance!B4</f>
        <v>0</v>
      </c>
      <c r="D25" s="63"/>
      <c r="E25" s="950" t="s">
        <v>216</v>
      </c>
      <c r="F25" s="941"/>
      <c r="G25" s="942"/>
      <c r="H25" s="943"/>
      <c r="I25" s="941"/>
      <c r="J25" s="942"/>
      <c r="K25" s="943"/>
      <c r="L25" s="941"/>
      <c r="M25" s="942"/>
      <c r="N25" s="943"/>
      <c r="O25" s="941"/>
      <c r="P25" s="942"/>
      <c r="Q25" s="943"/>
      <c r="R25" s="948"/>
      <c r="S25" s="941"/>
      <c r="T25" s="942"/>
      <c r="U25" s="942"/>
      <c r="V25" s="942"/>
      <c r="W25" s="942"/>
      <c r="X25" s="943"/>
      <c r="Y25" s="1064">
        <f t="shared" si="2"/>
        <v>0</v>
      </c>
      <c r="Z25" s="1065">
        <f t="shared" si="0"/>
        <v>0</v>
      </c>
      <c r="AA25" s="54"/>
      <c r="AI25" s="932" t="s">
        <v>858</v>
      </c>
      <c r="AJ25" s="931">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066">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2" t="s">
        <v>859</v>
      </c>
      <c r="AJ26" s="931">
        <v>0.46564568070420298</v>
      </c>
    </row>
    <row r="27" spans="1:45" s="80" customFormat="1">
      <c r="A27" s="282" t="s">
        <v>217</v>
      </c>
      <c r="B27" s="288" t="str">
        <f>'EB2018'!AP1</f>
        <v xml:space="preserve"> Heat</v>
      </c>
      <c r="C27" s="288">
        <f>'EB2018'!AP56*RSD_Balance!B4</f>
        <v>0</v>
      </c>
      <c r="D27" s="63"/>
      <c r="E27" s="940" t="s">
        <v>217</v>
      </c>
      <c r="F27" s="941">
        <f>'SHWLP-Apt'!$AC$24</f>
        <v>3.9299650561643661E-2</v>
      </c>
      <c r="G27" s="942">
        <f>'SHWLP-Att'!$AC$24</f>
        <v>4.6936096475342227E-2</v>
      </c>
      <c r="H27" s="943">
        <f>'SHWLP-Det'!$AC$24</f>
        <v>0.15385366910836795</v>
      </c>
      <c r="I27" s="941">
        <f>'SHWLP-Apt'!$AC$50</f>
        <v>1.0414055991755985E-2</v>
      </c>
      <c r="J27" s="942">
        <f>'SHWLP-Att'!$AC$50</f>
        <v>2.4530337672704935E-3</v>
      </c>
      <c r="K27" s="943">
        <f>'SHWLP-Det'!$AC$50</f>
        <v>1.0392796353053176E-3</v>
      </c>
      <c r="L27" s="941"/>
      <c r="M27" s="942"/>
      <c r="N27" s="943"/>
      <c r="O27" s="941"/>
      <c r="P27" s="942"/>
      <c r="Q27" s="943"/>
      <c r="R27" s="948"/>
      <c r="S27" s="941"/>
      <c r="T27" s="942"/>
      <c r="U27" s="942"/>
      <c r="V27" s="942"/>
      <c r="W27" s="942"/>
      <c r="X27" s="943"/>
      <c r="Y27" s="1073">
        <f>SUM(F27:X27)</f>
        <v>0.25399578553968566</v>
      </c>
      <c r="Z27" s="1074">
        <f t="shared" si="0"/>
        <v>0</v>
      </c>
      <c r="AA27" s="911">
        <f>ABS(Z22+Z27-Y22-Y27)/(Z22+Z27)</f>
        <v>1.5914422438032795E-2</v>
      </c>
      <c r="AI27" s="932" t="s">
        <v>412</v>
      </c>
      <c r="AJ27" s="931">
        <v>0.79843754089610497</v>
      </c>
    </row>
    <row r="28" spans="1:45" s="80" customFormat="1" ht="12.75" customHeight="1" thickBot="1">
      <c r="A28" s="284"/>
      <c r="B28" s="285" t="s">
        <v>218</v>
      </c>
      <c r="C28" s="286">
        <f>SUM(C9:C27)</f>
        <v>126.68456757434075</v>
      </c>
      <c r="D28" s="63"/>
      <c r="E28" s="569" t="s">
        <v>502</v>
      </c>
      <c r="F28" s="569">
        <f>SUM('SHWLP-Apt'!AC20:AC22)</f>
        <v>7.9971368780206234E-2</v>
      </c>
      <c r="G28" s="569">
        <f>SUM('SHWLP-Att'!AC20:AC22)</f>
        <v>2.5664384212935119</v>
      </c>
      <c r="H28" s="569">
        <f>SUM('SHWLP-Det'!AC20:AC22)</f>
        <v>6.6947104155870543</v>
      </c>
      <c r="I28" s="569">
        <f>SUM('SHWLP-Apt'!AC46:AC48)</f>
        <v>8.6902497821550895E-3</v>
      </c>
      <c r="J28" s="569">
        <f>SUM('SHWLP-Att'!AC46:AC48)</f>
        <v>0.48508578444024042</v>
      </c>
      <c r="K28" s="569">
        <f>SUM('SHWLP-Det'!AC46:AC48)</f>
        <v>0.51851708353638437</v>
      </c>
      <c r="L28" s="569"/>
      <c r="M28" s="569"/>
      <c r="N28" s="569"/>
      <c r="O28" s="569"/>
      <c r="P28" s="569"/>
      <c r="Q28" s="569"/>
      <c r="R28" s="569"/>
      <c r="S28" s="569"/>
      <c r="T28" s="569"/>
      <c r="U28" s="569"/>
      <c r="V28" s="569"/>
      <c r="W28" s="569"/>
      <c r="X28" s="569"/>
      <c r="Y28" s="569">
        <f>SUM(F28:K28)</f>
        <v>10.353413323419552</v>
      </c>
      <c r="Z28" s="570"/>
      <c r="AA28" s="396"/>
      <c r="AD28" s="54"/>
      <c r="AI28" s="932" t="s">
        <v>860</v>
      </c>
      <c r="AJ28" s="931">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2">
        <f t="shared" si="5"/>
        <v>2.7611554513679644</v>
      </c>
      <c r="S29" s="458">
        <f t="shared" si="5"/>
        <v>1.4432113093859997</v>
      </c>
      <c r="T29" s="458">
        <f t="shared" si="5"/>
        <v>1.1269231165822498</v>
      </c>
      <c r="U29" s="458">
        <f t="shared" si="5"/>
        <v>1.7529956797955037</v>
      </c>
      <c r="V29" s="458">
        <f t="shared" si="5"/>
        <v>1.2126723599645999</v>
      </c>
      <c r="W29" s="571">
        <f t="shared" si="5"/>
        <v>10.843443600154002</v>
      </c>
      <c r="X29" s="458">
        <f t="shared" si="5"/>
        <v>0</v>
      </c>
      <c r="Y29" s="891">
        <f>SUM(Y9:Y27)</f>
        <v>126.72113337750515</v>
      </c>
      <c r="Z29" s="890">
        <f>SUM(Z9:Z27)</f>
        <v>126.68456757434075</v>
      </c>
      <c r="AA29" s="396">
        <f>ABS(Z29-Y29)/Z29</f>
        <v>2.8863660242554743E-4</v>
      </c>
      <c r="AB29" s="80"/>
      <c r="AC29" s="80"/>
      <c r="AD29" s="890">
        <f>SUM(AD9:AD27)</f>
        <v>122.9150304745302</v>
      </c>
      <c r="AE29" s="80"/>
      <c r="AF29" s="80"/>
      <c r="AG29" s="80"/>
      <c r="AH29" s="80"/>
      <c r="AI29" s="932" t="s">
        <v>861</v>
      </c>
      <c r="AJ29" s="931">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7"/>
      <c r="Z31" s="927"/>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8"/>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2"/>
      <c r="S35" s="963" t="s">
        <v>505</v>
      </c>
      <c r="T35" s="963" t="s">
        <v>504</v>
      </c>
      <c r="U35" s="964"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107" t="s">
        <v>225</v>
      </c>
      <c r="S36" s="1108"/>
      <c r="T36" s="59">
        <v>185</v>
      </c>
      <c r="U36" s="965">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107" t="s">
        <v>226</v>
      </c>
      <c r="S37" s="1108"/>
      <c r="T37" s="54">
        <v>433</v>
      </c>
      <c r="U37" s="965">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107" t="s">
        <v>224</v>
      </c>
      <c r="S38" s="1108"/>
      <c r="T38" s="54">
        <v>231</v>
      </c>
      <c r="U38" s="965">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109" t="s">
        <v>227</v>
      </c>
      <c r="S39" s="1110"/>
      <c r="T39" s="966">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R36:S36"/>
    <mergeCell ref="R37:S37"/>
    <mergeCell ref="R38:S38"/>
    <mergeCell ref="R39:S39"/>
    <mergeCell ref="AD7:AD8"/>
    <mergeCell ref="AE7:AE8"/>
    <mergeCell ref="Y7:Y8"/>
    <mergeCell ref="Z7:Z8"/>
    <mergeCell ref="AA7:AA8"/>
    <mergeCell ref="R7:R8"/>
    <mergeCell ref="S7:X7"/>
    <mergeCell ref="I7:K7"/>
    <mergeCell ref="L7:N7"/>
    <mergeCell ref="O7:Q7"/>
    <mergeCell ref="F2:G2"/>
    <mergeCell ref="F3:G3"/>
    <mergeCell ref="F4:G4"/>
    <mergeCell ref="F5:G5"/>
  </mergeCells>
  <phoneticPr fontId="0" type="noConversion"/>
  <pageMargins left="0.75" right="0.75" top="1" bottom="1" header="0.5" footer="0.5"/>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4" t="s">
        <v>558</v>
      </c>
      <c r="C4" s="1115"/>
      <c r="D4" s="1115"/>
      <c r="E4" s="1115"/>
      <c r="F4" s="1115"/>
      <c r="G4" s="1115"/>
      <c r="H4" s="1115"/>
      <c r="I4" s="1115"/>
      <c r="J4" s="1115"/>
      <c r="K4" s="1115"/>
      <c r="L4" s="1115"/>
      <c r="M4" s="466"/>
      <c r="O4" s="1114" t="s">
        <v>560</v>
      </c>
      <c r="P4" s="1115"/>
      <c r="Q4" s="1115"/>
      <c r="R4" s="1115"/>
      <c r="S4" s="1115"/>
      <c r="T4" s="1115"/>
      <c r="U4" s="1115"/>
      <c r="V4" s="1115"/>
      <c r="W4" s="1115"/>
      <c r="X4" s="1115"/>
      <c r="Y4" s="1115"/>
      <c r="Z4" s="967"/>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8" t="s">
        <v>567</v>
      </c>
      <c r="AZ18" s="1118"/>
      <c r="BA18" s="1118"/>
      <c r="BB18" s="1118"/>
      <c r="BC18" s="1118"/>
      <c r="BD18" s="1118"/>
      <c r="BE18" s="1118"/>
      <c r="BF18" s="1118"/>
      <c r="BG18" s="1118"/>
      <c r="BH18" s="1118"/>
      <c r="BI18" s="1118"/>
      <c r="BJ18" s="1118"/>
      <c r="BL18" s="1118" t="s">
        <v>877</v>
      </c>
      <c r="BM18" s="1118"/>
      <c r="BN18" s="1118"/>
      <c r="BO18" s="1118"/>
      <c r="BP18" s="1118"/>
      <c r="BQ18" s="1118"/>
      <c r="BR18" s="1118"/>
      <c r="BS18" s="1118"/>
      <c r="BT18" s="1118"/>
      <c r="BU18" s="1118"/>
      <c r="BV18" s="1118"/>
      <c r="BW18" s="1118"/>
      <c r="BX18" s="111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4" t="s">
        <v>559</v>
      </c>
      <c r="C19" s="1115"/>
      <c r="D19" s="1115"/>
      <c r="E19" s="1115"/>
      <c r="F19" s="1115"/>
      <c r="G19" s="1115"/>
      <c r="H19" s="1115"/>
      <c r="I19" s="1115"/>
      <c r="J19" s="1115"/>
      <c r="K19" s="1115"/>
      <c r="L19" s="1115"/>
      <c r="M19" s="1115"/>
      <c r="O19" s="1114" t="s">
        <v>560</v>
      </c>
      <c r="P19" s="1115"/>
      <c r="Q19" s="1115"/>
      <c r="R19" s="1115"/>
      <c r="S19" s="1115"/>
      <c r="T19" s="1115"/>
      <c r="U19" s="1115"/>
      <c r="V19" s="1115"/>
      <c r="W19" s="1115"/>
      <c r="X19" s="1115"/>
      <c r="Y19" s="1115"/>
      <c r="Z19" s="1115"/>
      <c r="AB19" s="1114" t="s">
        <v>561</v>
      </c>
      <c r="AC19" s="1115"/>
      <c r="AD19" s="1115"/>
      <c r="AE19" s="1115"/>
      <c r="AF19" s="1115"/>
      <c r="AG19" s="1115"/>
      <c r="AH19" s="1115"/>
      <c r="AI19" s="1115"/>
      <c r="AJ19" s="1115"/>
      <c r="AK19" s="1115"/>
      <c r="AL19" s="1115"/>
      <c r="AN19" s="1116" t="s">
        <v>562</v>
      </c>
      <c r="AO19" s="1117"/>
      <c r="AP19" s="1117"/>
      <c r="AQ19" s="1117"/>
      <c r="AR19" s="1117"/>
      <c r="AS19" s="1117"/>
      <c r="AT19" s="1117"/>
      <c r="AU19" s="1117"/>
      <c r="AV19" s="1117"/>
      <c r="AW19" s="1117"/>
      <c r="AY19" s="1113" t="s">
        <v>563</v>
      </c>
      <c r="AZ19" s="1113"/>
      <c r="BA19" s="1113"/>
      <c r="BB19" s="1113"/>
      <c r="BC19" s="1113"/>
      <c r="BD19" s="1113"/>
      <c r="BE19" s="1113"/>
      <c r="BF19" s="1113"/>
      <c r="BG19" s="1113"/>
      <c r="BH19" s="1113"/>
      <c r="BI19" s="1113"/>
      <c r="BJ19" s="1113"/>
      <c r="BL19" s="1113" t="s">
        <v>568</v>
      </c>
      <c r="BM19" s="1113"/>
      <c r="BN19" s="1113"/>
      <c r="BO19" s="1113"/>
      <c r="BP19" s="1113"/>
      <c r="BQ19" s="1113"/>
      <c r="BR19" s="1113"/>
      <c r="BS19" s="1113"/>
      <c r="BT19" s="1113"/>
      <c r="BU19" s="1113"/>
      <c r="BV19" s="1113"/>
      <c r="BW19" s="1113"/>
      <c r="BX19" s="111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topLeftCell="A3" workbookViewId="0">
      <selection activeCell="A30" sqref="A30:XFD30"/>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4.140625" style="80"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1" t="s">
        <v>230</v>
      </c>
      <c r="D2" s="561"/>
      <c r="M2" s="561" t="s">
        <v>230</v>
      </c>
      <c r="N2" s="562"/>
    </row>
    <row r="3" spans="1:21" ht="15">
      <c r="C3" s="34" t="s">
        <v>765</v>
      </c>
      <c r="D3" s="34"/>
      <c r="E3" s="564"/>
      <c r="F3" s="564"/>
      <c r="G3" s="564"/>
      <c r="H3" s="564"/>
      <c r="I3" s="564"/>
      <c r="J3" s="564"/>
      <c r="K3" s="563"/>
      <c r="M3" s="34" t="s">
        <v>765</v>
      </c>
      <c r="N3" s="66"/>
      <c r="O3" s="66"/>
      <c r="P3" s="66"/>
      <c r="Q3" s="66"/>
      <c r="R3" s="66"/>
      <c r="S3" s="66"/>
      <c r="T3" s="66"/>
      <c r="U3" s="563"/>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51" t="s">
        <v>250</v>
      </c>
      <c r="N9" s="51" t="str">
        <f>_xlfn.TEXTJOIN(",",TRUE,IF(LEFT(Regions!$C$3,1)&lt;&gt;"*",Regions!$C$3,""),IF(LEFT(Regions!$D$3,1)&lt;&gt;"*",Regions!$D$3,""))</f>
        <v>IE,National</v>
      </c>
      <c r="O9" s="51" t="str">
        <f>_xlfn.TEXTJOIN("",TRUE,SETUP!B$3,SETUP!B$50,"_",SETUP!B$36,"-AB")</f>
        <v>RSDSH_Apt-AB</v>
      </c>
      <c r="P9" s="51" t="str">
        <f>_xlfn.TEXTJOIN(" ",TRUE,SETUP!C$3,SETUP!C$50,SETUP!C$36)</f>
        <v>Residential Space Heating Apartment</v>
      </c>
      <c r="Q9" s="51" t="s">
        <v>13</v>
      </c>
      <c r="R9" s="51"/>
      <c r="S9" s="51"/>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_xlfn.TEXTJOIN("",TRUE,SETUP!B$3,SETUP!B$50,"_",SETUP!B$37,"-AB")</f>
        <v>RSDSH_Att-AB</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_xlfn.TEXTJOIN("",TRUE,SETUP!B$3,SETUP!B$50,"_",SETUP!B$38,"-AB")</f>
        <v>RSDSH_Det-AB</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_xlfn.TEXTJOIN("",TRUE,SETUP!B$3,SETUP!B$50,"_",SETUP!B$36,"-C")</f>
        <v>RSDSH_Apt-C</v>
      </c>
      <c r="P12" s="51" t="str">
        <f>_xlfn.TEXTJOIN(" ",TRUE,SETUP!C$3,SETUP!C$50,SETUP!C$36)</f>
        <v>Residential Space Heating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_xlfn.TEXTJOIN("",TRUE,SETUP!B$3,SETUP!B$50,"_",SETUP!B$37,"-C")</f>
        <v>RSDSH_Att-C</v>
      </c>
      <c r="P13" s="51" t="str">
        <f>_xlfn.TEXTJOIN(" ",TRUE,SETUP!C$3,SETUP!C$50,SETUP!C$37)</f>
        <v>Residential Space Heating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_xlfn.TEXTJOIN("",TRUE,SETUP!B$3,SETUP!B$50,"_",SETUP!B$38,"-C")</f>
        <v>RSDSH_Det-C</v>
      </c>
      <c r="P14" s="274" t="str">
        <f>_xlfn.TEXTJOIN(" ",TRUE,SETUP!C$3,SETUP!C$50,SETUP!C$38)</f>
        <v>Residential Space Heating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_xlfn.TEXTJOIN("",TRUE,SETUP!B$3,SETUP!B$50,"_",SETUP!B$36,"-D")</f>
        <v>RSDSH_Apt-D</v>
      </c>
      <c r="P15" s="51" t="str">
        <f>_xlfn.TEXTJOIN(" ",TRUE,SETUP!C$3,SETUP!C$50,SETUP!C$36)</f>
        <v>Residential Space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_xlfn.TEXTJOIN("",TRUE,SETUP!B$3,SETUP!B$50,"_",SETUP!B$37,"-D")</f>
        <v>RSDSH_Att-D</v>
      </c>
      <c r="P16" s="51" t="str">
        <f>_xlfn.TEXTJOIN(" ",TRUE,SETUP!C$3,SETUP!C$50,SETUP!C$37)</f>
        <v>Residential Space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_xlfn.TEXTJOIN("",TRUE,SETUP!B$3,SETUP!B$50,"_",SETUP!B$38,"-D")</f>
        <v>RSDSH_Det-D</v>
      </c>
      <c r="P17" s="274" t="str">
        <f>_xlfn.TEXTJOIN(" ",TRUE,SETUP!C$3,SETUP!C$50,SETUP!C$38)</f>
        <v>Residential Space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_xlfn.TEXTJOIN("",TRUE,SETUP!B$3,SETUP!B$50,"_",SETUP!B$36,"-E")</f>
        <v>RSDSH_Apt-E</v>
      </c>
      <c r="P18" s="51" t="str">
        <f>_xlfn.TEXTJOIN(" ",TRUE,SETUP!C$3,SETUP!C$50,SETUP!C$36)</f>
        <v>Residential Space Heating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_xlfn.TEXTJOIN("",TRUE,SETUP!B$3,SETUP!B$50,"_",SETUP!B$37,"-E")</f>
        <v>RSDSH_Att-E</v>
      </c>
      <c r="P19" s="51" t="str">
        <f>_xlfn.TEXTJOIN(" ",TRUE,SETUP!C$3,SETUP!C$50,SETUP!C$37)</f>
        <v>Residential Space Heating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_xlfn.TEXTJOIN("",TRUE,SETUP!B$3,SETUP!B$50,"_",SETUP!B$38,"-E")</f>
        <v>RSDSH_Det-E</v>
      </c>
      <c r="P20" s="274" t="str">
        <f>_xlfn.TEXTJOIN(" ",TRUE,SETUP!C$3,SETUP!C$50,SETUP!C$38)</f>
        <v>Residential Space Heating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_xlfn.TEXTJOIN("",TRUE,SETUP!B$3,SETUP!B$50,"_",SETUP!B$36,"-F")</f>
        <v>RSDSH_Apt-F</v>
      </c>
      <c r="P21" s="51" t="str">
        <f>_xlfn.TEXTJOIN(" ",TRUE,SETUP!C$3,SETUP!C$50,SETUP!C$36)</f>
        <v>Residential Space Heating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_xlfn.TEXTJOIN("",TRUE,SETUP!B$3,SETUP!B$50,"_",SETUP!B$37,"-F")</f>
        <v>RSDSH_Att-F</v>
      </c>
      <c r="P22" s="51" t="str">
        <f>_xlfn.TEXTJOIN(" ",TRUE,SETUP!C$3,SETUP!C$50,SETUP!C$37)</f>
        <v>Residential Space Heating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_xlfn.TEXTJOIN("",TRUE,SETUP!B$3,SETUP!B$50,"_",SETUP!B$38,"-F")</f>
        <v>RSDSH_Det-F</v>
      </c>
      <c r="P23" s="274" t="str">
        <f>_xlfn.TEXTJOIN(" ",TRUE,SETUP!C$3,SETUP!C$50,SETUP!C$38)</f>
        <v>Residential Space Heating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273" t="s">
        <v>250</v>
      </c>
      <c r="N24" s="51" t="str">
        <f>_xlfn.TEXTJOIN(",",TRUE,IF(LEFT(Regions!$C$3,1)&lt;&gt;"*",Regions!$C$3,""),IF(LEFT(Regions!$D$3,1)&lt;&gt;"*",Regions!$D$3,""))</f>
        <v>IE,National</v>
      </c>
      <c r="O24" s="51" t="str">
        <f>_xlfn.TEXTJOIN("",TRUE,SETUP!B$3,SETUP!B$50,"_",SETUP!B$36,"-G")</f>
        <v>RSDSH_Apt-G</v>
      </c>
      <c r="P24" s="51" t="str">
        <f>_xlfn.TEXTJOIN(" ",TRUE,SETUP!C$3,SETUP!C$50,SETUP!C$36)</f>
        <v>Residential Space Heating Apartment</v>
      </c>
      <c r="Q24" s="273" t="s">
        <v>13</v>
      </c>
      <c r="R24" s="273"/>
      <c r="S24" s="273"/>
      <c r="T24" s="51"/>
      <c r="U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t="s">
        <v>250</v>
      </c>
      <c r="N25" s="51" t="str">
        <f>_xlfn.TEXTJOIN(",",TRUE,IF(LEFT(Regions!$C$3,1)&lt;&gt;"*",Regions!$C$3,""),IF(LEFT(Regions!$D$3,1)&lt;&gt;"*",Regions!$D$3,""))</f>
        <v>IE,National</v>
      </c>
      <c r="O25" s="51" t="str">
        <f>_xlfn.TEXTJOIN("",TRUE,SETUP!B$3,SETUP!B$50,"_",SETUP!B$37,"-G")</f>
        <v>RSDSH_Att-G</v>
      </c>
      <c r="P25" s="51" t="str">
        <f>_xlfn.TEXTJOIN(" ",TRUE,SETUP!C$3,SETUP!C$50,SETUP!C$37)</f>
        <v>Residential Space Heating Attached</v>
      </c>
      <c r="Q25" s="51" t="s">
        <v>13</v>
      </c>
      <c r="R25" s="51"/>
      <c r="S25" s="51"/>
      <c r="T25" s="51"/>
      <c r="U25" s="51"/>
    </row>
    <row r="26" spans="1:21" ht="13.5" thickBot="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274" t="s">
        <v>250</v>
      </c>
      <c r="N26" s="274" t="str">
        <f>_xlfn.TEXTJOIN(",",TRUE,IF(LEFT(Regions!$C$3,1)&lt;&gt;"*",Regions!$C$3,""),IF(LEFT(Regions!$D$3,1)&lt;&gt;"*",Regions!$D$3,""))</f>
        <v>IE,National</v>
      </c>
      <c r="O26" s="274" t="str">
        <f>_xlfn.TEXTJOIN("",TRUE,SETUP!B$3,SETUP!B$50,"_",SETUP!B$38,"-G")</f>
        <v>RSDSH_Det-G</v>
      </c>
      <c r="P26" s="274" t="str">
        <f>_xlfn.TEXTJOIN(" ",TRUE,SETUP!C$3,SETUP!C$50,SETUP!C$38)</f>
        <v>Residential Space Heating Detached</v>
      </c>
      <c r="Q26" s="274" t="s">
        <v>13</v>
      </c>
      <c r="R26" s="274"/>
      <c r="S26" s="274"/>
      <c r="T26" s="274"/>
      <c r="U26" s="274"/>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c r="M27" s="51" t="s">
        <v>250</v>
      </c>
      <c r="N27" s="51" t="str">
        <f>_xlfn.TEXTJOIN(",",TRUE,IF(LEFT(Regions!$C$3,1)&lt;&gt;"*",Regions!$C$3,""),IF(LEFT(Regions!$D$3,1)&lt;&gt;"*",Regions!$D$3,""))</f>
        <v>IE,National</v>
      </c>
      <c r="O27" s="51" t="str">
        <f>_xlfn.TEXTJOIN("",TRUE,SETUP!B$3,SETUP!B$51,"_",SETUP!B$36)</f>
        <v>RSDSC_Apt</v>
      </c>
      <c r="P27" s="51" t="str">
        <f>_xlfn.TEXTJOIN(" ",TRUE,SETUP!C$3,SETUP!C$51,SETUP!C$36)</f>
        <v>Residential Space Cooling Apartment</v>
      </c>
      <c r="Q27" s="51" t="s">
        <v>13</v>
      </c>
      <c r="R27" s="51"/>
      <c r="S27" s="51"/>
      <c r="T27" s="51"/>
      <c r="U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c r="M28" s="51" t="s">
        <v>250</v>
      </c>
      <c r="N28" s="51" t="str">
        <f>_xlfn.TEXTJOIN(",",TRUE,IF(LEFT(Regions!$C$3,1)&lt;&gt;"*",Regions!$C$3,""),IF(LEFT(Regions!$D$3,1)&lt;&gt;"*",Regions!$D$3,""))</f>
        <v>IE,National</v>
      </c>
      <c r="O28" s="51" t="str">
        <f>_xlfn.TEXTJOIN("",TRUE,SETUP!B$3,SETUP!B$51,"_",SETUP!B$37)</f>
        <v>RSDSC_Att</v>
      </c>
      <c r="P28" s="51" t="str">
        <f>_xlfn.TEXTJOIN(" ",TRUE,SETUP!C$3,SETUP!C$51,SETUP!C$37)</f>
        <v>Residential Space Cooling Attached</v>
      </c>
      <c r="Q28" s="51" t="s">
        <v>13</v>
      </c>
      <c r="R28" s="51"/>
      <c r="S28" s="51"/>
      <c r="T28" s="51"/>
      <c r="U28" s="51"/>
    </row>
    <row r="29" spans="1:21" ht="13.5" thickBot="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c r="M29" s="274" t="s">
        <v>250</v>
      </c>
      <c r="N29" s="274" t="str">
        <f>_xlfn.TEXTJOIN(",",TRUE,IF(LEFT(Regions!$C$3,1)&lt;&gt;"*",Regions!$C$3,""),IF(LEFT(Regions!$D$3,1)&lt;&gt;"*",Regions!$D$3,""))</f>
        <v>IE,National</v>
      </c>
      <c r="O29" s="274" t="str">
        <f>_xlfn.TEXTJOIN("",TRUE,SETUP!B$3,SETUP!B$51,"_",SETUP!B$38)</f>
        <v>RSDSC_Det</v>
      </c>
      <c r="P29" s="274" t="str">
        <f>_xlfn.TEXTJOIN(" ",TRUE,SETUP!C$3,SETUP!C$51,SETUP!C$38)</f>
        <v>Residential Space Cooling Detached</v>
      </c>
      <c r="Q29" s="274" t="s">
        <v>13</v>
      </c>
      <c r="R29" s="274"/>
      <c r="S29" s="274"/>
      <c r="T29" s="274"/>
      <c r="U29" s="274"/>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c r="M30" s="51" t="s">
        <v>250</v>
      </c>
      <c r="N30" s="51" t="str">
        <f>_xlfn.TEXTJOIN(",",TRUE,IF(LEFT(Regions!$C$3,1)&lt;&gt;"*",Regions!$C$3,""),IF(LEFT(Regions!$D$3,1)&lt;&gt;"*",Regions!$D$3,""))</f>
        <v>IE,National</v>
      </c>
      <c r="O30" s="51" t="str">
        <f>_xlfn.TEXTJOIN("",TRUE,SETUP!B$3,SETUP!B$52,"_",SETUP!B$36)</f>
        <v>RSDWH_Apt</v>
      </c>
      <c r="P30" s="51" t="str">
        <f>_xlfn.TEXTJOIN(" ",TRUE,SETUP!C$3,SETUP!C$52,SETUP!C$36)</f>
        <v>Residential Water Heating Apartment</v>
      </c>
      <c r="Q30" s="51" t="s">
        <v>13</v>
      </c>
      <c r="R30" s="51"/>
      <c r="S30" s="51"/>
      <c r="T30" s="51"/>
      <c r="U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c r="M31" s="51" t="s">
        <v>250</v>
      </c>
      <c r="N31" s="51" t="str">
        <f>_xlfn.TEXTJOIN(",",TRUE,IF(LEFT(Regions!$C$3,1)&lt;&gt;"*",Regions!$C$3,""),IF(LEFT(Regions!$D$3,1)&lt;&gt;"*",Regions!$D$3,""))</f>
        <v>IE,National</v>
      </c>
      <c r="O31" s="51" t="str">
        <f>_xlfn.TEXTJOIN("",TRUE,SETUP!B$3,SETUP!B$52,"_",SETUP!B$37)</f>
        <v>RSDWH_Att</v>
      </c>
      <c r="P31" s="51" t="str">
        <f>_xlfn.TEXTJOIN(" ",TRUE,SETUP!C$3,SETUP!C$52,SETUP!C$37)</f>
        <v>Residential Water Heating Attached</v>
      </c>
      <c r="Q31" s="51" t="s">
        <v>13</v>
      </c>
      <c r="R31" s="51"/>
      <c r="S31" s="51"/>
      <c r="T31" s="51"/>
      <c r="U31" s="51"/>
    </row>
    <row r="32" spans="1:21" ht="13.5" thickBot="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c r="M32" s="274" t="s">
        <v>250</v>
      </c>
      <c r="N32" s="274" t="str">
        <f>_xlfn.TEXTJOIN(",",TRUE,IF(LEFT(Regions!$C$3,1)&lt;&gt;"*",Regions!$C$3,""),IF(LEFT(Regions!$D$3,1)&lt;&gt;"*",Regions!$D$3,""))</f>
        <v>IE,National</v>
      </c>
      <c r="O32" s="274" t="str">
        <f>_xlfn.TEXTJOIN("",TRUE,SETUP!B$3,SETUP!B$52,"_",SETUP!B$38)</f>
        <v>RSDWH_Det</v>
      </c>
      <c r="P32" s="274" t="str">
        <f>_xlfn.TEXTJOIN(" ",TRUE,SETUP!C$3,SETUP!C$52,SETUP!C$38)</f>
        <v>Residential Water Heating Detached</v>
      </c>
      <c r="Q32" s="274" t="s">
        <v>13</v>
      </c>
      <c r="R32" s="274"/>
      <c r="S32" s="274"/>
      <c r="T32" s="274"/>
      <c r="U32" s="274"/>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c r="M33" s="51" t="s">
        <v>250</v>
      </c>
      <c r="N33" s="51" t="str">
        <f>_xlfn.TEXTJOIN(",",TRUE,IF(LEFT(Regions!$C$3,1)&lt;&gt;"*",Regions!$C$3,""),IF(LEFT(Regions!$D$3,1)&lt;&gt;"*",Regions!$D$3,""))</f>
        <v>IE,National</v>
      </c>
      <c r="O33" s="51" t="str">
        <f>_xlfn.TEXTJOIN("",TRUE,SETUP!B$3,SETUP!B$53,"_",SETUP!B$36)</f>
        <v>RSDLT_Apt</v>
      </c>
      <c r="P33" s="51" t="str">
        <f>_xlfn.TEXTJOIN(" ",TRUE,SETUP!C$3,SETUP!C$53,SETUP!C$36)</f>
        <v>Residential Lighting Apartment</v>
      </c>
      <c r="Q33" s="51" t="s">
        <v>13</v>
      </c>
      <c r="R33" s="51"/>
      <c r="S33" s="51"/>
      <c r="T33" s="51"/>
      <c r="U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c r="M34" s="51" t="s">
        <v>250</v>
      </c>
      <c r="N34" s="51" t="str">
        <f>_xlfn.TEXTJOIN(",",TRUE,IF(LEFT(Regions!$C$3,1)&lt;&gt;"*",Regions!$C$3,""),IF(LEFT(Regions!$D$3,1)&lt;&gt;"*",Regions!$D$3,""))</f>
        <v>IE,National</v>
      </c>
      <c r="O34" s="51" t="str">
        <f>_xlfn.TEXTJOIN("",TRUE,SETUP!B$3,SETUP!B$53,"_",SETUP!B$37)</f>
        <v>RSDLT_Att</v>
      </c>
      <c r="P34" s="51" t="str">
        <f>_xlfn.TEXTJOIN(" ",TRUE,SETUP!C$3,SETUP!C$53,SETUP!C$37)</f>
        <v>Residential Lighting Attached</v>
      </c>
      <c r="Q34" s="51" t="s">
        <v>13</v>
      </c>
      <c r="R34" s="51"/>
      <c r="S34" s="51"/>
      <c r="T34" s="51"/>
      <c r="U34" s="51"/>
    </row>
    <row r="35" spans="3:21" ht="13.5" thickBot="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c r="M35" s="274" t="s">
        <v>250</v>
      </c>
      <c r="N35" s="274" t="str">
        <f>_xlfn.TEXTJOIN(",",TRUE,IF(LEFT(Regions!$C$3,1)&lt;&gt;"*",Regions!$C$3,""),IF(LEFT(Regions!$D$3,1)&lt;&gt;"*",Regions!$D$3,""))</f>
        <v>IE,National</v>
      </c>
      <c r="O35" s="274" t="str">
        <f>_xlfn.TEXTJOIN("",TRUE,SETUP!B$3,SETUP!B$53,"_",SETUP!B$38)</f>
        <v>RSDLT_Det</v>
      </c>
      <c r="P35" s="274" t="str">
        <f>_xlfn.TEXTJOIN(" ",TRUE,SETUP!C$3,SETUP!C$53,SETUP!C$38)</f>
        <v>Residential Lighting Detached</v>
      </c>
      <c r="Q35" s="274" t="s">
        <v>13</v>
      </c>
      <c r="R35" s="274"/>
      <c r="S35" s="274"/>
      <c r="T35" s="274"/>
      <c r="U35" s="274"/>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c r="M36" s="51" t="s">
        <v>250</v>
      </c>
      <c r="N36" s="51" t="str">
        <f>_xlfn.TEXTJOIN(",",TRUE,IF(LEFT(Regions!$C$3,1)&lt;&gt;"*",Regions!$C$3,""),IF(LEFT(Regions!$D$3,1)&lt;&gt;"*",Regions!$D$3,""))</f>
        <v>IE,National</v>
      </c>
      <c r="O36" s="51" t="str">
        <f>_xlfn.TEXTJOIN("",TRUE,SETUP!B$3,SETUP!B$54,"_",SETUP!B$36)</f>
        <v>RSDPF_Apt</v>
      </c>
      <c r="P36" s="51" t="str">
        <f>_xlfn.TEXTJOIN(" ",TRUE,SETUP!C$3,SETUP!C$54,SETUP!C$36)</f>
        <v>Residential Pumps &amp; Fans Apartment</v>
      </c>
      <c r="Q36" s="51" t="s">
        <v>13</v>
      </c>
      <c r="R36" s="51"/>
      <c r="S36" s="51"/>
      <c r="T36" s="51"/>
      <c r="U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c r="M37" s="51" t="s">
        <v>250</v>
      </c>
      <c r="N37" s="51" t="str">
        <f>_xlfn.TEXTJOIN(",",TRUE,IF(LEFT(Regions!$C$3,1)&lt;&gt;"*",Regions!$C$3,""),IF(LEFT(Regions!$D$3,1)&lt;&gt;"*",Regions!$D$3,""))</f>
        <v>IE,National</v>
      </c>
      <c r="O37" s="51" t="str">
        <f>_xlfn.TEXTJOIN("",TRUE,SETUP!B$3,SETUP!B$54,"_",SETUP!B$37)</f>
        <v>RSDPF_Att</v>
      </c>
      <c r="P37" s="51" t="str">
        <f>_xlfn.TEXTJOIN(" ",TRUE,SETUP!C$3,SETUP!C$54,SETUP!C$37)</f>
        <v>Residential Pumps &amp; Fans Attached</v>
      </c>
      <c r="Q37" s="51" t="s">
        <v>13</v>
      </c>
      <c r="R37" s="51"/>
      <c r="S37" s="51"/>
      <c r="T37" s="51"/>
      <c r="U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c r="M38" s="274" t="s">
        <v>250</v>
      </c>
      <c r="N38" s="274" t="str">
        <f>_xlfn.TEXTJOIN(",",TRUE,IF(LEFT(Regions!$C$3,1)&lt;&gt;"*",Regions!$C$3,""),IF(LEFT(Regions!$D$3,1)&lt;&gt;"*",Regions!$D$3,""))</f>
        <v>IE,National</v>
      </c>
      <c r="O38" s="274" t="str">
        <f>_xlfn.TEXTJOIN("",TRUE,SETUP!B$3,SETUP!B$54,"_",SETUP!B$38)</f>
        <v>RSDPF_Det</v>
      </c>
      <c r="P38" s="274" t="str">
        <f>_xlfn.TEXTJOIN(" ",TRUE,SETUP!C$3,SETUP!C$54,SETUP!C$38)</f>
        <v>Residential Pumps &amp; Fans Detached</v>
      </c>
      <c r="Q38" s="274" t="s">
        <v>13</v>
      </c>
      <c r="R38" s="274"/>
      <c r="S38" s="274"/>
      <c r="T38" s="274"/>
      <c r="U38" s="274"/>
    </row>
    <row r="39" spans="3:21">
      <c r="K39" s="41"/>
      <c r="M39" s="51"/>
      <c r="N39" s="51"/>
      <c r="O39" s="51"/>
      <c r="P39" s="51"/>
      <c r="Q39" s="51"/>
      <c r="R39" s="51"/>
      <c r="S39" s="51"/>
      <c r="T39" s="51"/>
    </row>
    <row r="40" spans="3:21">
      <c r="K40" s="41"/>
      <c r="M40" s="51"/>
      <c r="N40" s="51"/>
      <c r="O40" s="51"/>
      <c r="P40" s="51"/>
      <c r="Q40" s="51"/>
      <c r="R40" s="51"/>
      <c r="S40" s="51"/>
      <c r="T40" s="51"/>
    </row>
    <row r="41" spans="3:21">
      <c r="K41" s="41"/>
      <c r="M41" s="51"/>
      <c r="N41" s="51"/>
      <c r="O41" s="51"/>
      <c r="P41" s="51"/>
      <c r="Q41" s="51"/>
      <c r="R41" s="51"/>
      <c r="S41" s="51"/>
      <c r="T41" s="51"/>
    </row>
    <row r="42" spans="3:21">
      <c r="K42" s="41"/>
    </row>
    <row r="43" spans="3:21">
      <c r="K43" s="41"/>
    </row>
    <row r="44" spans="3:21">
      <c r="K44" s="41"/>
    </row>
    <row r="45" spans="3:21">
      <c r="K45" s="41"/>
    </row>
    <row r="46" spans="3:21">
      <c r="K46" s="41"/>
    </row>
    <row r="47" spans="3:21">
      <c r="K47" s="41"/>
    </row>
    <row r="48" spans="3:21">
      <c r="K48" s="41"/>
    </row>
    <row r="49" spans="11:21">
      <c r="K49" s="41"/>
    </row>
    <row r="50" spans="11:21">
      <c r="K50" s="41"/>
    </row>
    <row r="51" spans="11:21">
      <c r="K51" s="41"/>
    </row>
    <row r="52" spans="11:21">
      <c r="K52" s="41"/>
    </row>
    <row r="53" spans="11:21">
      <c r="K53" s="41"/>
    </row>
    <row r="54" spans="11:21">
      <c r="K54" s="41"/>
    </row>
    <row r="55" spans="11:21">
      <c r="K55" s="41"/>
    </row>
    <row r="56" spans="11:21">
      <c r="K56" s="41"/>
      <c r="U56" s="41"/>
    </row>
    <row r="57" spans="11:21">
      <c r="K57" s="41"/>
      <c r="U57" s="41"/>
    </row>
    <row r="58" spans="11:21">
      <c r="K58" s="41"/>
      <c r="U58" s="41"/>
    </row>
    <row r="59" spans="11:21">
      <c r="K59" s="41"/>
      <c r="U59" s="41"/>
    </row>
    <row r="60" spans="11:21">
      <c r="K60" s="41"/>
      <c r="U60" s="41"/>
    </row>
    <row r="61" spans="11:21">
      <c r="K61" s="41"/>
      <c r="U61" s="41"/>
    </row>
    <row r="62" spans="11:21">
      <c r="K62" s="41"/>
      <c r="U62" s="41"/>
    </row>
    <row r="63" spans="11:21">
      <c r="K63" s="41"/>
      <c r="U63" s="41"/>
    </row>
    <row r="64" spans="11:21">
      <c r="K64" s="41"/>
      <c r="U64" s="41"/>
    </row>
    <row r="65" spans="11:21">
      <c r="K65" s="41"/>
      <c r="U65" s="41"/>
    </row>
    <row r="66" spans="11:21">
      <c r="K66" s="41"/>
      <c r="U66" s="41"/>
    </row>
    <row r="67" spans="11:21">
      <c r="K67" s="41"/>
      <c r="U67" s="41"/>
    </row>
    <row r="68" spans="11:21">
      <c r="K68" s="41"/>
    </row>
    <row r="69" spans="11:21">
      <c r="K69" s="41"/>
    </row>
    <row r="70" spans="11:21">
      <c r="K70" s="41"/>
    </row>
    <row r="71" spans="11:21">
      <c r="K71" s="41"/>
    </row>
    <row r="72" spans="11:21">
      <c r="K72" s="41"/>
    </row>
    <row r="73" spans="11:21">
      <c r="K73" s="41"/>
    </row>
    <row r="74" spans="11:21">
      <c r="K74" s="41"/>
    </row>
    <row r="75" spans="11:21">
      <c r="K75" s="41"/>
    </row>
    <row r="76" spans="11:21">
      <c r="K76" s="41"/>
    </row>
    <row r="77" spans="11:21">
      <c r="K77" s="41"/>
    </row>
    <row r="78" spans="11:21">
      <c r="K78" s="41"/>
    </row>
    <row r="79" spans="11:21">
      <c r="K79" s="41"/>
    </row>
    <row r="80" spans="11:21">
      <c r="K80" s="41"/>
    </row>
    <row r="81" spans="11:22">
      <c r="K81" s="41"/>
    </row>
    <row r="82" spans="11:22">
      <c r="K82" s="41"/>
      <c r="U82" s="51"/>
    </row>
    <row r="83" spans="11:22">
      <c r="K83" s="41"/>
      <c r="U83" s="51"/>
    </row>
    <row r="84" spans="11:22">
      <c r="K84" s="41"/>
      <c r="L84" s="41"/>
      <c r="U84" s="51"/>
    </row>
    <row r="85" spans="11:22">
      <c r="K85" s="41"/>
      <c r="L85" s="41"/>
      <c r="U85" s="51"/>
    </row>
    <row r="86" spans="11:22">
      <c r="K86" s="41"/>
      <c r="L86" s="41"/>
      <c r="U86" s="41"/>
    </row>
    <row r="87" spans="11:22">
      <c r="K87" s="41"/>
      <c r="L87" s="41"/>
      <c r="U87" s="41"/>
    </row>
    <row r="88" spans="11:22">
      <c r="K88" s="41"/>
      <c r="L88" s="41"/>
      <c r="U88" s="41"/>
    </row>
    <row r="89" spans="11:22">
      <c r="K89" s="41"/>
      <c r="L89" s="41"/>
      <c r="U89" s="41"/>
      <c r="V89" s="41"/>
    </row>
    <row r="90" spans="11:22">
      <c r="K90" s="41"/>
      <c r="L90" s="41"/>
      <c r="U90" s="41"/>
      <c r="V90" s="41"/>
    </row>
    <row r="91" spans="11:22">
      <c r="K91" s="41"/>
      <c r="L91" s="41"/>
      <c r="U91" s="41"/>
      <c r="V91" s="41"/>
    </row>
    <row r="92" spans="11:22">
      <c r="K92" s="41"/>
      <c r="L92" s="41"/>
      <c r="U92" s="41"/>
      <c r="V92" s="41"/>
    </row>
    <row r="93" spans="11:22">
      <c r="K93" s="41"/>
      <c r="L93" s="41"/>
      <c r="U93" s="41"/>
      <c r="V93" s="41"/>
    </row>
    <row r="94" spans="11:22">
      <c r="K94" s="41"/>
      <c r="L94" s="41"/>
      <c r="U94" s="41"/>
      <c r="V94" s="41"/>
    </row>
    <row r="95" spans="11:22">
      <c r="K95" s="41"/>
      <c r="L95" s="41"/>
      <c r="U95" s="41"/>
      <c r="V95" s="41"/>
    </row>
    <row r="96" spans="11:22">
      <c r="K96" s="41"/>
      <c r="U96" s="41"/>
      <c r="V96" s="41"/>
    </row>
    <row r="97" spans="11:22">
      <c r="K97" s="41"/>
      <c r="U97" s="41"/>
      <c r="V97" s="41"/>
    </row>
    <row r="98" spans="11:22">
      <c r="K98" s="41"/>
      <c r="U98" s="41"/>
      <c r="V98" s="41"/>
    </row>
    <row r="99" spans="11:22">
      <c r="K99" s="41"/>
      <c r="U99" s="41"/>
      <c r="V99" s="41"/>
    </row>
    <row r="100" spans="11:22">
      <c r="K100" s="41"/>
      <c r="U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zoomScale="70" zoomScaleNormal="70"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7"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3" t="s">
        <v>252</v>
      </c>
      <c r="E6" s="973" t="s">
        <v>252</v>
      </c>
      <c r="F6" s="973" t="s">
        <v>252</v>
      </c>
      <c r="G6" s="973" t="s">
        <v>252</v>
      </c>
      <c r="H6" s="973" t="s">
        <v>252</v>
      </c>
      <c r="I6" s="973" t="s">
        <v>252</v>
      </c>
      <c r="J6" s="973" t="s">
        <v>252</v>
      </c>
      <c r="K6" s="973" t="s">
        <v>252</v>
      </c>
      <c r="M6"/>
      <c r="N6"/>
      <c r="O6"/>
    </row>
    <row r="7" spans="2:40">
      <c r="B7" s="399" t="str">
        <f>_xlfn.TEXTJOIN(",",TRUE,IF(LEFT(Regions!$C$3,1)&lt;&gt;"*",Regions!$C$3,""),IF(LEFT(Regions!$D$3,1)&lt;&gt;"*",Regions!$D$3,""))</f>
        <v>IE,National</v>
      </c>
      <c r="C7" s="968" t="str">
        <f>COMM!E26</f>
        <v>RSDCO2</v>
      </c>
      <c r="D7" s="324">
        <v>97.115822433347077</v>
      </c>
      <c r="E7" s="325">
        <v>104</v>
      </c>
      <c r="F7" s="326">
        <v>63.7</v>
      </c>
      <c r="G7" s="326">
        <v>71.400000000000006</v>
      </c>
      <c r="H7" s="325">
        <v>55.74</v>
      </c>
      <c r="I7" s="325">
        <v>112</v>
      </c>
      <c r="J7" s="325">
        <v>0</v>
      </c>
      <c r="K7" s="974">
        <v>0</v>
      </c>
      <c r="M7" s="466"/>
      <c r="N7" s="466"/>
      <c r="O7" s="466"/>
      <c r="P7" s="80"/>
      <c r="Q7" s="80"/>
      <c r="R7" s="80"/>
      <c r="S7" s="80"/>
      <c r="T7" s="80"/>
    </row>
    <row r="8" spans="2:40">
      <c r="B8" s="322" t="str">
        <f>_xlfn.TEXTJOIN(",",TRUE,IF(LEFT(Regions!$C$3,1)&lt;&gt;"*",Regions!$C$3,""),IF(LEFT(Regions!$D$3,1)&lt;&gt;"*",Regions!$D$3,""))</f>
        <v>IE,National</v>
      </c>
      <c r="C8" s="969" t="str">
        <f>COMM!E27</f>
        <v>RSDCH4</v>
      </c>
      <c r="D8" s="327">
        <v>0.29999999999999993</v>
      </c>
      <c r="E8" s="319">
        <v>0.3</v>
      </c>
      <c r="F8" s="318">
        <v>5.0000000000000001E-3</v>
      </c>
      <c r="G8" s="318">
        <v>0.01</v>
      </c>
      <c r="H8" s="318">
        <v>5.0000000000000001E-3</v>
      </c>
      <c r="I8" s="319">
        <v>0.29770000000000002</v>
      </c>
      <c r="J8" s="319">
        <v>0.01</v>
      </c>
      <c r="K8" s="975">
        <v>0.01</v>
      </c>
      <c r="M8" s="466"/>
      <c r="N8" s="466"/>
      <c r="O8" s="466"/>
      <c r="P8" s="80"/>
      <c r="Q8" s="80"/>
      <c r="R8" s="80"/>
      <c r="S8" s="80"/>
      <c r="T8" s="80"/>
    </row>
    <row r="9" spans="2:40" ht="13.5" thickBot="1">
      <c r="B9" s="321" t="str">
        <f>_xlfn.TEXTJOIN(",",TRUE,IF(LEFT(Regions!$C$3,1)&lt;&gt;"*",Regions!$C$3,""),IF(LEFT(Regions!$D$3,1)&lt;&gt;"*",Regions!$D$3,""))</f>
        <v>IE,National</v>
      </c>
      <c r="C9" s="970" t="str">
        <f>COMM!E28</f>
        <v>RSDN2O</v>
      </c>
      <c r="D9" s="976">
        <v>0</v>
      </c>
      <c r="E9" s="977"/>
      <c r="F9" s="978"/>
      <c r="G9" s="978"/>
      <c r="H9" s="977"/>
      <c r="I9" s="977"/>
      <c r="J9" s="977"/>
      <c r="K9" s="979"/>
      <c r="M9" s="466"/>
      <c r="N9" s="466"/>
      <c r="O9" s="466"/>
      <c r="P9" s="80"/>
      <c r="Q9" s="80"/>
      <c r="R9" s="80"/>
      <c r="S9" s="80"/>
      <c r="T9" s="80"/>
    </row>
    <row r="10" spans="2:40">
      <c r="B10" s="400" t="str">
        <f>_xlfn.TEXTJOIN(",",TRUE,IF(LEFT(Regions!$C$3,1)&lt;&gt;"*",Regions!$C$3,""),IF(LEFT(Regions!$D$3,1)&lt;&gt;"*",Regions!$D$3,""))</f>
        <v>IE,National</v>
      </c>
      <c r="C10" s="971" t="str">
        <f>COMM!E29</f>
        <v>RSDSO2N</v>
      </c>
      <c r="D10" s="980">
        <v>1.4999999999999998E-3</v>
      </c>
      <c r="E10" s="401">
        <v>1.4E-3</v>
      </c>
      <c r="F10" s="402">
        <v>1E-4</v>
      </c>
      <c r="G10" s="402">
        <v>5.9999999999999995E-4</v>
      </c>
      <c r="H10" s="402">
        <v>1E-4</v>
      </c>
      <c r="I10" s="401">
        <v>3.8999999999999998E-3</v>
      </c>
      <c r="J10" s="401">
        <v>5.9999999999999995E-4</v>
      </c>
      <c r="K10" s="981">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0" t="str">
        <f>COMM!E30</f>
        <v>RSDPM10</v>
      </c>
      <c r="D11" s="328">
        <v>0.31384830276066084</v>
      </c>
      <c r="E11" s="317"/>
      <c r="F11" s="316">
        <v>3.609253890302349E-3</v>
      </c>
      <c r="G11" s="316">
        <v>3.1602980079786249E-3</v>
      </c>
      <c r="H11" s="317">
        <v>5.6935265820658805E-4</v>
      </c>
      <c r="I11" s="317">
        <v>0.62378182960067274</v>
      </c>
      <c r="J11" s="317"/>
      <c r="K11" s="982"/>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2" t="str">
        <f>COMM!E31</f>
        <v>RSDPM25</v>
      </c>
      <c r="D12" s="983">
        <v>0.30918718935332451</v>
      </c>
      <c r="E12" s="329"/>
      <c r="F12" s="330">
        <v>3.609253890302349E-3</v>
      </c>
      <c r="G12" s="330">
        <v>3.1602980079786249E-3</v>
      </c>
      <c r="H12" s="330">
        <v>5.6935265820658805E-4</v>
      </c>
      <c r="I12" s="329">
        <v>0.5825145977400924</v>
      </c>
      <c r="J12" s="329"/>
      <c r="K12" s="984"/>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3" sqref="B3:G5"/>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5"/>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8" t="s">
        <v>766</v>
      </c>
      <c r="C26" s="1048" t="s">
        <v>255</v>
      </c>
      <c r="D26" s="1048" t="s">
        <v>257</v>
      </c>
      <c r="E26" s="1048" t="s">
        <v>258</v>
      </c>
      <c r="F26" s="1048" t="s">
        <v>259</v>
      </c>
      <c r="G26" s="1048" t="s">
        <v>911</v>
      </c>
      <c r="H26" s="1048" t="s">
        <v>912</v>
      </c>
    </row>
    <row r="27" spans="1:15" ht="38.25">
      <c r="B27" s="1049" t="s">
        <v>913</v>
      </c>
      <c r="C27" s="1049" t="s">
        <v>913</v>
      </c>
      <c r="D27" s="1049" t="s">
        <v>914</v>
      </c>
      <c r="E27" s="1049" t="s">
        <v>915</v>
      </c>
      <c r="F27" s="1050" t="s">
        <v>697</v>
      </c>
      <c r="G27" s="1050" t="s">
        <v>916</v>
      </c>
      <c r="H27" s="1050"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2">
        <v>0.8</v>
      </c>
      <c r="H28" s="466">
        <v>5</v>
      </c>
    </row>
    <row r="29" spans="1:15">
      <c r="B29" s="478" t="str">
        <f>_xlfn.TEXTJOIN(",",TRUE,IF(LEFT(Regions!$C$3,1)&lt;&gt;"*",Regions!$C$3,""),IF(LEFT(Regions!$D$3,1)&lt;&gt;"*",Regions!$D$3,""))</f>
        <v>IE,National</v>
      </c>
      <c r="C29" s="478"/>
      <c r="D29" s="479" t="s">
        <v>897</v>
      </c>
      <c r="F29" s="480">
        <v>1</v>
      </c>
      <c r="G29" s="1051">
        <v>0.2</v>
      </c>
      <c r="H29" s="466">
        <v>5</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opLeftCell="Z1" zoomScale="60" zoomScaleNormal="60" workbookViewId="0">
      <selection activeCell="AR8" sqref="AR8"/>
    </sheetView>
  </sheetViews>
  <sheetFormatPr defaultRowHeight="12.75"/>
  <cols>
    <col min="1" max="1" width="9.140625" style="466"/>
    <col min="2" max="2" width="10" style="466" bestFit="1" customWidth="1"/>
    <col min="3" max="3" width="15.140625" style="466" customWidth="1"/>
    <col min="4" max="4" width="30.85546875" style="466" customWidth="1"/>
    <col min="5" max="5" width="16.85546875" style="466"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7" t="s">
        <v>770</v>
      </c>
      <c r="G3" s="1027"/>
      <c r="H3" s="1027"/>
      <c r="I3" s="1027"/>
      <c r="J3" s="1027"/>
      <c r="K3" s="1027"/>
      <c r="L3" s="1027"/>
      <c r="N3" s="66" t="s">
        <v>769</v>
      </c>
      <c r="O3" s="66"/>
      <c r="P3" s="66"/>
      <c r="Q3" s="66"/>
      <c r="R3" s="66"/>
      <c r="S3" s="66"/>
      <c r="T3" s="66"/>
      <c r="U3" s="66"/>
      <c r="V3" s="1028"/>
      <c r="W3" s="1028"/>
      <c r="X3" s="1028"/>
      <c r="Y3" s="1028"/>
      <c r="Z3" s="1028"/>
      <c r="AA3" s="1028"/>
      <c r="AB3" s="1028"/>
      <c r="AC3" s="1028"/>
      <c r="AD3" s="1028"/>
      <c r="AE3" s="1028"/>
      <c r="AF3" s="1028"/>
      <c r="AG3" s="1028"/>
      <c r="AH3" s="1028"/>
      <c r="AI3" s="1028"/>
      <c r="AJ3" s="1028"/>
      <c r="AK3" s="1028"/>
      <c r="AL3" s="1028"/>
      <c r="AM3" s="1028"/>
      <c r="AN3" s="1028"/>
      <c r="AO3" s="1028"/>
      <c r="AP3" s="1028"/>
      <c r="AQ3" s="1028"/>
      <c r="AR3" s="1028"/>
      <c r="AS3" s="1028"/>
      <c r="AT3" s="1028"/>
      <c r="AU3" s="1028"/>
      <c r="AV3" s="1028"/>
      <c r="AW3" s="1028"/>
      <c r="AX3" s="1028"/>
      <c r="AY3" s="1028"/>
      <c r="AZ3" s="1028"/>
      <c r="BA3" s="1028"/>
      <c r="BB3" s="1028"/>
      <c r="BC3" s="1028"/>
      <c r="BD3" s="1028"/>
      <c r="BE3" s="1028"/>
      <c r="BF3" s="1028"/>
      <c r="BG3" s="1028"/>
      <c r="BH3" s="1028"/>
      <c r="BI3" s="1028"/>
      <c r="BJ3" s="1028"/>
      <c r="BK3" s="1028"/>
      <c r="BL3" s="1028"/>
      <c r="BM3" s="1028"/>
      <c r="BN3" s="1028"/>
      <c r="BO3" s="1028"/>
      <c r="BP3" s="1028"/>
      <c r="BQ3" s="1028"/>
      <c r="BR3" s="1028"/>
      <c r="BS3" s="1028"/>
      <c r="BT3" s="1028"/>
      <c r="BU3" s="1028"/>
      <c r="BV3" s="1028"/>
      <c r="BW3" s="1028"/>
      <c r="BX3" s="1028"/>
      <c r="BY3" s="1028"/>
      <c r="BZ3" s="1028"/>
      <c r="CA3" s="1028"/>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3" t="s">
        <v>773</v>
      </c>
      <c r="C5" s="913" t="s">
        <v>271</v>
      </c>
      <c r="D5" s="913" t="s">
        <v>272</v>
      </c>
      <c r="E5" s="913" t="s">
        <v>273</v>
      </c>
      <c r="F5" s="913" t="s">
        <v>274</v>
      </c>
      <c r="G5" s="914" t="s">
        <v>275</v>
      </c>
      <c r="H5" s="914" t="s">
        <v>275</v>
      </c>
      <c r="I5" s="914"/>
      <c r="J5" s="915"/>
      <c r="K5" s="915"/>
      <c r="L5" s="915"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6" t="str">
        <f>_xlfn.TEXTJOIN(",",TRUE,IF(LEFT([1]Regions!$C$3,1)&lt;&gt;"*",[1]Regions!$C$3,""),IF(LEFT([1]Regions!$D$3,1)&lt;&gt;"*",[1]Regions!$D$3,""))</f>
        <v>IE,National</v>
      </c>
      <c r="C6" s="917" t="str">
        <f>P6</f>
        <v>R-BLD_Att_A</v>
      </c>
      <c r="D6" s="918" t="str">
        <f>Q6</f>
        <v>Residential Building Attached _ A</v>
      </c>
      <c r="E6" s="918" t="str">
        <f>COMM!O10</f>
        <v>RSDSH_Att-AB</v>
      </c>
      <c r="F6" s="918" t="str">
        <f>[1]COMM!$O$22</f>
        <v>RSD_Att</v>
      </c>
      <c r="G6" s="920">
        <f>Y8/1000</f>
        <v>37.224073727176744</v>
      </c>
      <c r="H6" s="920">
        <f>G6*$Y$26</f>
        <v>31.018820636856383</v>
      </c>
      <c r="I6" s="920">
        <v>1</v>
      </c>
      <c r="J6" s="918">
        <v>100</v>
      </c>
      <c r="K6" s="918">
        <v>1</v>
      </c>
      <c r="L6" s="1029">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0" t="s">
        <v>275</v>
      </c>
      <c r="T6" s="423"/>
      <c r="U6" s="423"/>
      <c r="V6" s="80"/>
      <c r="W6" s="1123" t="s">
        <v>572</v>
      </c>
      <c r="X6" s="1123"/>
      <c r="Y6" s="1123"/>
      <c r="Z6" s="1123"/>
      <c r="AA6" s="112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1"/>
      <c r="C7" s="496"/>
      <c r="D7" s="495"/>
      <c r="E7" s="495" t="str">
        <f>[1]COMM!$O$10</f>
        <v>RSDSC_Att</v>
      </c>
      <c r="F7" s="495"/>
      <c r="G7" s="1031"/>
      <c r="H7" s="1031"/>
      <c r="I7" s="1031"/>
      <c r="J7" s="495"/>
      <c r="K7" s="495"/>
      <c r="L7" s="1032">
        <v>0</v>
      </c>
      <c r="N7" s="1033" t="s">
        <v>276</v>
      </c>
      <c r="O7" s="1033" t="str">
        <f>_xlfn.TEXTJOIN(",",TRUE,IF(LEFT([1]Regions!$C$3,1)&lt;&gt;"*",[1]Regions!$C$3,""),IF(LEFT([1]Regions!$D$3,1)&lt;&gt;"*",[1]Regions!$D$3,""))</f>
        <v>IE,National</v>
      </c>
      <c r="P7" s="1033" t="str">
        <f>_xlfn.TEXTJOIN("",TRUE,LEFT([1]SETUP!B$3,1),"-",[1]SETUP!B$85,"_",[1]SETUP!B$37,"_",[1]SETUP!B41)</f>
        <v>R-BLD_Att_B1</v>
      </c>
      <c r="Q7" s="1033" t="str">
        <f>_xlfn.TEXTJOIN(" ",TRUE,[1]SETUP!C$3,[1]SETUP!C$85,[1]SETUP!C$37,"_",[1]SETUP!B41)</f>
        <v>Residential Building Attached _ B1</v>
      </c>
      <c r="R7" s="1034" t="s">
        <v>275</v>
      </c>
      <c r="S7" s="1033" t="s">
        <v>275</v>
      </c>
      <c r="T7" s="1034"/>
      <c r="U7" s="1033"/>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2"/>
      <c r="C8" s="331"/>
      <c r="D8" s="331"/>
      <c r="E8" s="331" t="str">
        <f>[1]COMM!$O$13</f>
        <v>RSDWH_Att</v>
      </c>
      <c r="F8" s="331"/>
      <c r="G8" s="1035"/>
      <c r="H8" s="1035"/>
      <c r="I8" s="1035"/>
      <c r="J8" s="331"/>
      <c r="K8" s="331"/>
      <c r="L8" s="1036">
        <f>AJ48*0.680373148422337*0.407687556344024</f>
        <v>2.5141244794864483E-3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0"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1"/>
      <c r="C9" s="496"/>
      <c r="D9" s="495"/>
      <c r="E9" s="495" t="str">
        <f>[1]COMM!$O$16</f>
        <v>RSDLT_Att</v>
      </c>
      <c r="F9" s="495"/>
      <c r="G9" s="1031"/>
      <c r="H9" s="1031"/>
      <c r="I9" s="1031"/>
      <c r="J9" s="495"/>
      <c r="K9" s="495"/>
      <c r="L9" s="1032">
        <f>AK48*0.356554867550228*0.4156458</f>
        <v>3.0596592500527567E-4</v>
      </c>
      <c r="N9" s="1033" t="s">
        <v>276</v>
      </c>
      <c r="O9" s="1033" t="str">
        <f>_xlfn.TEXTJOIN(",",TRUE,IF(LEFT([1]Regions!$C$3,1)&lt;&gt;"*",[1]Regions!$C$3,""),IF(LEFT([1]Regions!$D$3,1)&lt;&gt;"*",[1]Regions!$D$3,""))</f>
        <v>IE,National</v>
      </c>
      <c r="P9" s="1033" t="str">
        <f>_xlfn.TEXTJOIN("",TRUE,LEFT([1]SETUP!B$3,1),"-",[1]SETUP!B$85,"_",[1]SETUP!B$37,"_",[1]SETUP!B43)</f>
        <v>R-BLD_Att_B3</v>
      </c>
      <c r="Q9" s="1033" t="str">
        <f>_xlfn.TEXTJOIN(" ",TRUE,[1]SETUP!C$3,[1]SETUP!C$85,[1]SETUP!C$37,"_",[1]SETUP!B43)</f>
        <v>Residential Building Attached _ B3</v>
      </c>
      <c r="R9" s="1034" t="s">
        <v>275</v>
      </c>
      <c r="S9" s="1033" t="s">
        <v>275</v>
      </c>
      <c r="T9" s="1034"/>
      <c r="U9" s="1033"/>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3"/>
      <c r="C10" s="924"/>
      <c r="D10" s="924"/>
      <c r="E10" s="924" t="str">
        <f>[1]COMM!$O$19</f>
        <v>RSDPF_Att</v>
      </c>
      <c r="F10" s="924"/>
      <c r="G10" s="926"/>
      <c r="H10" s="926"/>
      <c r="I10" s="926"/>
      <c r="J10" s="924"/>
      <c r="K10" s="924"/>
      <c r="L10" s="1039">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0"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6" t="str">
        <f>_xlfn.TEXTJOIN(",",TRUE,IF(LEFT([1]Regions!$C$3,1)&lt;&gt;"*",[1]Regions!$C$3,""),IF(LEFT([1]Regions!$D$3,1)&lt;&gt;"*",[1]Regions!$D$3,""))</f>
        <v>IE,National</v>
      </c>
      <c r="C11" s="917" t="str">
        <f>P7</f>
        <v>R-BLD_Att_B1</v>
      </c>
      <c r="D11" s="918" t="str">
        <f>Q7</f>
        <v>Residential Building Attached _ B1</v>
      </c>
      <c r="E11" s="918" t="str">
        <f>COMM!O10</f>
        <v>RSDSH_Att-AB</v>
      </c>
      <c r="F11" s="918" t="str">
        <f>[1]COMM!$O$22</f>
        <v>RSD_Att</v>
      </c>
      <c r="G11" s="920">
        <f>Y9/1000</f>
        <v>9.537778397558375</v>
      </c>
      <c r="H11" s="920">
        <f>G11*$Y$26</f>
        <v>7.9478307386853944</v>
      </c>
      <c r="I11" s="920">
        <v>1</v>
      </c>
      <c r="J11" s="918">
        <v>100</v>
      </c>
      <c r="K11" s="918">
        <v>1</v>
      </c>
      <c r="L11" s="1029">
        <f>AI49*0.796873981712218</f>
        <v>8.1616769609736753E-3</v>
      </c>
      <c r="N11" s="1033" t="s">
        <v>276</v>
      </c>
      <c r="O11" s="1033" t="str">
        <f>_xlfn.TEXTJOIN(",",TRUE,IF(LEFT([1]Regions!$C$3,1)&lt;&gt;"*",[1]Regions!$C$3,""),IF(LEFT([1]Regions!$D$3,1)&lt;&gt;"*",[1]Regions!$D$3,""))</f>
        <v>IE,National</v>
      </c>
      <c r="P11" s="1033" t="str">
        <f>_xlfn.TEXTJOIN("",TRUE,LEFT([1]SETUP!B$3,1),"-",[1]SETUP!B$85,"_",[1]SETUP!B$37,"_",[1]SETUP!B45)</f>
        <v>R-BLD_Att_D</v>
      </c>
      <c r="Q11" s="1033" t="str">
        <f>_xlfn.TEXTJOIN(" ",TRUE,[1]SETUP!C$3,[1]SETUP!C$85,[1]SETUP!C$37,"_",[1]SETUP!B45)</f>
        <v>Residential Building Attached _ D</v>
      </c>
      <c r="R11" s="1034" t="s">
        <v>275</v>
      </c>
      <c r="S11" s="1033" t="s">
        <v>275</v>
      </c>
      <c r="T11" s="1034"/>
      <c r="U11" s="1033"/>
      <c r="V11" s="80"/>
      <c r="W11" s="244" t="s">
        <v>54</v>
      </c>
      <c r="X11" s="350">
        <v>19924.480375055824</v>
      </c>
      <c r="Y11" s="350">
        <v>49768.849685929476</v>
      </c>
      <c r="Z11" s="350">
        <v>53466.210043981671</v>
      </c>
      <c r="AA11" s="351">
        <v>123159.54010496697</v>
      </c>
      <c r="AB11" s="80"/>
      <c r="AC11" s="80"/>
      <c r="AD11" s="894"/>
      <c r="AE11" s="894"/>
      <c r="AF11" s="894"/>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4"/>
      <c r="BD11" s="894"/>
      <c r="BE11" s="894"/>
      <c r="BF11" s="894"/>
      <c r="BG11" s="894"/>
      <c r="BH11" s="894"/>
      <c r="BI11" s="894"/>
      <c r="BJ11" s="894"/>
      <c r="BK11" s="894"/>
      <c r="BL11" s="894"/>
      <c r="BM11" s="894"/>
      <c r="BN11" s="894"/>
      <c r="BO11" s="894"/>
      <c r="BP11" s="894"/>
      <c r="BQ11" s="894"/>
      <c r="BR11" s="894"/>
      <c r="BS11" s="894"/>
      <c r="BT11" s="894"/>
      <c r="BU11" s="894"/>
      <c r="BV11" s="894"/>
      <c r="BW11" s="894"/>
      <c r="BX11" s="894"/>
      <c r="BY11" s="894"/>
      <c r="BZ11" s="894"/>
      <c r="CA11" s="894"/>
    </row>
    <row r="12" spans="2:79" ht="12" customHeight="1">
      <c r="B12" s="921"/>
      <c r="C12" s="496"/>
      <c r="D12" s="495"/>
      <c r="E12" s="495" t="str">
        <f>[1]COMM!$O$10</f>
        <v>RSDSC_Att</v>
      </c>
      <c r="F12" s="495"/>
      <c r="G12" s="1031"/>
      <c r="H12" s="1031"/>
      <c r="I12" s="1031"/>
      <c r="J12" s="495"/>
      <c r="K12" s="495"/>
      <c r="L12" s="1032">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0" t="s">
        <v>275</v>
      </c>
      <c r="T12" s="423"/>
      <c r="U12" s="423"/>
      <c r="V12" s="80"/>
      <c r="W12" s="248" t="s">
        <v>56</v>
      </c>
      <c r="X12" s="352">
        <v>58904.8034364337</v>
      </c>
      <c r="Y12" s="352">
        <v>282151.52747564798</v>
      </c>
      <c r="Z12" s="352">
        <v>251318.93361374349</v>
      </c>
      <c r="AA12" s="353">
        <v>592375.26452582516</v>
      </c>
      <c r="AB12" s="80"/>
      <c r="AC12" s="80"/>
      <c r="AD12" s="894"/>
      <c r="AE12" s="894"/>
      <c r="AF12" s="894"/>
      <c r="AG12" s="894"/>
      <c r="AH12" s="894"/>
      <c r="AI12" s="894"/>
      <c r="AJ12" s="894"/>
      <c r="AK12" s="894"/>
      <c r="AL12" s="894"/>
      <c r="AM12" s="894"/>
      <c r="AN12" s="894"/>
      <c r="AO12" s="894"/>
      <c r="AP12" s="894"/>
      <c r="AQ12" s="894"/>
      <c r="AR12" s="894"/>
      <c r="AS12" s="894"/>
      <c r="AT12" s="894"/>
      <c r="AU12" s="894"/>
      <c r="AV12" s="894"/>
      <c r="AW12" s="894"/>
      <c r="AX12" s="894"/>
      <c r="AY12" s="894"/>
      <c r="AZ12" s="894"/>
      <c r="BA12" s="894"/>
      <c r="BB12" s="894"/>
      <c r="BC12" s="894"/>
      <c r="BD12" s="894"/>
      <c r="BE12" s="894"/>
      <c r="BF12" s="894"/>
      <c r="BG12" s="894"/>
      <c r="BH12" s="894"/>
      <c r="BI12" s="894"/>
      <c r="BJ12" s="894"/>
      <c r="BK12" s="894"/>
      <c r="BL12" s="894"/>
      <c r="BM12" s="894"/>
      <c r="BN12" s="894"/>
      <c r="BO12" s="894"/>
      <c r="BP12" s="894"/>
      <c r="BQ12" s="894"/>
      <c r="BR12" s="894"/>
      <c r="BS12" s="894"/>
      <c r="BT12" s="894"/>
      <c r="BU12" s="894"/>
      <c r="BV12" s="894"/>
      <c r="BW12" s="894"/>
      <c r="BX12" s="894"/>
      <c r="BY12" s="894"/>
      <c r="BZ12" s="894"/>
      <c r="CA12" s="894"/>
    </row>
    <row r="13" spans="2:79" ht="12" customHeight="1">
      <c r="B13" s="922"/>
      <c r="C13" s="331"/>
      <c r="D13" s="331"/>
      <c r="E13" s="331" t="str">
        <f>[1]COMM!$O$13</f>
        <v>RSDWH_Att</v>
      </c>
      <c r="F13" s="331"/>
      <c r="G13" s="1035"/>
      <c r="H13" s="1035"/>
      <c r="I13" s="1035"/>
      <c r="J13" s="331"/>
      <c r="K13" s="331"/>
      <c r="L13" s="1036">
        <f>AJ49*0.667343385121269</f>
        <v>5.6469862848503583E-3</v>
      </c>
      <c r="N13" s="1033" t="s">
        <v>276</v>
      </c>
      <c r="O13" s="1033" t="str">
        <f>_xlfn.TEXTJOIN(",",TRUE,IF(LEFT([1]Regions!$C$3,1)&lt;&gt;"*",[1]Regions!$C$3,""),IF(LEFT([1]Regions!$D$3,1)&lt;&gt;"*",[1]Regions!$D$3,""))</f>
        <v>IE,National</v>
      </c>
      <c r="P13" s="1033" t="str">
        <f>_xlfn.TEXTJOIN("",TRUE,LEFT([1]SETUP!B$3,1),"-",[1]SETUP!B$85,"_",[1]SETUP!B$37,"_",[1]SETUP!B47)</f>
        <v>R-BLD_Att_F</v>
      </c>
      <c r="Q13" s="1033" t="str">
        <f>_xlfn.TEXTJOIN(" ",TRUE,[1]SETUP!C$3,[1]SETUP!C$85,[1]SETUP!C$37,"_",[1]SETUP!B47)</f>
        <v>Residential Building Attached _ F</v>
      </c>
      <c r="R13" s="1034" t="s">
        <v>275</v>
      </c>
      <c r="S13" s="1033" t="s">
        <v>275</v>
      </c>
      <c r="T13" s="1034"/>
      <c r="U13" s="1033"/>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1"/>
      <c r="C14" s="496"/>
      <c r="D14" s="495"/>
      <c r="E14" s="495" t="str">
        <f>[1]COMM!$O$16</f>
        <v>RSDLT_Att</v>
      </c>
      <c r="F14" s="495"/>
      <c r="G14" s="1031"/>
      <c r="H14" s="1031"/>
      <c r="I14" s="1031"/>
      <c r="J14" s="495"/>
      <c r="K14" s="495"/>
      <c r="L14" s="1032">
        <f>AK49*0.356554867550228</f>
        <v>7.7279675169794257E-4</v>
      </c>
      <c r="N14" s="1041" t="s">
        <v>276</v>
      </c>
      <c r="O14" s="1041" t="str">
        <f>_xlfn.TEXTJOIN(",",TRUE,IF(LEFT([1]Regions!$C$3,1)&lt;&gt;"*",[1]Regions!$C$3,""),IF(LEFT([1]Regions!$D$3,1)&lt;&gt;"*",[1]Regions!$D$3,""))</f>
        <v>IE,National</v>
      </c>
      <c r="P14" s="1041" t="str">
        <f>_xlfn.TEXTJOIN("",TRUE,LEFT([1]SETUP!B$3,1),"-",[1]SETUP!B$85,"_",[1]SETUP!B$37,"_",[1]SETUP!B48)</f>
        <v>R-BLD_Att_G</v>
      </c>
      <c r="Q14" s="1041" t="str">
        <f>_xlfn.TEXTJOIN(" ",TRUE,[1]SETUP!C$3,[1]SETUP!C$85,[1]SETUP!C$37,"_",[1]SETUP!B48)</f>
        <v>Residential Building Attached _ G</v>
      </c>
      <c r="R14" s="1041" t="s">
        <v>275</v>
      </c>
      <c r="S14" s="1042" t="s">
        <v>275</v>
      </c>
      <c r="T14" s="1041"/>
      <c r="U14" s="1041"/>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3"/>
      <c r="C15" s="924"/>
      <c r="D15" s="924"/>
      <c r="E15" s="924" t="str">
        <f>[1]COMM!$O$19</f>
        <v>RSDPF_Att</v>
      </c>
      <c r="F15" s="924"/>
      <c r="G15" s="926"/>
      <c r="H15" s="926"/>
      <c r="I15" s="926"/>
      <c r="J15" s="924"/>
      <c r="K15" s="924"/>
      <c r="L15" s="1039">
        <f>AL49*0.419920234349212</f>
        <v>3.2028248176322656E-4</v>
      </c>
      <c r="N15" s="1033" t="s">
        <v>276</v>
      </c>
      <c r="O15" s="1033" t="str">
        <f>_xlfn.TEXTJOIN(",",TRUE,IF(LEFT([1]Regions!$C$3,1)&lt;&gt;"*",[1]Regions!$C$3,""),IF(LEFT([1]Regions!$D$3,1)&lt;&gt;"*",[1]Regions!$D$3,""))</f>
        <v>IE,National</v>
      </c>
      <c r="P15" s="1033" t="str">
        <f>_xlfn.TEXTJOIN("",TRUE,LEFT([1]SETUP!B$3,1),"-",[1]SETUP!B$85,"_",[1]SETUP!B$36,"_",[1]SETUP!B40)</f>
        <v>R-BLD_Apt_A</v>
      </c>
      <c r="Q15" s="1033" t="str">
        <f>_xlfn.TEXTJOIN(" ",TRUE,[1]SETUP!C$3,[1]SETUP!C$85,[1]SETUP!C$36,"_",[1]SETUP!B40)</f>
        <v>Residential Building Apartment _ A</v>
      </c>
      <c r="R15" s="1034" t="s">
        <v>275</v>
      </c>
      <c r="S15" s="1033" t="s">
        <v>275</v>
      </c>
      <c r="T15" s="1034"/>
      <c r="U15" s="1033"/>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6" t="str">
        <f>_xlfn.TEXTJOIN(",",TRUE,IF(LEFT([1]Regions!$C$3,1)&lt;&gt;"*",[1]Regions!$C$3,""),IF(LEFT([1]Regions!$D$3,1)&lt;&gt;"*",[1]Regions!$D$3,""))</f>
        <v>IE,National</v>
      </c>
      <c r="C16" s="917" t="str">
        <f>P8</f>
        <v>R-BLD_Att_B2</v>
      </c>
      <c r="D16" s="918" t="str">
        <f>Q8</f>
        <v>Residential Building Attached _ B2</v>
      </c>
      <c r="E16" s="918" t="str">
        <f>COMM!O10</f>
        <v>RSDSH_Att-AB</v>
      </c>
      <c r="F16" s="918" t="str">
        <f>[1]COMM!$O$22</f>
        <v>RSD_Att</v>
      </c>
      <c r="G16" s="920">
        <f>Y10/1000</f>
        <v>17.54509295382088</v>
      </c>
      <c r="H16" s="920">
        <f>G16*$Y$26</f>
        <v>14.62032595841894</v>
      </c>
      <c r="I16" s="920">
        <v>1</v>
      </c>
      <c r="J16" s="918">
        <v>100</v>
      </c>
      <c r="K16" s="918">
        <v>1</v>
      </c>
      <c r="L16" s="1029">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0"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1"/>
      <c r="C17" s="496"/>
      <c r="D17" s="495"/>
      <c r="E17" s="495" t="str">
        <f>[1]COMM!$O$10</f>
        <v>RSDSC_Att</v>
      </c>
      <c r="F17" s="495"/>
      <c r="G17" s="1031"/>
      <c r="H17" s="1031"/>
      <c r="I17" s="1031"/>
      <c r="J17" s="495"/>
      <c r="K17" s="495"/>
      <c r="L17" s="1032">
        <v>0</v>
      </c>
      <c r="N17" s="1033" t="s">
        <v>276</v>
      </c>
      <c r="O17" s="1033" t="str">
        <f>_xlfn.TEXTJOIN(",",TRUE,IF(LEFT([1]Regions!$C$3,1)&lt;&gt;"*",[1]Regions!$C$3,""),IF(LEFT([1]Regions!$D$3,1)&lt;&gt;"*",[1]Regions!$D$3,""))</f>
        <v>IE,National</v>
      </c>
      <c r="P17" s="1033" t="str">
        <f>_xlfn.TEXTJOIN("",TRUE,LEFT([1]SETUP!B$3,1),"-",[1]SETUP!B$85,"_",[1]SETUP!B$36,"_",[1]SETUP!B42)</f>
        <v>R-BLD_Apt_B2</v>
      </c>
      <c r="Q17" s="1033" t="str">
        <f>_xlfn.TEXTJOIN(" ",TRUE,[1]SETUP!C$3,[1]SETUP!C$85,[1]SETUP!C$36,"_",[1]SETUP!B42)</f>
        <v>Residential Building Apartment _ B2</v>
      </c>
      <c r="R17" s="1034" t="s">
        <v>275</v>
      </c>
      <c r="S17" s="1033" t="s">
        <v>275</v>
      </c>
      <c r="T17" s="1034"/>
      <c r="U17" s="1033"/>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2"/>
      <c r="C18" s="331"/>
      <c r="D18" s="331"/>
      <c r="E18" s="331" t="str">
        <f>[1]COMM!$O$13</f>
        <v>RSDWH_Att</v>
      </c>
      <c r="F18" s="331"/>
      <c r="G18" s="1035"/>
      <c r="H18" s="1035"/>
      <c r="I18" s="1035"/>
      <c r="J18" s="331"/>
      <c r="K18" s="331"/>
      <c r="L18" s="1036">
        <f>AJ50*0.667343385121269</f>
        <v>8.3655927831058526E-3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0" t="s">
        <v>275</v>
      </c>
      <c r="T18" s="423"/>
      <c r="U18" s="423"/>
      <c r="V18" s="80"/>
      <c r="W18" s="1045"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1"/>
      <c r="C19" s="496"/>
      <c r="D19" s="495"/>
      <c r="E19" s="495" t="str">
        <f>[1]COMM!$O$16</f>
        <v>RSDLT_Att</v>
      </c>
      <c r="F19" s="495"/>
      <c r="G19" s="1031"/>
      <c r="H19" s="1031"/>
      <c r="I19" s="1031"/>
      <c r="J19" s="495"/>
      <c r="K19" s="495"/>
      <c r="L19" s="1032">
        <f>AK50*0.356554867550228</f>
        <v>9.2695429950685531E-4</v>
      </c>
      <c r="N19" s="1033" t="s">
        <v>276</v>
      </c>
      <c r="O19" s="1033" t="str">
        <f>_xlfn.TEXTJOIN(",",TRUE,IF(LEFT([1]Regions!$C$3,1)&lt;&gt;"*",[1]Regions!$C$3,""),IF(LEFT([1]Regions!$D$3,1)&lt;&gt;"*",[1]Regions!$D$3,""))</f>
        <v>IE,National</v>
      </c>
      <c r="P19" s="1033" t="str">
        <f>_xlfn.TEXTJOIN("",TRUE,LEFT([1]SETUP!B$3,1),"-",[1]SETUP!B$85,"_",[1]SETUP!B$36,"_",[1]SETUP!B44)</f>
        <v>R-BLD_Apt_C</v>
      </c>
      <c r="Q19" s="1033" t="str">
        <f>_xlfn.TEXTJOIN(" ",TRUE,[1]SETUP!C$3,[1]SETUP!C$85,[1]SETUP!C$36,"_",[1]SETUP!B44)</f>
        <v>Residential Building Apartment _ C</v>
      </c>
      <c r="R19" s="1034" t="s">
        <v>275</v>
      </c>
      <c r="S19" s="1033" t="s">
        <v>275</v>
      </c>
      <c r="T19" s="1034"/>
      <c r="U19" s="1033"/>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3"/>
      <c r="C20" s="924"/>
      <c r="D20" s="924"/>
      <c r="E20" s="924" t="str">
        <f>[1]COMM!$O$19</f>
        <v>RSDPF_Att</v>
      </c>
      <c r="F20" s="924"/>
      <c r="G20" s="926"/>
      <c r="H20" s="926"/>
      <c r="I20" s="926"/>
      <c r="J20" s="924"/>
      <c r="K20" s="924"/>
      <c r="L20" s="1039">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0"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6" t="str">
        <f>_xlfn.TEXTJOIN(",",TRUE,IF(LEFT([1]Regions!$C$3,1)&lt;&gt;"*",[1]Regions!$C$3,""),IF(LEFT([1]Regions!$D$3,1)&lt;&gt;"*",[1]Regions!$D$3,""))</f>
        <v>IE,National</v>
      </c>
      <c r="C21" s="917" t="str">
        <f>P9</f>
        <v>R-BLD_Att_B3</v>
      </c>
      <c r="D21" s="918" t="str">
        <f>Q9</f>
        <v>Residential Building Attached _ B3</v>
      </c>
      <c r="E21" s="918" t="str">
        <f>COMM!O10</f>
        <v>RSDSH_Att-AB</v>
      </c>
      <c r="F21" s="918" t="str">
        <f>[1]COMM!$O$22</f>
        <v>RSD_Att</v>
      </c>
      <c r="G21" s="920">
        <f>Y11/1000</f>
        <v>49.768849685929474</v>
      </c>
      <c r="H21" s="920">
        <f>G21*$Y$26</f>
        <v>41.472382443285035</v>
      </c>
      <c r="I21" s="920">
        <v>1</v>
      </c>
      <c r="J21" s="918">
        <v>100</v>
      </c>
      <c r="K21" s="918">
        <v>1</v>
      </c>
      <c r="L21" s="1029">
        <f>AI51*0.796873981712218</f>
        <v>1.5463955434686615E-2</v>
      </c>
      <c r="N21" s="1033" t="s">
        <v>276</v>
      </c>
      <c r="O21" s="1033" t="str">
        <f>_xlfn.TEXTJOIN(",",TRUE,IF(LEFT([1]Regions!$C$3,1)&lt;&gt;"*",[1]Regions!$C$3,""),IF(LEFT([1]Regions!$D$3,1)&lt;&gt;"*",[1]Regions!$D$3,""))</f>
        <v>IE,National</v>
      </c>
      <c r="P21" s="1033" t="str">
        <f>_xlfn.TEXTJOIN("",TRUE,LEFT([1]SETUP!B$3,1),"-",[1]SETUP!B$85,"_",[1]SETUP!B$36,"_",[1]SETUP!B46)</f>
        <v>R-BLD_Apt_E</v>
      </c>
      <c r="Q21" s="1033" t="str">
        <f>_xlfn.TEXTJOIN(" ",TRUE,[1]SETUP!C$3,[1]SETUP!C$85,[1]SETUP!C$36,"_",[1]SETUP!B46)</f>
        <v>Residential Building Apartment _ E</v>
      </c>
      <c r="R21" s="1034" t="s">
        <v>275</v>
      </c>
      <c r="S21" s="1033" t="s">
        <v>275</v>
      </c>
      <c r="T21" s="1034"/>
      <c r="U21" s="1033"/>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1"/>
      <c r="C22" s="496"/>
      <c r="D22" s="495"/>
      <c r="E22" s="495" t="str">
        <f>[1]COMM!$O$10</f>
        <v>RSDSC_Att</v>
      </c>
      <c r="F22" s="495"/>
      <c r="G22" s="1031"/>
      <c r="H22" s="1031"/>
      <c r="I22" s="1031"/>
      <c r="J22" s="495"/>
      <c r="K22" s="495"/>
      <c r="L22" s="1032">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0"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2"/>
      <c r="C23" s="331"/>
      <c r="D23" s="331"/>
      <c r="E23" s="331" t="str">
        <f>[1]COMM!$O$13</f>
        <v>RSDWH_Att</v>
      </c>
      <c r="F23" s="331"/>
      <c r="G23" s="1035"/>
      <c r="H23" s="1035"/>
      <c r="I23" s="1035"/>
      <c r="J23" s="331"/>
      <c r="K23" s="331"/>
      <c r="L23" s="1036">
        <f>AJ51*0.667343385121269</f>
        <v>9.3173064910096106E-3</v>
      </c>
      <c r="N23" s="1046" t="s">
        <v>276</v>
      </c>
      <c r="O23" s="1046" t="str">
        <f>_xlfn.TEXTJOIN(",",TRUE,IF(LEFT([1]Regions!$C$3,1)&lt;&gt;"*",[1]Regions!$C$3,""),IF(LEFT([1]Regions!$D$3,1)&lt;&gt;"*",[1]Regions!$D$3,""))</f>
        <v>IE,National</v>
      </c>
      <c r="P23" s="1046" t="str">
        <f>_xlfn.TEXTJOIN("",TRUE,LEFT([1]SETUP!B$3,1),"-",[1]SETUP!B$85,"_",[1]SETUP!B$36,"_",[1]SETUP!B48)</f>
        <v>R-BLD_Apt_G</v>
      </c>
      <c r="Q23" s="1046" t="str">
        <f>_xlfn.TEXTJOIN(" ",TRUE,[1]SETUP!C$3,[1]SETUP!C$85,[1]SETUP!C$36,"_",[1]SETUP!B48)</f>
        <v>Residential Building Apartment _ G</v>
      </c>
      <c r="R23" s="1047" t="s">
        <v>275</v>
      </c>
      <c r="S23" s="1046" t="s">
        <v>275</v>
      </c>
      <c r="T23" s="1047"/>
      <c r="U23" s="1046"/>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1"/>
      <c r="C24" s="496"/>
      <c r="D24" s="495"/>
      <c r="E24" s="495" t="str">
        <f>[1]COMM!$O$16</f>
        <v>RSDLT_Att</v>
      </c>
      <c r="F24" s="495"/>
      <c r="G24" s="1031"/>
      <c r="H24" s="1031"/>
      <c r="I24" s="1031"/>
      <c r="J24" s="495"/>
      <c r="K24" s="495"/>
      <c r="L24" s="1032">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0" t="s">
        <v>275</v>
      </c>
      <c r="T24" s="423"/>
      <c r="U24" s="423"/>
      <c r="V24" s="80"/>
      <c r="W24" s="1124" t="s">
        <v>899</v>
      </c>
      <c r="X24" s="1125"/>
      <c r="Y24" s="1125"/>
      <c r="Z24" s="1125"/>
      <c r="AA24" s="112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3"/>
      <c r="C25" s="924"/>
      <c r="D25" s="924"/>
      <c r="E25" s="924" t="str">
        <f>[1]COMM!$O$19</f>
        <v>RSDPF_Att</v>
      </c>
      <c r="F25" s="924"/>
      <c r="G25" s="926"/>
      <c r="H25" s="926"/>
      <c r="I25" s="926"/>
      <c r="J25" s="924"/>
      <c r="K25" s="924"/>
      <c r="L25" s="1039">
        <f>AL51*0.419920234349212</f>
        <v>2.987081165389423E-4</v>
      </c>
      <c r="N25" s="1033" t="s">
        <v>276</v>
      </c>
      <c r="O25" s="1033" t="str">
        <f>_xlfn.TEXTJOIN(",",TRUE,IF(LEFT([1]Regions!$C$3,1)&lt;&gt;"*",[1]Regions!$C$3,""),IF(LEFT([1]Regions!$D$3,1)&lt;&gt;"*",[1]Regions!$D$3,""))</f>
        <v>IE,National</v>
      </c>
      <c r="P25" s="1033" t="str">
        <f>_xlfn.TEXTJOIN("",TRUE,LEFT([1]SETUP!B$3,1),"-",[1]SETUP!B$85,"_",[1]SETUP!B$38,"_",[1]SETUP!B41)</f>
        <v>R-BLD_Det_B1</v>
      </c>
      <c r="Q25" s="1033" t="str">
        <f>_xlfn.TEXTJOIN(" ",TRUE,[1]SETUP!C$3,[1]SETUP!C$85,[1]SETUP!C$38,"_",[1]SETUP!B41)</f>
        <v>Residential Building Detached _ B1</v>
      </c>
      <c r="R25" s="1034" t="s">
        <v>275</v>
      </c>
      <c r="S25" s="1033" t="s">
        <v>275</v>
      </c>
      <c r="T25" s="1034"/>
      <c r="U25" s="1033"/>
      <c r="V25" s="80"/>
      <c r="W25" s="1127" t="s">
        <v>900</v>
      </c>
      <c r="X25" s="1128"/>
      <c r="Y25" s="1127" t="s">
        <v>901</v>
      </c>
      <c r="Z25" s="1128"/>
      <c r="AA25" s="112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6" t="str">
        <f>_xlfn.TEXTJOIN(",",TRUE,IF(LEFT([1]Regions!$C$3,1)&lt;&gt;"*",[1]Regions!$C$3,""),IF(LEFT([1]Regions!$D$3,1)&lt;&gt;"*",[1]Regions!$D$3,""))</f>
        <v>IE,National</v>
      </c>
      <c r="C26" s="917" t="str">
        <f>P10</f>
        <v>R-BLD_Att_C</v>
      </c>
      <c r="D26" s="918" t="str">
        <f>Q10</f>
        <v>Residential Building Attached _ C</v>
      </c>
      <c r="E26" s="918" t="str">
        <f>COMM!O13</f>
        <v>RSDSH_Att-C</v>
      </c>
      <c r="F26" s="918" t="str">
        <f>[1]COMM!$O$22</f>
        <v>RSD_Att</v>
      </c>
      <c r="G26" s="920">
        <f>Y12/1000</f>
        <v>282.15152747564798</v>
      </c>
      <c r="H26" s="920">
        <f>G26*$Y$26</f>
        <v>235.11686784545748</v>
      </c>
      <c r="I26" s="920">
        <v>1</v>
      </c>
      <c r="J26" s="918">
        <v>100</v>
      </c>
      <c r="K26" s="918">
        <v>1</v>
      </c>
      <c r="L26" s="1029">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0" t="s">
        <v>275</v>
      </c>
      <c r="T26" s="423"/>
      <c r="U26" s="423"/>
      <c r="W26" s="1130">
        <v>3.5000000000000001E-3</v>
      </c>
      <c r="X26" s="1131"/>
      <c r="Y26" s="1130">
        <v>0.83330000000000004</v>
      </c>
      <c r="Z26" s="1132"/>
      <c r="AA26" s="1133"/>
    </row>
    <row r="27" spans="2:79">
      <c r="B27" s="921"/>
      <c r="C27" s="496"/>
      <c r="D27" s="495"/>
      <c r="E27" s="495" t="str">
        <f>[1]COMM!$O$10</f>
        <v>RSDSC_Att</v>
      </c>
      <c r="F27" s="495"/>
      <c r="G27" s="1031"/>
      <c r="H27" s="1031"/>
      <c r="I27" s="1031"/>
      <c r="J27" s="495"/>
      <c r="K27" s="495"/>
      <c r="L27" s="1032">
        <v>0</v>
      </c>
      <c r="N27" s="1033" t="s">
        <v>276</v>
      </c>
      <c r="O27" s="1033" t="str">
        <f>_xlfn.TEXTJOIN(",",TRUE,IF(LEFT([1]Regions!$C$3,1)&lt;&gt;"*",[1]Regions!$C$3,""),IF(LEFT([1]Regions!$D$3,1)&lt;&gt;"*",[1]Regions!$D$3,""))</f>
        <v>IE,National</v>
      </c>
      <c r="P27" s="1033" t="str">
        <f>_xlfn.TEXTJOIN("",TRUE,LEFT([1]SETUP!B$3,1),"-",[1]SETUP!B$85,"_",[1]SETUP!B$38,"_",[1]SETUP!B43)</f>
        <v>R-BLD_Det_B3</v>
      </c>
      <c r="Q27" s="1033" t="str">
        <f>_xlfn.TEXTJOIN(" ",TRUE,[1]SETUP!C$3,[1]SETUP!C$85,[1]SETUP!C$38,"_",[1]SETUP!B43)</f>
        <v>Residential Building Detached _ B3</v>
      </c>
      <c r="R27" s="1034" t="s">
        <v>275</v>
      </c>
      <c r="S27" s="1033" t="s">
        <v>275</v>
      </c>
      <c r="T27" s="1034"/>
      <c r="U27" s="1033"/>
    </row>
    <row r="28" spans="2:79">
      <c r="B28" s="922"/>
      <c r="C28" s="331"/>
      <c r="D28" s="331"/>
      <c r="E28" s="331" t="str">
        <f>[1]COMM!$O$13</f>
        <v>RSDWH_Att</v>
      </c>
      <c r="F28" s="331"/>
      <c r="G28" s="1035"/>
      <c r="H28" s="1035"/>
      <c r="I28" s="1035"/>
      <c r="J28" s="331"/>
      <c r="K28" s="331"/>
      <c r="L28" s="1036">
        <f>AJ52*0.667343385121269</f>
        <v>1.0464399468165433E-2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0" t="s">
        <v>275</v>
      </c>
      <c r="T28" s="423"/>
      <c r="U28" s="423"/>
    </row>
    <row r="29" spans="2:79">
      <c r="B29" s="921"/>
      <c r="C29" s="496"/>
      <c r="D29" s="495"/>
      <c r="E29" s="495" t="str">
        <f>[1]COMM!$O$16</f>
        <v>RSDLT_Att</v>
      </c>
      <c r="F29" s="495"/>
      <c r="G29" s="1031"/>
      <c r="H29" s="1031"/>
      <c r="I29" s="1031"/>
      <c r="J29" s="495"/>
      <c r="K29" s="495"/>
      <c r="L29" s="1032">
        <f>AK52*0.356554867550228</f>
        <v>9.4177710243898176E-4</v>
      </c>
      <c r="N29" s="1033" t="s">
        <v>276</v>
      </c>
      <c r="O29" s="1033" t="str">
        <f>_xlfn.TEXTJOIN(",",TRUE,IF(LEFT([1]Regions!$C$3,1)&lt;&gt;"*",[1]Regions!$C$3,""),IF(LEFT([1]Regions!$D$3,1)&lt;&gt;"*",[1]Regions!$D$3,""))</f>
        <v>IE,National</v>
      </c>
      <c r="P29" s="1033" t="str">
        <f>_xlfn.TEXTJOIN("",TRUE,LEFT([1]SETUP!B$3,1),"-",[1]SETUP!B$85,"_",[1]SETUP!B$38,"_",[1]SETUP!B45)</f>
        <v>R-BLD_Det_D</v>
      </c>
      <c r="Q29" s="1033" t="str">
        <f>_xlfn.TEXTJOIN(" ",TRUE,[1]SETUP!C$3,[1]SETUP!C$85,[1]SETUP!C$38,"_",[1]SETUP!B45)</f>
        <v>Residential Building Detached _ D</v>
      </c>
      <c r="R29" s="1034" t="s">
        <v>275</v>
      </c>
      <c r="S29" s="1033" t="s">
        <v>275</v>
      </c>
      <c r="T29" s="1034"/>
      <c r="U29" s="1033"/>
    </row>
    <row r="30" spans="2:79" ht="13.5" thickBot="1">
      <c r="B30" s="923"/>
      <c r="C30" s="924"/>
      <c r="D30" s="924"/>
      <c r="E30" s="924" t="str">
        <f>[1]COMM!$O$19</f>
        <v>RSDPF_Att</v>
      </c>
      <c r="F30" s="924"/>
      <c r="G30" s="926"/>
      <c r="H30" s="926"/>
      <c r="I30" s="926"/>
      <c r="J30" s="924"/>
      <c r="K30" s="924"/>
      <c r="L30" s="1039">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0" t="s">
        <v>275</v>
      </c>
      <c r="T30" s="423"/>
      <c r="U30" s="423"/>
    </row>
    <row r="31" spans="2:79">
      <c r="B31" s="916" t="str">
        <f>_xlfn.TEXTJOIN(",",TRUE,IF(LEFT([1]Regions!$C$3,1)&lt;&gt;"*",[1]Regions!$C$3,""),IF(LEFT([1]Regions!$D$3,1)&lt;&gt;"*",[1]Regions!$D$3,""))</f>
        <v>IE,National</v>
      </c>
      <c r="C31" s="917" t="str">
        <f>P11</f>
        <v>R-BLD_Att_D</v>
      </c>
      <c r="D31" s="918" t="str">
        <f>Q11</f>
        <v>Residential Building Attached _ D</v>
      </c>
      <c r="E31" s="918" t="str">
        <f>COMM!O16</f>
        <v>RSDSH_Att-D</v>
      </c>
      <c r="F31" s="918" t="str">
        <f>[1]COMM!$O$22</f>
        <v>RSD_Att</v>
      </c>
      <c r="G31" s="920">
        <f>Y13/1000</f>
        <v>187.62702237661046</v>
      </c>
      <c r="H31" s="920">
        <f>G31*$Y$26</f>
        <v>156.34959774642951</v>
      </c>
      <c r="I31" s="920">
        <v>1</v>
      </c>
      <c r="J31" s="918">
        <v>100</v>
      </c>
      <c r="K31" s="918">
        <v>1</v>
      </c>
      <c r="L31" s="1029">
        <f>AI53*0.796873981712218</f>
        <v>2.8149565422005449E-2</v>
      </c>
      <c r="N31" s="1033" t="s">
        <v>276</v>
      </c>
      <c r="O31" s="1033" t="str">
        <f>_xlfn.TEXTJOIN(",",TRUE,IF(LEFT([1]Regions!$C$3,1)&lt;&gt;"*",[1]Regions!$C$3,""),IF(LEFT([1]Regions!$D$3,1)&lt;&gt;"*",[1]Regions!$D$3,""))</f>
        <v>IE,National</v>
      </c>
      <c r="P31" s="1033" t="str">
        <f>_xlfn.TEXTJOIN("",TRUE,LEFT([1]SETUP!B$3,1),"-",[1]SETUP!B$85,"_",[1]SETUP!B$38,"_",[1]SETUP!B47)</f>
        <v>R-BLD_Det_F</v>
      </c>
      <c r="Q31" s="1033" t="str">
        <f>_xlfn.TEXTJOIN(" ",TRUE,[1]SETUP!C$3,[1]SETUP!C$85,[1]SETUP!C$38,"_",[1]SETUP!B47)</f>
        <v>Residential Building Detached _ F</v>
      </c>
      <c r="R31" s="1034" t="s">
        <v>275</v>
      </c>
      <c r="S31" s="1033" t="s">
        <v>275</v>
      </c>
      <c r="T31" s="1034"/>
      <c r="U31" s="1033"/>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1"/>
      <c r="C32" s="496"/>
      <c r="D32" s="495"/>
      <c r="E32" s="495" t="str">
        <f>[1]COMM!$O$10</f>
        <v>RSDSC_Att</v>
      </c>
      <c r="F32" s="495"/>
      <c r="G32" s="1031"/>
      <c r="H32" s="1031"/>
      <c r="I32" s="1031"/>
      <c r="J32" s="495"/>
      <c r="K32" s="495"/>
      <c r="L32" s="1032">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0"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2"/>
      <c r="C33" s="331"/>
      <c r="D33" s="331"/>
      <c r="E33" s="331" t="str">
        <f>[1]COMM!$O$13</f>
        <v>RSDWH_Att</v>
      </c>
      <c r="F33" s="331"/>
      <c r="G33" s="1035"/>
      <c r="H33" s="1035"/>
      <c r="I33" s="1035"/>
      <c r="J33" s="331"/>
      <c r="K33" s="331"/>
      <c r="L33" s="1036">
        <f>AJ53*0.667343385121269</f>
        <v>1.1105629879452203E-2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7">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1"/>
      <c r="C34" s="496"/>
      <c r="D34" s="495"/>
      <c r="E34" s="495" t="str">
        <f>[1]COMM!$O$16</f>
        <v>RSDLT_Att</v>
      </c>
      <c r="F34" s="495"/>
      <c r="G34" s="1031"/>
      <c r="H34" s="1031"/>
      <c r="I34" s="1031"/>
      <c r="J34" s="495"/>
      <c r="K34" s="495"/>
      <c r="L34" s="1032">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8">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3"/>
      <c r="C35" s="924"/>
      <c r="D35" s="924"/>
      <c r="E35" s="924" t="str">
        <f>[1]COMM!$O$19</f>
        <v>RSDPF_Att</v>
      </c>
      <c r="F35" s="924"/>
      <c r="G35" s="926"/>
      <c r="H35" s="926"/>
      <c r="I35" s="926"/>
      <c r="J35" s="924"/>
      <c r="K35" s="924"/>
      <c r="L35" s="1039">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0">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6" t="str">
        <f>_xlfn.TEXTJOIN(",",TRUE,IF(LEFT([1]Regions!$C$3,1)&lt;&gt;"*",[1]Regions!$C$3,""),IF(LEFT([1]Regions!$D$3,1)&lt;&gt;"*",[1]Regions!$D$3,""))</f>
        <v>IE,National</v>
      </c>
      <c r="C36" s="917" t="str">
        <f>P12</f>
        <v>R-BLD_Att_E</v>
      </c>
      <c r="D36" s="918" t="str">
        <f>Q12</f>
        <v>Residential Building Attached _ E</v>
      </c>
      <c r="E36" s="918" t="str">
        <f>COMM!O19</f>
        <v>RSDSH_Att-E</v>
      </c>
      <c r="F36" s="918" t="str">
        <f>[1]COMM!$O$22</f>
        <v>RSD_Att</v>
      </c>
      <c r="G36" s="920">
        <f>Y14/1000</f>
        <v>101.41889596184672</v>
      </c>
      <c r="H36" s="920">
        <f>G36*$Y$26</f>
        <v>84.512366005006868</v>
      </c>
      <c r="I36" s="920">
        <v>1</v>
      </c>
      <c r="J36" s="918">
        <v>100</v>
      </c>
      <c r="K36" s="918">
        <v>1</v>
      </c>
      <c r="L36" s="1029">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8">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1"/>
      <c r="C37" s="496"/>
      <c r="D37" s="495"/>
      <c r="E37" s="495" t="str">
        <f>[1]COMM!$O$10</f>
        <v>RSDSC_Att</v>
      </c>
      <c r="F37" s="495"/>
      <c r="G37" s="1031"/>
      <c r="H37" s="1031"/>
      <c r="I37" s="1031"/>
      <c r="J37" s="495"/>
      <c r="K37" s="495"/>
      <c r="L37" s="1032">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0">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2"/>
      <c r="C38" s="331"/>
      <c r="D38" s="331"/>
      <c r="E38" s="331" t="str">
        <f>[1]COMM!$O$13</f>
        <v>RSDWH_Att</v>
      </c>
      <c r="F38" s="331"/>
      <c r="G38" s="1035"/>
      <c r="H38" s="1035"/>
      <c r="I38" s="1035"/>
      <c r="J38" s="331"/>
      <c r="K38" s="331"/>
      <c r="L38" s="1036">
        <f>AJ54*0.667343385121269</f>
        <v>1.1582316249076673E-2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8">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1"/>
      <c r="C39" s="496"/>
      <c r="D39" s="495"/>
      <c r="E39" s="495" t="str">
        <f>[1]COMM!$O$16</f>
        <v>RSDLT_Att</v>
      </c>
      <c r="F39" s="495"/>
      <c r="G39" s="1031"/>
      <c r="H39" s="1031"/>
      <c r="I39" s="1031"/>
      <c r="J39" s="495"/>
      <c r="K39" s="495"/>
      <c r="L39" s="1032">
        <f>AK54*0.356554867550228</f>
        <v>8.9109282290019375E-4</v>
      </c>
      <c r="N39" s="80"/>
      <c r="O39" s="1119" t="s">
        <v>607</v>
      </c>
      <c r="P39" s="1120"/>
      <c r="Q39" s="1120"/>
      <c r="R39" s="1120"/>
      <c r="S39" s="112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0">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3"/>
      <c r="C40" s="924"/>
      <c r="D40" s="924"/>
      <c r="E40" s="924" t="str">
        <f>[1]COMM!$O$19</f>
        <v>RSDPF_Att</v>
      </c>
      <c r="F40" s="924"/>
      <c r="G40" s="926"/>
      <c r="H40" s="926"/>
      <c r="I40" s="926"/>
      <c r="J40" s="924"/>
      <c r="K40" s="924"/>
      <c r="L40" s="1039">
        <f>AL54*0.419920234349212</f>
        <v>2.5191598359303391E-4</v>
      </c>
      <c r="N40" s="80"/>
      <c r="O40" s="895"/>
      <c r="P40" s="896" t="s">
        <v>840</v>
      </c>
      <c r="Q40" s="896" t="s">
        <v>839</v>
      </c>
      <c r="R40" s="897" t="s">
        <v>841</v>
      </c>
      <c r="S40" s="895"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8">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6" t="str">
        <f>_xlfn.TEXTJOIN(",",TRUE,IF(LEFT([1]Regions!$C$3,1)&lt;&gt;"*",[1]Regions!$C$3,""),IF(LEFT([1]Regions!$D$3,1)&lt;&gt;"*",[1]Regions!$D$3,""))</f>
        <v>IE,National</v>
      </c>
      <c r="C41" s="917" t="str">
        <f>P13</f>
        <v>R-BLD_Att_F</v>
      </c>
      <c r="D41" s="918" t="str">
        <f>Q13</f>
        <v>Residential Building Attached _ F</v>
      </c>
      <c r="E41" s="918" t="str">
        <f>COMM!O22</f>
        <v>RSDSH_Att-F</v>
      </c>
      <c r="F41" s="918" t="str">
        <f>[1]COMM!$O$22</f>
        <v>RSD_Att</v>
      </c>
      <c r="G41" s="920">
        <f>Y15/1000</f>
        <v>50.123806027321166</v>
      </c>
      <c r="H41" s="920">
        <f>G41*$Y$26</f>
        <v>41.768167562566731</v>
      </c>
      <c r="I41" s="920">
        <v>1</v>
      </c>
      <c r="J41" s="918">
        <v>100</v>
      </c>
      <c r="K41" s="918">
        <v>1</v>
      </c>
      <c r="L41" s="1029">
        <f>AI55*0.796873981712218</f>
        <v>4.7137900207372685E-2</v>
      </c>
      <c r="N41" s="80"/>
      <c r="O41" s="898" t="s">
        <v>42</v>
      </c>
      <c r="P41" s="907">
        <f>'[1]SHWLP-Apt'!E25</f>
        <v>37772</v>
      </c>
      <c r="Q41" s="899">
        <f>P41/SUM(P41+R41)</f>
        <v>0.58696834548025667</v>
      </c>
      <c r="R41" s="907">
        <f>'[1]SHWLP-Apt'!E12</f>
        <v>26579</v>
      </c>
      <c r="S41" s="900">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3">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1"/>
      <c r="C42" s="496"/>
      <c r="D42" s="495"/>
      <c r="E42" s="495" t="str">
        <f>[1]COMM!$O$10</f>
        <v>RSDSC_Att</v>
      </c>
      <c r="F42" s="495"/>
      <c r="G42" s="1031"/>
      <c r="H42" s="1031"/>
      <c r="I42" s="1031"/>
      <c r="J42" s="495"/>
      <c r="K42" s="495"/>
      <c r="L42" s="1032">
        <v>0</v>
      </c>
      <c r="N42" s="80"/>
      <c r="O42" s="901" t="s">
        <v>44</v>
      </c>
      <c r="P42" s="908">
        <f>'[1]SHWLP-Att'!E25</f>
        <v>12745</v>
      </c>
      <c r="Q42" s="902">
        <f t="shared" ref="Q42:Q43" si="4">P42/SUM(P42+R42)</f>
        <v>0.36680481206469812</v>
      </c>
      <c r="R42" s="908">
        <f>'[1]SHWLP-Att'!E12</f>
        <v>22001</v>
      </c>
      <c r="S42" s="903">
        <f t="shared" ref="S42:S43" si="5">R42/SUM(P42+R42)</f>
        <v>0.63319518793530194</v>
      </c>
      <c r="T42" s="80"/>
      <c r="U42" s="80"/>
      <c r="V42" s="80"/>
      <c r="AH42" s="1044">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2"/>
      <c r="C43" s="331"/>
      <c r="D43" s="331"/>
      <c r="E43" s="331" t="str">
        <f>[1]COMM!$O$13</f>
        <v>RSDWH_Att</v>
      </c>
      <c r="F43" s="331"/>
      <c r="G43" s="1035"/>
      <c r="H43" s="1035"/>
      <c r="I43" s="1035"/>
      <c r="J43" s="331"/>
      <c r="K43" s="331"/>
      <c r="L43" s="1036">
        <f>AJ55*0.667343385121269</f>
        <v>1.2024351613610528E-2</v>
      </c>
      <c r="N43" s="80"/>
      <c r="O43" s="904" t="s">
        <v>46</v>
      </c>
      <c r="P43" s="909">
        <f>'[1]SHWLP-Det'!E25</f>
        <v>6299</v>
      </c>
      <c r="Q43" s="905">
        <f t="shared" si="4"/>
        <v>0.35199776473875383</v>
      </c>
      <c r="R43" s="909">
        <f>'[1]SHWLP-Det'!E12</f>
        <v>11596</v>
      </c>
      <c r="S43" s="906">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1"/>
      <c r="C44" s="496"/>
      <c r="D44" s="495"/>
      <c r="E44" s="495" t="str">
        <f>[1]COMM!$O$16</f>
        <v>RSDLT_Att</v>
      </c>
      <c r="F44" s="495"/>
      <c r="G44" s="1031"/>
      <c r="H44" s="1031"/>
      <c r="I44" s="1031"/>
      <c r="J44" s="495"/>
      <c r="K44" s="495"/>
      <c r="L44" s="1032">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3"/>
      <c r="C45" s="924"/>
      <c r="D45" s="924"/>
      <c r="E45" s="924" t="str">
        <f>[1]COMM!$O$19</f>
        <v>RSDPF_Att</v>
      </c>
      <c r="F45" s="924"/>
      <c r="G45" s="926"/>
      <c r="H45" s="926"/>
      <c r="I45" s="926"/>
      <c r="J45" s="924"/>
      <c r="K45" s="924"/>
      <c r="L45" s="1039">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6" t="str">
        <f>_xlfn.TEXTJOIN(",",TRUE,IF(LEFT([1]Regions!$C$3,1)&lt;&gt;"*",[1]Regions!$C$3,""),IF(LEFT([1]Regions!$D$3,1)&lt;&gt;"*",[1]Regions!$D$3,""))</f>
        <v>IE,National</v>
      </c>
      <c r="C46" s="917" t="str">
        <f>P14</f>
        <v>R-BLD_Att_G</v>
      </c>
      <c r="D46" s="918" t="str">
        <f>Q14</f>
        <v>Residential Building Attached _ G</v>
      </c>
      <c r="E46" s="918" t="str">
        <f>COMM!O25</f>
        <v>RSDSH_Att-G</v>
      </c>
      <c r="F46" s="918" t="str">
        <f>[1]COMM!$O$22</f>
        <v>RSD_Att</v>
      </c>
      <c r="G46" s="920">
        <f>Y16/1000</f>
        <v>52.706674394088104</v>
      </c>
      <c r="H46" s="920">
        <f>G46*$Y$26</f>
        <v>43.920471772593622</v>
      </c>
      <c r="I46" s="920">
        <v>1</v>
      </c>
      <c r="J46" s="918">
        <v>100</v>
      </c>
      <c r="K46" s="918">
        <v>1</v>
      </c>
      <c r="L46" s="1029">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1"/>
      <c r="C47" s="496"/>
      <c r="D47" s="495"/>
      <c r="E47" s="495" t="str">
        <f>[1]COMM!$O$10</f>
        <v>RSDSC_Att</v>
      </c>
      <c r="F47" s="495"/>
      <c r="G47" s="1031"/>
      <c r="H47" s="1031"/>
      <c r="I47" s="1031"/>
      <c r="J47" s="495"/>
      <c r="K47" s="495"/>
      <c r="L47" s="1032">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2"/>
      <c r="C48" s="331"/>
      <c r="D48" s="331"/>
      <c r="E48" s="331" t="str">
        <f>[1]COMM!$O$13</f>
        <v>RSDWH_Att</v>
      </c>
      <c r="F48" s="331"/>
      <c r="G48" s="1035"/>
      <c r="H48" s="1035"/>
      <c r="I48" s="1035"/>
      <c r="J48" s="331"/>
      <c r="K48" s="331"/>
      <c r="L48" s="1036">
        <f>AJ56*0.667343385121269</f>
        <v>1.0923712517742388E-2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7">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1"/>
      <c r="C49" s="496"/>
      <c r="D49" s="495"/>
      <c r="E49" s="495" t="str">
        <f>[1]COMM!$O$16</f>
        <v>RSDLT_Att</v>
      </c>
      <c r="F49" s="495"/>
      <c r="G49" s="1031"/>
      <c r="H49" s="1031"/>
      <c r="I49" s="1031"/>
      <c r="J49" s="495"/>
      <c r="K49" s="495"/>
      <c r="L49" s="1032">
        <f>AK56*0.356554867550228</f>
        <v>8.6300616805861155E-4</v>
      </c>
      <c r="N49" s="80"/>
      <c r="O49" s="80"/>
      <c r="P49" s="896" t="s">
        <v>839</v>
      </c>
      <c r="Q49" s="896"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8">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3"/>
      <c r="C50" s="924"/>
      <c r="D50" s="924"/>
      <c r="E50" s="924" t="str">
        <f>[1]COMM!$O$19</f>
        <v>RSDPF_Att</v>
      </c>
      <c r="F50" s="924"/>
      <c r="G50" s="926"/>
      <c r="H50" s="926"/>
      <c r="I50" s="926"/>
      <c r="J50" s="924"/>
      <c r="K50" s="924"/>
      <c r="L50" s="1039">
        <f>AL56*0.419920234349212</f>
        <v>1.768745369659479E-4</v>
      </c>
      <c r="N50" s="80"/>
      <c r="O50" s="898" t="s">
        <v>42</v>
      </c>
      <c r="P50" s="899">
        <f>1-Q50</f>
        <v>0.67999999999999994</v>
      </c>
      <c r="Q50" s="899">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0">
        <v>17545.09295382088</v>
      </c>
      <c r="AI50" s="466">
        <f t="shared" si="7"/>
        <v>1.6222464383632396E-2</v>
      </c>
      <c r="AJ50" s="466">
        <f t="shared" si="8"/>
        <v>1.2535664501395583E-2</v>
      </c>
      <c r="AK50" s="466">
        <f t="shared" si="9"/>
        <v>2.5997521948743973E-3</v>
      </c>
      <c r="AL50" s="466">
        <f t="shared" si="10"/>
        <v>7.2789241309312357E-4</v>
      </c>
    </row>
    <row r="51" spans="2:39" ht="15">
      <c r="B51" s="916" t="str">
        <f>_xlfn.TEXTJOIN(",",TRUE,IF(LEFT([1]Regions!$C$3,1)&lt;&gt;"*",[1]Regions!$C$3,""),IF(LEFT([1]Regions!$D$3,1)&lt;&gt;"*",[1]Regions!$D$3,""))</f>
        <v>IE,National</v>
      </c>
      <c r="C51" s="917" t="str">
        <f>P15</f>
        <v>R-BLD_Apt_A</v>
      </c>
      <c r="D51" s="918" t="str">
        <f>Q15</f>
        <v>Residential Building Apartment _ A</v>
      </c>
      <c r="E51" s="919" t="str">
        <f>COMM!O9</f>
        <v>RSDSH_Apt-AB</v>
      </c>
      <c r="F51" s="918" t="str">
        <f>[1]COMM!$O$21</f>
        <v>RSD_Apt</v>
      </c>
      <c r="G51" s="920">
        <f>X8/1000</f>
        <v>14.540898856806734</v>
      </c>
      <c r="H51" s="920">
        <f>G51*$Y$26</f>
        <v>12.116931017377052</v>
      </c>
      <c r="I51" s="920">
        <v>1</v>
      </c>
      <c r="J51" s="918">
        <v>100</v>
      </c>
      <c r="K51" s="918">
        <v>1</v>
      </c>
      <c r="L51" s="1029">
        <f>ABS(AI33)*0.992807796945176*0.6477546</f>
        <v>1.3249013578385519E-4</v>
      </c>
      <c r="N51" s="80"/>
      <c r="O51" s="901" t="s">
        <v>44</v>
      </c>
      <c r="P51" s="902">
        <v>0.65</v>
      </c>
      <c r="Q51" s="902">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8">
        <v>49768.849685929476</v>
      </c>
      <c r="AI51" s="466">
        <f t="shared" si="7"/>
        <v>1.9405772794162134E-2</v>
      </c>
      <c r="AJ51" s="466">
        <f t="shared" si="8"/>
        <v>1.3961787437686939E-2</v>
      </c>
      <c r="AK51" s="466">
        <f t="shared" si="9"/>
        <v>2.6678741110003324E-3</v>
      </c>
      <c r="AL51" s="466">
        <f t="shared" si="10"/>
        <v>7.1134489863742103E-4</v>
      </c>
    </row>
    <row r="52" spans="2:39" ht="15">
      <c r="B52" s="921"/>
      <c r="C52" s="496"/>
      <c r="D52" s="495"/>
      <c r="E52" s="439" t="str">
        <f>[1]COMM!$O$9</f>
        <v>RSDSC_Apt</v>
      </c>
      <c r="F52" s="495"/>
      <c r="G52" s="1031"/>
      <c r="H52" s="1031"/>
      <c r="I52" s="1031"/>
      <c r="J52" s="495"/>
      <c r="K52" s="495"/>
      <c r="L52" s="1032">
        <v>0</v>
      </c>
      <c r="N52" s="80"/>
      <c r="O52" s="904" t="s">
        <v>46</v>
      </c>
      <c r="P52" s="905">
        <v>0.7</v>
      </c>
      <c r="Q52" s="905">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0">
        <v>282151.52747564798</v>
      </c>
      <c r="AI52" s="466">
        <f t="shared" si="7"/>
        <v>2.5865469195813687E-2</v>
      </c>
      <c r="AJ52" s="466">
        <f t="shared" si="8"/>
        <v>1.568068209181972E-2</v>
      </c>
      <c r="AK52" s="466">
        <f t="shared" si="9"/>
        <v>2.6413244864938305E-3</v>
      </c>
      <c r="AL52" s="466">
        <f t="shared" si="10"/>
        <v>7.0671962254363109E-4</v>
      </c>
    </row>
    <row r="53" spans="2:39" ht="15">
      <c r="B53" s="922"/>
      <c r="C53" s="331"/>
      <c r="D53" s="331"/>
      <c r="E53" s="332" t="str">
        <f>[1]COMM!$O$12</f>
        <v>RSDWH_Apt</v>
      </c>
      <c r="F53" s="331"/>
      <c r="G53" s="1035"/>
      <c r="H53" s="1035"/>
      <c r="I53" s="1035"/>
      <c r="J53" s="331"/>
      <c r="K53" s="331"/>
      <c r="L53" s="1036">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8">
        <v>187627.02237661046</v>
      </c>
      <c r="AI53" s="466">
        <f t="shared" si="7"/>
        <v>3.532498998338654E-2</v>
      </c>
      <c r="AJ53" s="466">
        <f t="shared" si="8"/>
        <v>1.6641552350794783E-2</v>
      </c>
      <c r="AK53" s="466">
        <f t="shared" si="9"/>
        <v>2.578133892547079E-3</v>
      </c>
      <c r="AL53" s="466">
        <f t="shared" si="10"/>
        <v>6.5915002726167019E-4</v>
      </c>
    </row>
    <row r="54" spans="2:39" ht="15">
      <c r="B54" s="921"/>
      <c r="C54" s="496"/>
      <c r="D54" s="495"/>
      <c r="E54" s="439" t="str">
        <f>[1]COMM!$O$15</f>
        <v>RSDLT_Apt</v>
      </c>
      <c r="F54" s="495"/>
      <c r="G54" s="1031"/>
      <c r="H54" s="1031"/>
      <c r="I54" s="1031"/>
      <c r="J54" s="495"/>
      <c r="K54" s="495"/>
      <c r="L54" s="1032">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0">
        <v>101418.89596184672</v>
      </c>
      <c r="AI54" s="466">
        <f t="shared" si="7"/>
        <v>4.7076453250177584E-2</v>
      </c>
      <c r="AJ54" s="466">
        <f t="shared" si="8"/>
        <v>1.7355856830695859E-2</v>
      </c>
      <c r="AK54" s="466">
        <f t="shared" si="9"/>
        <v>2.4991744721439405E-3</v>
      </c>
      <c r="AL54" s="466">
        <f t="shared" si="10"/>
        <v>5.9991389551268157E-4</v>
      </c>
    </row>
    <row r="55" spans="2:39" ht="15.75" thickBot="1">
      <c r="B55" s="923"/>
      <c r="C55" s="924"/>
      <c r="D55" s="924"/>
      <c r="E55" s="925" t="str">
        <f>[1]COMM!$O$18</f>
        <v>RSDPF_Apt</v>
      </c>
      <c r="F55" s="924"/>
      <c r="G55" s="926"/>
      <c r="H55" s="926"/>
      <c r="I55" s="926"/>
      <c r="J55" s="924"/>
      <c r="K55" s="924"/>
      <c r="L55" s="1039">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8">
        <v>50123.806027321167</v>
      </c>
      <c r="AI55" s="466">
        <f t="shared" si="7"/>
        <v>5.9153518986890453E-2</v>
      </c>
      <c r="AJ55" s="466">
        <f t="shared" si="8"/>
        <v>1.8018237509652507E-2</v>
      </c>
      <c r="AK55" s="466">
        <f t="shared" si="9"/>
        <v>2.5004536679536682E-3</v>
      </c>
      <c r="AL55" s="466">
        <f t="shared" si="10"/>
        <v>5.9216264478764474E-4</v>
      </c>
    </row>
    <row r="56" spans="2:39" ht="16.5" thickBot="1">
      <c r="B56" s="916" t="str">
        <f>_xlfn.TEXTJOIN(",",TRUE,IF(LEFT([1]Regions!$C$3,1)&lt;&gt;"*",[1]Regions!$C$3,""),IF(LEFT([1]Regions!$D$3,1)&lt;&gt;"*",[1]Regions!$D$3,""))</f>
        <v>IE,National</v>
      </c>
      <c r="C56" s="917" t="str">
        <f>P16</f>
        <v>R-BLD_Apt_B1</v>
      </c>
      <c r="D56" s="918" t="str">
        <f>Q16</f>
        <v>Residential Building Apartment _ B1</v>
      </c>
      <c r="E56" s="917" t="str">
        <f>COMM!O9</f>
        <v>RSDSH_Apt-AB</v>
      </c>
      <c r="F56" s="918" t="str">
        <f>[1]COMM!$O$21</f>
        <v>RSD_Apt</v>
      </c>
      <c r="G56" s="920">
        <f>X9/1000</f>
        <v>7.4592913438514907</v>
      </c>
      <c r="H56" s="920">
        <f>G56*$Y$26</f>
        <v>6.2158274768314472</v>
      </c>
      <c r="I56" s="920">
        <v>1</v>
      </c>
      <c r="J56" s="918">
        <v>100</v>
      </c>
      <c r="K56" s="918">
        <v>1</v>
      </c>
      <c r="L56" s="1029">
        <f>AI34*0.992807796945176</f>
        <v>4.3905208691587148E-3</v>
      </c>
      <c r="N56" s="80"/>
      <c r="O56" s="1119" t="s">
        <v>838</v>
      </c>
      <c r="P56" s="1120"/>
      <c r="Q56" s="1120"/>
      <c r="R56" s="1120"/>
      <c r="S56" s="112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3">
        <v>52706.674394088106</v>
      </c>
      <c r="AI56" s="466">
        <f t="shared" si="7"/>
        <v>7.7704242347111846E-2</v>
      </c>
      <c r="AJ56" s="466">
        <f t="shared" si="8"/>
        <v>1.6368953017729157E-2</v>
      </c>
      <c r="AK56" s="466">
        <f t="shared" si="9"/>
        <v>2.4204021501320256E-3</v>
      </c>
      <c r="AL56" s="466">
        <f t="shared" si="10"/>
        <v>4.2120984534138063E-4</v>
      </c>
    </row>
    <row r="57" spans="2:39" ht="15.75" thickBot="1">
      <c r="B57" s="921"/>
      <c r="C57" s="496"/>
      <c r="D57" s="495"/>
      <c r="E57" s="1033" t="str">
        <f>[1]COMM!$O$9</f>
        <v>RSDSC_Apt</v>
      </c>
      <c r="F57" s="495"/>
      <c r="G57" s="1031"/>
      <c r="H57" s="1031"/>
      <c r="I57" s="1031"/>
      <c r="J57" s="495"/>
      <c r="K57" s="495"/>
      <c r="L57" s="1032">
        <v>0</v>
      </c>
      <c r="N57" s="80"/>
      <c r="O57" s="895"/>
      <c r="P57" s="896" t="s">
        <v>840</v>
      </c>
      <c r="Q57" s="896" t="s">
        <v>839</v>
      </c>
      <c r="R57" s="897" t="s">
        <v>841</v>
      </c>
      <c r="S57" s="895" t="s">
        <v>842</v>
      </c>
      <c r="T57" s="80"/>
      <c r="U57" s="80"/>
      <c r="AH57" s="1044">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2"/>
      <c r="C58" s="331"/>
      <c r="D58" s="331"/>
      <c r="E58" s="423" t="str">
        <f>[1]COMM!$O$12</f>
        <v>RSDWH_Apt</v>
      </c>
      <c r="F58" s="331"/>
      <c r="G58" s="1035"/>
      <c r="H58" s="1035"/>
      <c r="I58" s="1035"/>
      <c r="J58" s="331"/>
      <c r="K58" s="331"/>
      <c r="L58" s="1036">
        <f>AJ34</f>
        <v>7.9109298846992832E-3</v>
      </c>
      <c r="N58" s="80"/>
      <c r="O58" s="898" t="s">
        <v>42</v>
      </c>
      <c r="P58" s="907">
        <f>'[1]SHWLP-Apt'!S11*1000</f>
        <v>69107.395872611189</v>
      </c>
      <c r="Q58" s="899">
        <v>0.7</v>
      </c>
      <c r="R58" s="907">
        <f>'[1]SHWLP-Apt'!S12*1000</f>
        <v>29617.455373976227</v>
      </c>
      <c r="S58" s="900">
        <v>0.3</v>
      </c>
      <c r="T58" s="80"/>
      <c r="U58" s="80"/>
    </row>
    <row r="59" spans="2:39" ht="13.5" thickBot="1">
      <c r="B59" s="921"/>
      <c r="C59" s="496"/>
      <c r="D59" s="495"/>
      <c r="E59" s="1033" t="str">
        <f>[1]COMM!$O$15</f>
        <v>RSDLT_Apt</v>
      </c>
      <c r="F59" s="495"/>
      <c r="G59" s="1031"/>
      <c r="H59" s="1031"/>
      <c r="I59" s="1031"/>
      <c r="J59" s="495"/>
      <c r="K59" s="495"/>
      <c r="L59" s="1036">
        <f>AK34*0.356554867550228</f>
        <v>6.7778589214994049E-4</v>
      </c>
      <c r="N59" s="80"/>
      <c r="O59" s="901" t="s">
        <v>44</v>
      </c>
      <c r="P59" s="908">
        <f>'[1]SHWLP-Att'!S11*1000</f>
        <v>41710.491459586934</v>
      </c>
      <c r="Q59" s="899">
        <f>P59/SUM(P59+R59)</f>
        <v>0.65</v>
      </c>
      <c r="R59" s="908">
        <f>'[1]SHWLP-Att'!S12*1000</f>
        <v>22459.495401316039</v>
      </c>
      <c r="S59" s="900">
        <f>R59/SUM(P59+R59)</f>
        <v>0.35</v>
      </c>
      <c r="T59" s="80"/>
      <c r="U59" s="80"/>
    </row>
    <row r="60" spans="2:39" ht="13.5" thickBot="1">
      <c r="B60" s="923"/>
      <c r="C60" s="924"/>
      <c r="D60" s="924"/>
      <c r="E60" s="1041" t="str">
        <f>[1]COMM!$O$18</f>
        <v>RSDPF_Apt</v>
      </c>
      <c r="F60" s="924"/>
      <c r="G60" s="926"/>
      <c r="H60" s="926"/>
      <c r="I60" s="926"/>
      <c r="J60" s="924"/>
      <c r="K60" s="924"/>
      <c r="L60" s="1036">
        <f>AL34*0.358320517908692</f>
        <v>2.5672976159078477E-4</v>
      </c>
      <c r="N60" s="80"/>
      <c r="O60" s="904" t="s">
        <v>46</v>
      </c>
      <c r="P60" s="909">
        <f>'[1]SHWLP-Det'!S11*1000</f>
        <v>34182.00001626688</v>
      </c>
      <c r="Q60" s="899">
        <f>P60/SUM(P60+R60)</f>
        <v>0.70000000000000007</v>
      </c>
      <c r="R60" s="909">
        <f>'[1]SHWLP-Det'!S12*1000</f>
        <v>14649.428578400091</v>
      </c>
      <c r="S60" s="900">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6" t="str">
        <f>_xlfn.TEXTJOIN(",",TRUE,IF(LEFT([1]Regions!$C$3,1)&lt;&gt;"*",[1]Regions!$C$3,""),IF(LEFT([1]Regions!$D$3,1)&lt;&gt;"*",[1]Regions!$D$3,""))</f>
        <v>IE,National</v>
      </c>
      <c r="C61" s="917" t="str">
        <f>P17</f>
        <v>R-BLD_Apt_B2</v>
      </c>
      <c r="D61" s="918" t="str">
        <f>Q17</f>
        <v>Residential Building Apartment _ B2</v>
      </c>
      <c r="E61" s="917" t="str">
        <f>COMM!O9</f>
        <v>RSDSH_Apt-AB</v>
      </c>
      <c r="F61" s="918" t="str">
        <f>[1]COMM!$O$21</f>
        <v>RSD_Apt</v>
      </c>
      <c r="G61" s="920">
        <f>X10/1000</f>
        <v>14.041847426430094</v>
      </c>
      <c r="H61" s="920">
        <f>G61*$Y$26</f>
        <v>11.701071460444197</v>
      </c>
      <c r="I61" s="920">
        <v>1</v>
      </c>
      <c r="J61" s="918">
        <v>100</v>
      </c>
      <c r="K61" s="918">
        <v>1</v>
      </c>
      <c r="L61" s="1029">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1"/>
      <c r="C62" s="496"/>
      <c r="D62" s="495"/>
      <c r="E62" s="1033" t="str">
        <f>[1]COMM!$O$9</f>
        <v>RSDSC_Apt</v>
      </c>
      <c r="F62" s="495"/>
      <c r="G62" s="1031"/>
      <c r="H62" s="1031"/>
      <c r="I62" s="1031"/>
      <c r="J62" s="495"/>
      <c r="K62" s="495"/>
      <c r="L62" s="1032">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7">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2"/>
      <c r="C63" s="331"/>
      <c r="D63" s="331"/>
      <c r="E63" s="423" t="str">
        <f>[1]COMM!$O$12</f>
        <v>RSDWH_Apt</v>
      </c>
      <c r="F63" s="331"/>
      <c r="G63" s="1035"/>
      <c r="H63" s="1035"/>
      <c r="I63" s="1035"/>
      <c r="J63" s="331"/>
      <c r="K63" s="331"/>
      <c r="L63" s="1029">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8">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1"/>
      <c r="C64" s="496"/>
      <c r="D64" s="495"/>
      <c r="E64" s="1033" t="str">
        <f>[1]COMM!$O$15</f>
        <v>RSDLT_Apt</v>
      </c>
      <c r="F64" s="495"/>
      <c r="G64" s="1031"/>
      <c r="H64" s="1031"/>
      <c r="I64" s="1031"/>
      <c r="J64" s="495"/>
      <c r="K64" s="495"/>
      <c r="L64" s="1029">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0">
        <v>20090.949195825138</v>
      </c>
      <c r="AI64" s="466">
        <f t="shared" si="12"/>
        <v>3.8774841677784139E-2</v>
      </c>
      <c r="AJ64" s="466">
        <f t="shared" si="13"/>
        <v>1.5784493023255811E-2</v>
      </c>
      <c r="AK64" s="466">
        <f t="shared" si="14"/>
        <v>5.3360356778218935E-3</v>
      </c>
      <c r="AL64" s="466">
        <f t="shared" si="15"/>
        <v>1.0397190017016448E-3</v>
      </c>
    </row>
    <row r="65" spans="2:38" ht="19.5" thickBot="1">
      <c r="B65" s="923"/>
      <c r="C65" s="924"/>
      <c r="D65" s="924"/>
      <c r="E65" s="1041" t="str">
        <f>[1]COMM!$O$18</f>
        <v>RSDPF_Apt</v>
      </c>
      <c r="F65" s="924"/>
      <c r="G65" s="926"/>
      <c r="H65" s="926"/>
      <c r="I65" s="926"/>
      <c r="J65" s="924"/>
      <c r="K65" s="924"/>
      <c r="L65" s="1029">
        <f>AL35*0.358320517908692</f>
        <v>2.3657203057404226E-4</v>
      </c>
      <c r="O65" s="1122" t="s">
        <v>619</v>
      </c>
      <c r="P65" s="1122"/>
      <c r="Q65" s="1122"/>
      <c r="R65" s="1122"/>
      <c r="S65" s="1122"/>
      <c r="T65" s="112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8">
        <v>53466.210043981671</v>
      </c>
      <c r="AI65" s="466">
        <f t="shared" si="12"/>
        <v>4.4811514564724694E-2</v>
      </c>
      <c r="AJ65" s="466">
        <f t="shared" si="13"/>
        <v>1.7847565790778386E-2</v>
      </c>
      <c r="AK65" s="466">
        <f t="shared" si="14"/>
        <v>5.2216461477441745E-3</v>
      </c>
      <c r="AL65" s="466">
        <f t="shared" si="15"/>
        <v>9.0318699058006952E-4</v>
      </c>
    </row>
    <row r="66" spans="2:38" ht="15">
      <c r="B66" s="916" t="str">
        <f>_xlfn.TEXTJOIN(",",TRUE,IF(LEFT([1]Regions!$C$3,1)&lt;&gt;"*",[1]Regions!$C$3,""),IF(LEFT([1]Regions!$D$3,1)&lt;&gt;"*",[1]Regions!$D$3,""))</f>
        <v>IE,National</v>
      </c>
      <c r="C66" s="917" t="str">
        <f>P18</f>
        <v>R-BLD_Apt_B3</v>
      </c>
      <c r="D66" s="918" t="str">
        <f>Q18</f>
        <v>Residential Building Apartment _ B3</v>
      </c>
      <c r="E66" s="917" t="str">
        <f>COMM!O9</f>
        <v>RSDSH_Apt-AB</v>
      </c>
      <c r="F66" s="918" t="str">
        <f>[1]COMM!$O$21</f>
        <v>RSD_Apt</v>
      </c>
      <c r="G66" s="920">
        <f>X11/1000</f>
        <v>19.924480375055825</v>
      </c>
      <c r="H66" s="920">
        <f>G66*$Y$26</f>
        <v>16.603069496534019</v>
      </c>
      <c r="I66" s="920">
        <v>1</v>
      </c>
      <c r="J66" s="918">
        <v>100</v>
      </c>
      <c r="K66" s="918">
        <v>1</v>
      </c>
      <c r="L66" s="1029">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0">
        <v>251318.93361374349</v>
      </c>
      <c r="AI66" s="466">
        <f t="shared" si="12"/>
        <v>5.0749585402518643E-2</v>
      </c>
      <c r="AJ66" s="466">
        <f t="shared" si="13"/>
        <v>1.9037186062632272E-2</v>
      </c>
      <c r="AK66" s="466">
        <f t="shared" si="14"/>
        <v>4.5342329233506121E-3</v>
      </c>
      <c r="AL66" s="466">
        <f t="shared" si="15"/>
        <v>8.3655285709904003E-4</v>
      </c>
    </row>
    <row r="67" spans="2:38" ht="21">
      <c r="B67" s="921"/>
      <c r="C67" s="496"/>
      <c r="D67" s="495"/>
      <c r="E67" s="1033" t="str">
        <f>[1]COMM!$O$9</f>
        <v>RSDSC_Apt</v>
      </c>
      <c r="F67" s="495"/>
      <c r="G67" s="1031"/>
      <c r="H67" s="1031"/>
      <c r="I67" s="1031"/>
      <c r="J67" s="495"/>
      <c r="K67" s="495"/>
      <c r="L67" s="1032">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8">
        <v>166667.79141279124</v>
      </c>
      <c r="AI67" s="466">
        <f t="shared" si="12"/>
        <v>5.7313856737701993E-2</v>
      </c>
      <c r="AJ67" s="466">
        <f t="shared" si="13"/>
        <v>1.9258402082522379E-2</v>
      </c>
      <c r="AK67" s="466">
        <f t="shared" si="14"/>
        <v>3.7082368236667968E-3</v>
      </c>
      <c r="AL67" s="466">
        <f t="shared" si="15"/>
        <v>8.126365317244063E-4</v>
      </c>
    </row>
    <row r="68" spans="2:38" ht="15">
      <c r="B68" s="922"/>
      <c r="C68" s="331"/>
      <c r="D68" s="331"/>
      <c r="E68" s="423" t="str">
        <f>[1]COMM!$O$12</f>
        <v>RSDWH_Apt</v>
      </c>
      <c r="F68" s="331"/>
      <c r="G68" s="1035"/>
      <c r="H68" s="1035"/>
      <c r="I68" s="1035"/>
      <c r="J68" s="331"/>
      <c r="K68" s="331"/>
      <c r="L68" s="1036">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0">
        <v>81396.697989555512</v>
      </c>
      <c r="AI68" s="466">
        <f t="shared" si="12"/>
        <v>7.0692280806327057E-2</v>
      </c>
      <c r="AJ68" s="466">
        <f t="shared" si="13"/>
        <v>1.9322899024072873E-2</v>
      </c>
      <c r="AK68" s="466">
        <f t="shared" si="14"/>
        <v>3.4246502277163315E-3</v>
      </c>
      <c r="AL68" s="466">
        <f t="shared" si="15"/>
        <v>7.5934066363044894E-4</v>
      </c>
    </row>
    <row r="69" spans="2:38" ht="15">
      <c r="B69" s="921"/>
      <c r="C69" s="496"/>
      <c r="D69" s="495"/>
      <c r="E69" s="1033" t="str">
        <f>[1]COMM!$O$15</f>
        <v>RSDLT_Apt</v>
      </c>
      <c r="F69" s="495"/>
      <c r="G69" s="1031"/>
      <c r="H69" s="1031"/>
      <c r="I69" s="1031"/>
      <c r="J69" s="495"/>
      <c r="K69" s="495"/>
      <c r="L69" s="1032">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3">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8">
        <v>43241.005762967114</v>
      </c>
      <c r="AI69" s="466">
        <f t="shared" si="12"/>
        <v>8.501184971128925E-2</v>
      </c>
      <c r="AJ69" s="466">
        <f t="shared" si="13"/>
        <v>1.943022696743309E-2</v>
      </c>
      <c r="AK69" s="466">
        <f t="shared" si="14"/>
        <v>3.2605294262711255E-3</v>
      </c>
      <c r="AL69" s="466">
        <f t="shared" si="15"/>
        <v>7.2321093783999431E-4</v>
      </c>
    </row>
    <row r="70" spans="2:38" ht="15.75" thickBot="1">
      <c r="B70" s="923"/>
      <c r="C70" s="924"/>
      <c r="D70" s="924"/>
      <c r="E70" s="1041" t="str">
        <f>[1]COMM!$O$18</f>
        <v>RSDPF_Apt</v>
      </c>
      <c r="F70" s="924"/>
      <c r="G70" s="926"/>
      <c r="H70" s="926"/>
      <c r="I70" s="926"/>
      <c r="J70" s="924"/>
      <c r="K70" s="924"/>
      <c r="L70" s="1039">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4">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3">
        <v>78435.533443104825</v>
      </c>
      <c r="AI70" s="466">
        <f t="shared" si="12"/>
        <v>0.11218733764722996</v>
      </c>
      <c r="AJ70" s="466">
        <f t="shared" si="13"/>
        <v>1.769235778359797E-2</v>
      </c>
      <c r="AK70" s="466">
        <f t="shared" si="14"/>
        <v>2.8785619741365197E-3</v>
      </c>
      <c r="AL70" s="466">
        <f t="shared" si="15"/>
        <v>5.3015848747749216E-4</v>
      </c>
    </row>
    <row r="71" spans="2:38" ht="15.75" thickBot="1">
      <c r="B71" s="916" t="str">
        <f>_xlfn.TEXTJOIN(",",TRUE,IF(LEFT([1]Regions!$C$3,1)&lt;&gt;"*",[1]Regions!$C$3,""),IF(LEFT([1]Regions!$D$3,1)&lt;&gt;"*",[1]Regions!$D$3,""))</f>
        <v>IE,National</v>
      </c>
      <c r="C71" s="917" t="str">
        <f>P19</f>
        <v>R-BLD_Apt_C</v>
      </c>
      <c r="D71" s="918" t="str">
        <f>Q19</f>
        <v>Residential Building Apartment _ C</v>
      </c>
      <c r="E71" s="917" t="str">
        <f>COMM!O12</f>
        <v>RSDSH_Apt-C</v>
      </c>
      <c r="F71" s="918" t="str">
        <f>[1]COMM!$O$21</f>
        <v>RSD_Apt</v>
      </c>
      <c r="G71" s="920">
        <f>X12/1000</f>
        <v>58.904803436433703</v>
      </c>
      <c r="H71" s="920">
        <f>G71*$Y$26</f>
        <v>49.085372703580205</v>
      </c>
      <c r="I71" s="920">
        <v>1</v>
      </c>
      <c r="J71" s="918">
        <v>100</v>
      </c>
      <c r="K71" s="918">
        <v>1</v>
      </c>
      <c r="L71" s="1029">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3">
        <f>Z17/1000</f>
        <v>735.43872899999997</v>
      </c>
      <c r="T71" s="405" t="s">
        <v>248</v>
      </c>
      <c r="U71" s="80"/>
      <c r="AH71" s="1044">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1"/>
      <c r="C72" s="496"/>
      <c r="D72" s="495"/>
      <c r="E72" s="1033" t="str">
        <f>[1]COMM!$O$9</f>
        <v>RSDSC_Apt</v>
      </c>
      <c r="F72" s="495"/>
      <c r="G72" s="1031"/>
      <c r="H72" s="1031"/>
      <c r="I72" s="1031"/>
      <c r="J72" s="495"/>
      <c r="K72" s="495"/>
      <c r="L72" s="1032">
        <v>0</v>
      </c>
      <c r="O72" s="36" t="s">
        <v>281</v>
      </c>
      <c r="P72" s="36" t="s">
        <v>615</v>
      </c>
      <c r="Q72" s="36"/>
      <c r="R72" s="36"/>
      <c r="S72" s="36"/>
      <c r="T72" s="36"/>
      <c r="U72" s="80"/>
    </row>
    <row r="73" spans="2:38">
      <c r="B73" s="922"/>
      <c r="C73" s="331"/>
      <c r="D73" s="331"/>
      <c r="E73" s="423" t="str">
        <f>[1]COMM!$O$12</f>
        <v>RSDWH_Apt</v>
      </c>
      <c r="F73" s="331"/>
      <c r="G73" s="1035"/>
      <c r="H73" s="1035"/>
      <c r="I73" s="1035"/>
      <c r="J73" s="331"/>
      <c r="K73" s="331"/>
      <c r="L73" s="1036">
        <f>AJ37*1.2754640586231</f>
        <v>1.4150269101637586E-2</v>
      </c>
      <c r="O73" s="407" t="s">
        <v>614</v>
      </c>
      <c r="P73" s="407"/>
      <c r="Q73" s="407"/>
      <c r="R73" s="407"/>
      <c r="S73" s="575">
        <f>SUM(S69:S71)</f>
        <v>1735.4633349999999</v>
      </c>
      <c r="T73" s="407"/>
      <c r="U73" s="80"/>
    </row>
    <row r="74" spans="2:38">
      <c r="B74" s="921"/>
      <c r="C74" s="496"/>
      <c r="D74" s="495"/>
      <c r="E74" s="1033" t="str">
        <f>[1]COMM!$O$15</f>
        <v>RSDLT_Apt</v>
      </c>
      <c r="F74" s="495"/>
      <c r="G74" s="1031"/>
      <c r="H74" s="1031"/>
      <c r="I74" s="1031"/>
      <c r="J74" s="495"/>
      <c r="K74" s="495"/>
      <c r="L74" s="1032">
        <f>AK37*0.356554867550228</f>
        <v>6.9889473778990375E-4</v>
      </c>
      <c r="T74" s="80"/>
      <c r="U74" s="80"/>
    </row>
    <row r="75" spans="2:38" ht="13.5" thickBot="1">
      <c r="B75" s="923"/>
      <c r="C75" s="924"/>
      <c r="D75" s="924"/>
      <c r="E75" s="1041" t="str">
        <f>[1]COMM!$O$18</f>
        <v>RSDPF_Apt</v>
      </c>
      <c r="F75" s="924"/>
      <c r="G75" s="926"/>
      <c r="H75" s="926"/>
      <c r="I75" s="926"/>
      <c r="J75" s="924"/>
      <c r="K75" s="924"/>
      <c r="L75" s="1039">
        <f>AL37*0.358320517908692</f>
        <v>1.4680881531554685E-4</v>
      </c>
      <c r="T75" s="80"/>
      <c r="U75" s="80"/>
    </row>
    <row r="76" spans="2:38">
      <c r="B76" s="916" t="str">
        <f>_xlfn.TEXTJOIN(",",TRUE,IF(LEFT([1]Regions!$C$3,1)&lt;&gt;"*",[1]Regions!$C$3,""),IF(LEFT([1]Regions!$D$3,1)&lt;&gt;"*",[1]Regions!$D$3,""))</f>
        <v>IE,National</v>
      </c>
      <c r="C76" s="917" t="str">
        <f>P20</f>
        <v>R-BLD_Apt_D</v>
      </c>
      <c r="D76" s="918" t="str">
        <f>Q20</f>
        <v>Residential Building Apartment _ D</v>
      </c>
      <c r="E76" s="917" t="str">
        <f>COMM!O15</f>
        <v>RSDSH_Apt-D</v>
      </c>
      <c r="F76" s="918" t="str">
        <f>[1]COMM!$O$21</f>
        <v>RSD_Apt</v>
      </c>
      <c r="G76" s="920">
        <f>X13/1000</f>
        <v>43.739341649106159</v>
      </c>
      <c r="H76" s="920">
        <f>G76*$Y$26</f>
        <v>36.447993396200161</v>
      </c>
      <c r="I76" s="920">
        <v>1</v>
      </c>
      <c r="J76" s="918">
        <v>100</v>
      </c>
      <c r="K76" s="918">
        <v>1</v>
      </c>
      <c r="L76" s="1029">
        <f>AI38*0.992807796945176</f>
        <v>1.3080483158481877E-2</v>
      </c>
      <c r="T76" s="80"/>
      <c r="U76" s="80"/>
    </row>
    <row r="77" spans="2:38">
      <c r="B77" s="921"/>
      <c r="C77" s="496"/>
      <c r="D77" s="495"/>
      <c r="E77" s="1033" t="str">
        <f>[1]COMM!$O$9</f>
        <v>RSDSC_Apt</v>
      </c>
      <c r="F77" s="495"/>
      <c r="G77" s="1031"/>
      <c r="H77" s="1031"/>
      <c r="I77" s="1031"/>
      <c r="J77" s="495"/>
      <c r="K77" s="495"/>
      <c r="L77" s="1032">
        <v>0</v>
      </c>
      <c r="T77" s="80"/>
      <c r="U77" s="80"/>
    </row>
    <row r="78" spans="2:38">
      <c r="B78" s="922"/>
      <c r="C78" s="331"/>
      <c r="D78" s="331"/>
      <c r="E78" s="423" t="str">
        <f>[1]COMM!$O$12</f>
        <v>RSDWH_Apt</v>
      </c>
      <c r="F78" s="331"/>
      <c r="G78" s="1035"/>
      <c r="H78" s="1035"/>
      <c r="I78" s="1035"/>
      <c r="J78" s="331"/>
      <c r="K78" s="331"/>
      <c r="L78" s="1036">
        <f>AJ38*1.2754640586231</f>
        <v>1.2032712580168789E-2</v>
      </c>
      <c r="T78" s="80"/>
      <c r="U78" s="80"/>
    </row>
    <row r="79" spans="2:38">
      <c r="B79" s="921"/>
      <c r="C79" s="496"/>
      <c r="D79" s="495"/>
      <c r="E79" s="1033" t="str">
        <f>[1]COMM!$O$15</f>
        <v>RSDLT_Apt</v>
      </c>
      <c r="F79" s="495"/>
      <c r="G79" s="1031"/>
      <c r="H79" s="1031"/>
      <c r="I79" s="1031"/>
      <c r="J79" s="495"/>
      <c r="K79" s="495"/>
      <c r="L79" s="1032">
        <f>AK38*0.356554867550228</f>
        <v>6.266213261424897E-4</v>
      </c>
      <c r="T79" s="80"/>
      <c r="U79" s="80"/>
    </row>
    <row r="80" spans="2:38" ht="13.5" thickBot="1">
      <c r="B80" s="923"/>
      <c r="C80" s="924"/>
      <c r="D80" s="924"/>
      <c r="E80" s="1041" t="str">
        <f>[1]COMM!$O$18</f>
        <v>RSDPF_Apt</v>
      </c>
      <c r="F80" s="924"/>
      <c r="G80" s="926"/>
      <c r="H80" s="926"/>
      <c r="I80" s="926"/>
      <c r="J80" s="924"/>
      <c r="K80" s="924"/>
      <c r="L80" s="1039">
        <f>AL38*0.358320517908692</f>
        <v>6.3871932977098422E-5</v>
      </c>
      <c r="T80" s="80"/>
      <c r="U80" s="80"/>
    </row>
    <row r="81" spans="2:12">
      <c r="B81" s="916" t="str">
        <f>_xlfn.TEXTJOIN(",",TRUE,IF(LEFT([1]Regions!$C$3,1)&lt;&gt;"*",[1]Regions!$C$3,""),IF(LEFT([1]Regions!$D$3,1)&lt;&gt;"*",[1]Regions!$D$3,""))</f>
        <v>IE,National</v>
      </c>
      <c r="C81" s="917" t="str">
        <f>P21</f>
        <v>R-BLD_Apt_E</v>
      </c>
      <c r="D81" s="918" t="str">
        <f>Q21</f>
        <v>Residential Building Apartment _ E</v>
      </c>
      <c r="E81" s="917" t="str">
        <f>COMM!O18</f>
        <v>RSDSH_Apt-E</v>
      </c>
      <c r="F81" s="918" t="str">
        <f>[1]COMM!$O$21</f>
        <v>RSD_Apt</v>
      </c>
      <c r="G81" s="920">
        <f>X14/1000</f>
        <v>25.767876472761333</v>
      </c>
      <c r="H81" s="920">
        <f>G81*$Y$26</f>
        <v>21.472371464752019</v>
      </c>
      <c r="I81" s="920">
        <v>1</v>
      </c>
      <c r="J81" s="918">
        <v>100</v>
      </c>
      <c r="K81" s="918">
        <v>1</v>
      </c>
      <c r="L81" s="1029">
        <f>AI39*0.992807796945176</f>
        <v>1.7026110267234832E-2</v>
      </c>
    </row>
    <row r="82" spans="2:12">
      <c r="B82" s="921"/>
      <c r="C82" s="496"/>
      <c r="D82" s="495"/>
      <c r="E82" s="1033" t="str">
        <f>[1]COMM!$O$9</f>
        <v>RSDSC_Apt</v>
      </c>
      <c r="F82" s="495"/>
      <c r="G82" s="1031"/>
      <c r="H82" s="1031"/>
      <c r="I82" s="1031"/>
      <c r="J82" s="495"/>
      <c r="K82" s="495"/>
      <c r="L82" s="1032">
        <v>0</v>
      </c>
    </row>
    <row r="83" spans="2:12">
      <c r="B83" s="922"/>
      <c r="C83" s="331"/>
      <c r="D83" s="331"/>
      <c r="E83" s="423" t="str">
        <f>[1]COMM!$O$12</f>
        <v>RSDWH_Apt</v>
      </c>
      <c r="F83" s="331"/>
      <c r="G83" s="1035"/>
      <c r="H83" s="1035"/>
      <c r="I83" s="1035"/>
      <c r="J83" s="331"/>
      <c r="K83" s="331"/>
      <c r="L83" s="1036">
        <f>AJ39*1.2754640586231</f>
        <v>1.1328259399996333E-2</v>
      </c>
    </row>
    <row r="84" spans="2:12">
      <c r="B84" s="921"/>
      <c r="C84" s="496"/>
      <c r="D84" s="495"/>
      <c r="E84" s="1033" t="str">
        <f>[1]COMM!$O$15</f>
        <v>RSDLT_Apt</v>
      </c>
      <c r="F84" s="495"/>
      <c r="G84" s="1031"/>
      <c r="H84" s="1031"/>
      <c r="I84" s="1031"/>
      <c r="J84" s="495"/>
      <c r="K84" s="495"/>
      <c r="L84" s="1032">
        <f>AK39*0.356554867550228</f>
        <v>5.8331486487328554E-4</v>
      </c>
    </row>
    <row r="85" spans="2:12" ht="13.5" thickBot="1">
      <c r="B85" s="923"/>
      <c r="C85" s="924"/>
      <c r="D85" s="924"/>
      <c r="E85" s="1041" t="str">
        <f>[1]COMM!$O$18</f>
        <v>RSDPF_Apt</v>
      </c>
      <c r="F85" s="924"/>
      <c r="G85" s="926"/>
      <c r="H85" s="926"/>
      <c r="I85" s="926"/>
      <c r="J85" s="924"/>
      <c r="K85" s="924"/>
      <c r="L85" s="1039">
        <f>AK39*0.358320517908692</f>
        <v>5.8620342479489651E-4</v>
      </c>
    </row>
    <row r="86" spans="2:12">
      <c r="B86" s="916" t="str">
        <f>_xlfn.TEXTJOIN(",",TRUE,IF(LEFT([1]Regions!$C$3,1)&lt;&gt;"*",[1]Regions!$C$3,""),IF(LEFT([1]Regions!$D$3,1)&lt;&gt;"*",[1]Regions!$D$3,""))</f>
        <v>IE,National</v>
      </c>
      <c r="C86" s="917" t="str">
        <f>P22</f>
        <v>R-BLD_Apt_F</v>
      </c>
      <c r="D86" s="918" t="str">
        <f>Q22</f>
        <v>Residential Building Apartment _ F</v>
      </c>
      <c r="E86" s="917" t="str">
        <f>COMM!O21</f>
        <v>RSDSH_Apt-F</v>
      </c>
      <c r="F86" s="918" t="str">
        <f>[1]COMM!$O$21</f>
        <v>RSD_Apt</v>
      </c>
      <c r="G86" s="920">
        <f>X15/1000</f>
        <v>12.331173226884033</v>
      </c>
      <c r="H86" s="920">
        <f>G86*$Y$26</f>
        <v>10.275566649962466</v>
      </c>
      <c r="I86" s="920">
        <v>1</v>
      </c>
      <c r="J86" s="918">
        <v>100</v>
      </c>
      <c r="K86" s="918">
        <v>1</v>
      </c>
      <c r="L86" s="1029">
        <f>AI40*0.992807796945176</f>
        <v>2.2522852866122413E-2</v>
      </c>
    </row>
    <row r="87" spans="2:12">
      <c r="B87" s="921"/>
      <c r="C87" s="496"/>
      <c r="D87" s="495"/>
      <c r="E87" s="1033" t="str">
        <f>[1]COMM!$O$9</f>
        <v>RSDSC_Apt</v>
      </c>
      <c r="F87" s="495"/>
      <c r="G87" s="1031"/>
      <c r="H87" s="1031"/>
      <c r="I87" s="1031"/>
      <c r="J87" s="495"/>
      <c r="K87" s="495"/>
      <c r="L87" s="1032">
        <v>0</v>
      </c>
    </row>
    <row r="88" spans="2:12">
      <c r="B88" s="922"/>
      <c r="C88" s="331"/>
      <c r="D88" s="331"/>
      <c r="E88" s="423" t="str">
        <f>[1]COMM!$O$12</f>
        <v>RSDWH_Apt</v>
      </c>
      <c r="F88" s="331"/>
      <c r="G88" s="1035"/>
      <c r="H88" s="1035"/>
      <c r="I88" s="1035"/>
      <c r="J88" s="331"/>
      <c r="K88" s="331"/>
      <c r="L88" s="1036">
        <f>AJ40*1.2754640586231</f>
        <v>1.1473800266006296E-2</v>
      </c>
    </row>
    <row r="89" spans="2:12">
      <c r="B89" s="921"/>
      <c r="C89" s="496"/>
      <c r="D89" s="495"/>
      <c r="E89" s="1033" t="str">
        <f>[1]COMM!$O$15</f>
        <v>RSDLT_Apt</v>
      </c>
      <c r="F89" s="495"/>
      <c r="G89" s="1031"/>
      <c r="H89" s="1031"/>
      <c r="I89" s="1031"/>
      <c r="J89" s="495"/>
      <c r="K89" s="495"/>
      <c r="L89" s="1032">
        <f>AK40*0.356554867550228</f>
        <v>5.4866289360667336E-4</v>
      </c>
    </row>
    <row r="90" spans="2:12" ht="13.5" thickBot="1">
      <c r="B90" s="923"/>
      <c r="C90" s="924"/>
      <c r="D90" s="924"/>
      <c r="E90" s="1041" t="str">
        <f>[1]COMM!$O$18</f>
        <v>RSDPF_Apt</v>
      </c>
      <c r="F90" s="924"/>
      <c r="G90" s="926"/>
      <c r="H90" s="926"/>
      <c r="I90" s="926"/>
      <c r="J90" s="924"/>
      <c r="K90" s="924"/>
      <c r="L90" s="1039">
        <f>AL40*0.358320517908692</f>
        <v>5.8414210165170864E-5</v>
      </c>
    </row>
    <row r="91" spans="2:12">
      <c r="B91" s="916" t="str">
        <f>_xlfn.TEXTJOIN(",",TRUE,IF(LEFT([1]Regions!$C$3,1)&lt;&gt;"*",[1]Regions!$C$3,""),IF(LEFT([1]Regions!$D$3,1)&lt;&gt;"*",[1]Regions!$D$3,""))</f>
        <v>IE,National</v>
      </c>
      <c r="C91" s="917" t="str">
        <f>P23</f>
        <v>R-BLD_Apt_G</v>
      </c>
      <c r="D91" s="918" t="str">
        <f>Q23</f>
        <v>Residential Building Apartment _ G</v>
      </c>
      <c r="E91" s="917" t="str">
        <f>COMM!O24</f>
        <v>RSDSH_Apt-G</v>
      </c>
      <c r="F91" s="918" t="str">
        <f>[1]COMM!$O$21</f>
        <v>RSD_Apt</v>
      </c>
      <c r="G91" s="920">
        <f>X16/1000</f>
        <v>15.211172212670604</v>
      </c>
      <c r="H91" s="920">
        <f>G91*$Y$26</f>
        <v>12.675469804818414</v>
      </c>
      <c r="I91" s="920">
        <v>1</v>
      </c>
      <c r="J91" s="918">
        <v>100</v>
      </c>
      <c r="K91" s="918">
        <v>1</v>
      </c>
      <c r="L91" s="1029">
        <f>AI41*0.992807796945176</f>
        <v>3.2803286580099345E-2</v>
      </c>
    </row>
    <row r="92" spans="2:12">
      <c r="B92" s="921"/>
      <c r="C92" s="496"/>
      <c r="D92" s="495"/>
      <c r="E92" s="1033" t="str">
        <f>[1]COMM!$O$9</f>
        <v>RSDSC_Apt</v>
      </c>
      <c r="F92" s="495"/>
      <c r="G92" s="1031"/>
      <c r="H92" s="1031"/>
      <c r="I92" s="1031"/>
      <c r="J92" s="495"/>
      <c r="K92" s="495"/>
      <c r="L92" s="1032">
        <v>0</v>
      </c>
    </row>
    <row r="93" spans="2:12">
      <c r="B93" s="922"/>
      <c r="C93" s="331"/>
      <c r="D93" s="331"/>
      <c r="E93" s="423" t="str">
        <f>[1]COMM!$O$12</f>
        <v>RSDWH_Apt</v>
      </c>
      <c r="F93" s="331"/>
      <c r="G93" s="1035"/>
      <c r="H93" s="1035"/>
      <c r="I93" s="1035"/>
      <c r="J93" s="331"/>
      <c r="K93" s="331"/>
      <c r="L93" s="1036">
        <f>AJ41*1.2754640586231</f>
        <v>1.0957010237836096E-2</v>
      </c>
    </row>
    <row r="94" spans="2:12">
      <c r="B94" s="921"/>
      <c r="C94" s="496"/>
      <c r="D94" s="495"/>
      <c r="E94" s="1033" t="str">
        <f>[1]COMM!$O$15</f>
        <v>RSDLT_Apt</v>
      </c>
      <c r="F94" s="495"/>
      <c r="G94" s="1031"/>
      <c r="H94" s="1031"/>
      <c r="I94" s="1031"/>
      <c r="J94" s="495"/>
      <c r="K94" s="495"/>
      <c r="L94" s="1032">
        <f>AK41*0.356554867550228</f>
        <v>5.2934091091012077E-4</v>
      </c>
    </row>
    <row r="95" spans="2:12" ht="13.5" thickBot="1">
      <c r="B95" s="923"/>
      <c r="C95" s="924"/>
      <c r="D95" s="924"/>
      <c r="E95" s="1041" t="str">
        <f>[1]COMM!$O$18</f>
        <v>RSDPF_Apt</v>
      </c>
      <c r="F95" s="924"/>
      <c r="G95" s="926"/>
      <c r="H95" s="926"/>
      <c r="I95" s="926"/>
      <c r="J95" s="924"/>
      <c r="K95" s="924"/>
      <c r="L95" s="1039">
        <f>AL41*0.358320517908692</f>
        <v>4.9159605349424574E-5</v>
      </c>
    </row>
    <row r="96" spans="2:12">
      <c r="B96" s="916" t="str">
        <f>_xlfn.TEXTJOIN(",",TRUE,IF(LEFT([1]Regions!$C$3,1)&lt;&gt;"*",[1]Regions!$C$3,""),IF(LEFT([1]Regions!$D$3,1)&lt;&gt;"*",[1]Regions!$D$3,""))</f>
        <v>IE,National</v>
      </c>
      <c r="C96" s="917" t="str">
        <f>P24</f>
        <v>R-BLD_Det_A</v>
      </c>
      <c r="D96" s="918" t="str">
        <f>Q24</f>
        <v>Residential Building Detached _ A</v>
      </c>
      <c r="E96" s="917" t="str">
        <f>COMM!O11</f>
        <v>RSDSH_Det-AB</v>
      </c>
      <c r="F96" s="918" t="str">
        <f>[1]COMM!$O$23</f>
        <v>RSD_Det</v>
      </c>
      <c r="G96" s="920">
        <f>Z8/1000</f>
        <v>31.387706337556118</v>
      </c>
      <c r="H96" s="920">
        <f>G96*$Y$26</f>
        <v>26.155375691085514</v>
      </c>
      <c r="I96" s="920">
        <v>1</v>
      </c>
      <c r="J96" s="918">
        <v>100</v>
      </c>
      <c r="K96" s="918">
        <v>1</v>
      </c>
      <c r="L96" s="1029">
        <f>ABS(AI62)*0.853224702081462*0.63908</f>
        <v>2.4058665241777602E-3</v>
      </c>
    </row>
    <row r="97" spans="2:12">
      <c r="B97" s="921"/>
      <c r="C97" s="496"/>
      <c r="D97" s="495"/>
      <c r="E97" s="1033" t="str">
        <f>[1]COMM!$O$11</f>
        <v>RSDSC_Det</v>
      </c>
      <c r="F97" s="495"/>
      <c r="G97" s="1031"/>
      <c r="H97" s="1031"/>
      <c r="I97" s="1031"/>
      <c r="J97" s="495"/>
      <c r="K97" s="495"/>
      <c r="L97" s="1032">
        <v>0</v>
      </c>
    </row>
    <row r="98" spans="2:12">
      <c r="B98" s="922"/>
      <c r="C98" s="331"/>
      <c r="D98" s="331"/>
      <c r="E98" s="423" t="str">
        <f>[1]COMM!$O$14</f>
        <v>RSDWH_Det</v>
      </c>
      <c r="F98" s="331"/>
      <c r="G98" s="1035"/>
      <c r="H98" s="1035"/>
      <c r="I98" s="1035"/>
      <c r="J98" s="331"/>
      <c r="K98" s="331"/>
      <c r="L98" s="1036">
        <f>AJ62*0.742731884673138*0.63908</f>
        <v>4.2605415152040874E-3</v>
      </c>
    </row>
    <row r="99" spans="2:12">
      <c r="B99" s="921"/>
      <c r="C99" s="496"/>
      <c r="D99" s="495"/>
      <c r="E99" s="1033" t="str">
        <f>[1]COMM!$O$17</f>
        <v>RSDLT_Det</v>
      </c>
      <c r="F99" s="495"/>
      <c r="G99" s="1031"/>
      <c r="H99" s="1031"/>
      <c r="I99" s="1031"/>
      <c r="J99" s="495"/>
      <c r="K99" s="495"/>
      <c r="L99" s="1032">
        <f>AK62*0.375703674683678*0.63908</f>
        <v>8.4666683429302956E-4</v>
      </c>
    </row>
    <row r="100" spans="2:12" ht="13.5" thickBot="1">
      <c r="B100" s="923"/>
      <c r="C100" s="924"/>
      <c r="D100" s="924"/>
      <c r="E100" s="1041" t="str">
        <f>[1]COMM!$O$20</f>
        <v>RSDPF_Det</v>
      </c>
      <c r="F100" s="924"/>
      <c r="G100" s="926"/>
      <c r="H100" s="926"/>
      <c r="I100" s="926"/>
      <c r="J100" s="924"/>
      <c r="K100" s="924"/>
      <c r="L100" s="1039">
        <f>AL62*0.568571740836304*0.63908</f>
        <v>6.686799636959782E-4</v>
      </c>
    </row>
    <row r="101" spans="2:12">
      <c r="B101" s="916" t="str">
        <f>_xlfn.TEXTJOIN(",",TRUE,IF(LEFT([1]Regions!$C$3,1)&lt;&gt;"*",[1]Regions!$C$3,""),IF(LEFT([1]Regions!$D$3,1)&lt;&gt;"*",[1]Regions!$D$3,""))</f>
        <v>IE,National</v>
      </c>
      <c r="C101" s="917" t="str">
        <f>P25</f>
        <v>R-BLD_Det_B1</v>
      </c>
      <c r="D101" s="918" t="str">
        <f>Q25</f>
        <v>Residential Building Detached _ B1</v>
      </c>
      <c r="E101" s="917" t="str">
        <f>COMM!O11</f>
        <v>RSDSH_Det-AB</v>
      </c>
      <c r="F101" s="918" t="str">
        <f>[1]COMM!$O$23</f>
        <v>RSD_Det</v>
      </c>
      <c r="G101" s="920">
        <f>Z9/1000</f>
        <v>9.4339012004747342</v>
      </c>
      <c r="H101" s="920">
        <f>G101*$Y$26</f>
        <v>7.8612698703555965</v>
      </c>
      <c r="I101" s="920">
        <v>1</v>
      </c>
      <c r="J101" s="918">
        <v>100</v>
      </c>
      <c r="K101" s="918">
        <v>1</v>
      </c>
      <c r="L101" s="1029">
        <f>ABS(AI63)*0.853224702081462</f>
        <v>2.071703416196638E-2</v>
      </c>
    </row>
    <row r="102" spans="2:12">
      <c r="B102" s="921"/>
      <c r="C102" s="496"/>
      <c r="D102" s="495"/>
      <c r="E102" s="1033" t="str">
        <f>[1]COMM!$O$11</f>
        <v>RSDSC_Det</v>
      </c>
      <c r="F102" s="495"/>
      <c r="G102" s="1031"/>
      <c r="H102" s="1031"/>
      <c r="I102" s="1031"/>
      <c r="J102" s="495"/>
      <c r="K102" s="495"/>
      <c r="L102" s="1032">
        <v>0</v>
      </c>
    </row>
    <row r="103" spans="2:12">
      <c r="B103" s="922"/>
      <c r="C103" s="331"/>
      <c r="D103" s="331"/>
      <c r="E103" s="423" t="str">
        <f>[1]COMM!$O$14</f>
        <v>RSDWH_Det</v>
      </c>
      <c r="F103" s="331"/>
      <c r="G103" s="1035"/>
      <c r="H103" s="1035"/>
      <c r="I103" s="1035"/>
      <c r="J103" s="331"/>
      <c r="K103" s="331"/>
      <c r="L103" s="1036">
        <f>AJ63*0.742731884673138</f>
        <v>8.8922350864476061E-3</v>
      </c>
    </row>
    <row r="104" spans="2:12">
      <c r="B104" s="921"/>
      <c r="C104" s="496"/>
      <c r="D104" s="495"/>
      <c r="E104" s="1033" t="str">
        <f>[1]COMM!$O$17</f>
        <v>RSDLT_Det</v>
      </c>
      <c r="F104" s="495"/>
      <c r="G104" s="1031"/>
      <c r="H104" s="1031"/>
      <c r="I104" s="1031"/>
      <c r="J104" s="495"/>
      <c r="K104" s="495"/>
      <c r="L104" s="1032">
        <f>AK63*0.375703674683678</f>
        <v>1.7683153930356794E-3</v>
      </c>
    </row>
    <row r="105" spans="2:12" ht="13.5" thickBot="1">
      <c r="B105" s="923"/>
      <c r="C105" s="924"/>
      <c r="D105" s="924"/>
      <c r="E105" s="1041" t="str">
        <f>[1]COMM!$O$20</f>
        <v>RSDPF_Det</v>
      </c>
      <c r="F105" s="924"/>
      <c r="G105" s="926"/>
      <c r="H105" s="926"/>
      <c r="I105" s="926"/>
      <c r="J105" s="924"/>
      <c r="K105" s="924"/>
      <c r="L105" s="1039">
        <f>AL63*0.568571740836304</f>
        <v>7.5053716369545911E-4</v>
      </c>
    </row>
    <row r="106" spans="2:12">
      <c r="B106" s="916" t="str">
        <f>_xlfn.TEXTJOIN(",",TRUE,IF(LEFT([1]Regions!$C$3,1)&lt;&gt;"*",[1]Regions!$C$3,""),IF(LEFT([1]Regions!$D$3,1)&lt;&gt;"*",[1]Regions!$D$3,""))</f>
        <v>IE,National</v>
      </c>
      <c r="C106" s="917" t="str">
        <f>P26</f>
        <v>R-BLD_Det_B2</v>
      </c>
      <c r="D106" s="918" t="str">
        <f>Q26</f>
        <v>Residential Building Detached _ B2</v>
      </c>
      <c r="E106" s="917" t="str">
        <f>COMM!O11</f>
        <v>RSDSH_Det-AB</v>
      </c>
      <c r="F106" s="918" t="str">
        <f>[1]COMM!$O$23</f>
        <v>RSD_Det</v>
      </c>
      <c r="G106" s="920">
        <f>Z10/1000</f>
        <v>20.090949195825139</v>
      </c>
      <c r="H106" s="920">
        <f>G106*$Y$26</f>
        <v>16.741787964881091</v>
      </c>
      <c r="I106" s="920">
        <v>1</v>
      </c>
      <c r="J106" s="918">
        <v>100</v>
      </c>
      <c r="K106" s="918">
        <v>1</v>
      </c>
      <c r="L106" s="1029">
        <f>ABS(AI64)*0.853224702081462</f>
        <v>3.3083652738783227E-2</v>
      </c>
    </row>
    <row r="107" spans="2:12">
      <c r="B107" s="921"/>
      <c r="C107" s="496"/>
      <c r="D107" s="495"/>
      <c r="E107" s="1033" t="str">
        <f>[1]COMM!$O$11</f>
        <v>RSDSC_Det</v>
      </c>
      <c r="F107" s="495"/>
      <c r="G107" s="1031"/>
      <c r="H107" s="1031"/>
      <c r="I107" s="1031"/>
      <c r="J107" s="495"/>
      <c r="K107" s="495"/>
      <c r="L107" s="1032">
        <v>0</v>
      </c>
    </row>
    <row r="108" spans="2:12">
      <c r="B108" s="922"/>
      <c r="C108" s="331"/>
      <c r="D108" s="331"/>
      <c r="E108" s="423" t="str">
        <f>[1]COMM!$O$14</f>
        <v>RSDWH_Det</v>
      </c>
      <c r="F108" s="331"/>
      <c r="G108" s="1035"/>
      <c r="H108" s="1035"/>
      <c r="I108" s="1035"/>
      <c r="J108" s="331"/>
      <c r="K108" s="331"/>
      <c r="L108" s="1036">
        <f>AJ64*0.742731884673138</f>
        <v>1.1723646251772786E-2</v>
      </c>
    </row>
    <row r="109" spans="2:12">
      <c r="B109" s="921"/>
      <c r="C109" s="496"/>
      <c r="D109" s="495"/>
      <c r="E109" s="1033" t="str">
        <f>[1]COMM!$O$17</f>
        <v>RSDLT_Det</v>
      </c>
      <c r="F109" s="495"/>
      <c r="G109" s="1031"/>
      <c r="H109" s="1031"/>
      <c r="I109" s="1031"/>
      <c r="J109" s="495"/>
      <c r="K109" s="495"/>
      <c r="L109" s="1032">
        <f>AK64*0.375703674683678</f>
        <v>2.004768212400896E-3</v>
      </c>
    </row>
    <row r="110" spans="2:12" ht="13.5" thickBot="1">
      <c r="B110" s="923"/>
      <c r="C110" s="924"/>
      <c r="D110" s="924"/>
      <c r="E110" s="1041" t="str">
        <f>[1]COMM!$O$20</f>
        <v>RSDPF_Det</v>
      </c>
      <c r="F110" s="924"/>
      <c r="G110" s="926"/>
      <c r="H110" s="926"/>
      <c r="I110" s="926"/>
      <c r="J110" s="924"/>
      <c r="K110" s="924"/>
      <c r="L110" s="1039">
        <f>AL64*0.568571740836304</f>
        <v>5.911548427780883E-4</v>
      </c>
    </row>
    <row r="111" spans="2:12">
      <c r="B111" s="916" t="str">
        <f>_xlfn.TEXTJOIN(",",TRUE,IF(LEFT([1]Regions!$C$3,1)&lt;&gt;"*",[1]Regions!$C$3,""),IF(LEFT([1]Regions!$D$3,1)&lt;&gt;"*",[1]Regions!$D$3,""))</f>
        <v>IE,National</v>
      </c>
      <c r="C111" s="917" t="str">
        <f>P27</f>
        <v>R-BLD_Det_B3</v>
      </c>
      <c r="D111" s="918" t="str">
        <f>Q27</f>
        <v>Residential Building Detached _ B3</v>
      </c>
      <c r="E111" s="917" t="str">
        <f>COMM!O11</f>
        <v>RSDSH_Det-AB</v>
      </c>
      <c r="F111" s="918" t="str">
        <f>[1]COMM!$O$23</f>
        <v>RSD_Det</v>
      </c>
      <c r="G111" s="920">
        <f>Z11/1000</f>
        <v>53.466210043981668</v>
      </c>
      <c r="H111" s="920">
        <f>G111*$Y$26</f>
        <v>44.55339282964993</v>
      </c>
      <c r="I111" s="920">
        <v>1</v>
      </c>
      <c r="J111" s="918">
        <v>100</v>
      </c>
      <c r="K111" s="918">
        <v>1</v>
      </c>
      <c r="L111" s="1029">
        <f>ABS(AI65)*0.853224702081462</f>
        <v>3.8234291164306322E-2</v>
      </c>
    </row>
    <row r="112" spans="2:12">
      <c r="B112" s="921"/>
      <c r="C112" s="496"/>
      <c r="D112" s="495"/>
      <c r="E112" s="1033" t="str">
        <f>[1]COMM!$O$11</f>
        <v>RSDSC_Det</v>
      </c>
      <c r="F112" s="495"/>
      <c r="G112" s="1031"/>
      <c r="H112" s="1031"/>
      <c r="I112" s="1031"/>
      <c r="J112" s="495"/>
      <c r="K112" s="495"/>
      <c r="L112" s="1032">
        <v>0</v>
      </c>
    </row>
    <row r="113" spans="2:12">
      <c r="B113" s="922"/>
      <c r="C113" s="331"/>
      <c r="D113" s="331"/>
      <c r="E113" s="423" t="str">
        <f>[1]COMM!$O$14</f>
        <v>RSDWH_Det</v>
      </c>
      <c r="F113" s="331"/>
      <c r="G113" s="1035"/>
      <c r="H113" s="1035"/>
      <c r="I113" s="1035"/>
      <c r="J113" s="331"/>
      <c r="K113" s="331"/>
      <c r="L113" s="1036">
        <f>AJ65*0.742731884673138</f>
        <v>1.3255956176612656E-2</v>
      </c>
    </row>
    <row r="114" spans="2:12">
      <c r="B114" s="921"/>
      <c r="C114" s="496"/>
      <c r="D114" s="495"/>
      <c r="E114" s="1033" t="str">
        <f>[1]COMM!$O$17</f>
        <v>RSDLT_Det</v>
      </c>
      <c r="F114" s="495"/>
      <c r="G114" s="1031"/>
      <c r="H114" s="1031"/>
      <c r="I114" s="1031"/>
      <c r="J114" s="495"/>
      <c r="K114" s="495"/>
      <c r="L114" s="1032">
        <f>AK65*0.375703674683678</f>
        <v>1.9617916456053579E-3</v>
      </c>
    </row>
    <row r="115" spans="2:12" ht="13.5" thickBot="1">
      <c r="B115" s="923"/>
      <c r="C115" s="924"/>
      <c r="D115" s="924"/>
      <c r="E115" s="1041" t="str">
        <f>[1]COMM!$O$20</f>
        <v>RSDPF_Det</v>
      </c>
      <c r="F115" s="924"/>
      <c r="G115" s="926"/>
      <c r="H115" s="926"/>
      <c r="I115" s="926"/>
      <c r="J115" s="924"/>
      <c r="K115" s="924"/>
      <c r="L115" s="1039">
        <f>AL65*0.568571740836304</f>
        <v>5.1352659953481268E-4</v>
      </c>
    </row>
    <row r="116" spans="2:12">
      <c r="B116" s="916" t="str">
        <f>_xlfn.TEXTJOIN(",",TRUE,IF(LEFT([1]Regions!$C$3,1)&lt;&gt;"*",[1]Regions!$C$3,""),IF(LEFT([1]Regions!$D$3,1)&lt;&gt;"*",[1]Regions!$D$3,""))</f>
        <v>IE,National</v>
      </c>
      <c r="C116" s="917" t="str">
        <f>P28</f>
        <v>R-BLD_Det_C</v>
      </c>
      <c r="D116" s="918" t="str">
        <f>Q28</f>
        <v>Residential Building Detached _ C</v>
      </c>
      <c r="E116" s="917" t="str">
        <f>COMM!O14</f>
        <v>RSDSH_Det-C</v>
      </c>
      <c r="F116" s="918" t="str">
        <f>[1]COMM!$O$23</f>
        <v>RSD_Det</v>
      </c>
      <c r="G116" s="920">
        <f>Z12/1000</f>
        <v>251.3189336137435</v>
      </c>
      <c r="H116" s="920">
        <f>G116*$Y$26</f>
        <v>209.42406738033247</v>
      </c>
      <c r="I116" s="920">
        <v>1</v>
      </c>
      <c r="J116" s="918">
        <v>100</v>
      </c>
      <c r="K116" s="918">
        <v>1</v>
      </c>
      <c r="L116" s="1029">
        <f>ABS(AI66)*0.853224702081462</f>
        <v>4.3300799885821681E-2</v>
      </c>
    </row>
    <row r="117" spans="2:12">
      <c r="B117" s="921"/>
      <c r="C117" s="496"/>
      <c r="D117" s="495"/>
      <c r="E117" s="1033" t="str">
        <f>[1]COMM!$O$11</f>
        <v>RSDSC_Det</v>
      </c>
      <c r="F117" s="495"/>
      <c r="G117" s="1031"/>
      <c r="H117" s="1031"/>
      <c r="I117" s="1031"/>
      <c r="J117" s="495"/>
      <c r="K117" s="495"/>
      <c r="L117" s="1032">
        <v>0</v>
      </c>
    </row>
    <row r="118" spans="2:12">
      <c r="B118" s="922"/>
      <c r="C118" s="331"/>
      <c r="D118" s="331"/>
      <c r="E118" s="423" t="str">
        <f>[1]COMM!$O$14</f>
        <v>RSDWH_Det</v>
      </c>
      <c r="F118" s="331"/>
      <c r="G118" s="1035"/>
      <c r="H118" s="1035"/>
      <c r="I118" s="1035"/>
      <c r="J118" s="331"/>
      <c r="K118" s="331"/>
      <c r="L118" s="1036">
        <f>AJ66*0.742731884673138</f>
        <v>1.4139525083172063E-2</v>
      </c>
    </row>
    <row r="119" spans="2:12">
      <c r="B119" s="921"/>
      <c r="C119" s="496"/>
      <c r="D119" s="495"/>
      <c r="E119" s="1033" t="str">
        <f>[1]COMM!$O$17</f>
        <v>RSDLT_Det</v>
      </c>
      <c r="F119" s="495"/>
      <c r="G119" s="1031"/>
      <c r="H119" s="1031"/>
      <c r="I119" s="1031"/>
      <c r="J119" s="495"/>
      <c r="K119" s="495"/>
      <c r="L119" s="1032">
        <f>AK66*0.375703674683678</f>
        <v>1.7035279711745406E-3</v>
      </c>
    </row>
    <row r="120" spans="2:12" ht="13.5" thickBot="1">
      <c r="B120" s="923"/>
      <c r="C120" s="924"/>
      <c r="D120" s="924"/>
      <c r="E120" s="1041" t="str">
        <f>[1]COMM!$O$20</f>
        <v>RSDPF_Det</v>
      </c>
      <c r="F120" s="924"/>
      <c r="G120" s="926"/>
      <c r="H120" s="926"/>
      <c r="I120" s="926"/>
      <c r="J120" s="924"/>
      <c r="K120" s="924"/>
      <c r="L120" s="1039">
        <f>AL66*0.568571740836304</f>
        <v>4.7564031426238504E-4</v>
      </c>
    </row>
    <row r="121" spans="2:12">
      <c r="B121" s="916" t="str">
        <f>_xlfn.TEXTJOIN(",",TRUE,IF(LEFT([1]Regions!$C$3,1)&lt;&gt;"*",[1]Regions!$C$3,""),IF(LEFT([1]Regions!$D$3,1)&lt;&gt;"*",[1]Regions!$D$3,""))</f>
        <v>IE,National</v>
      </c>
      <c r="C121" s="917" t="str">
        <f>P29</f>
        <v>R-BLD_Det_D</v>
      </c>
      <c r="D121" s="918" t="str">
        <f>Q29</f>
        <v>Residential Building Detached _ D</v>
      </c>
      <c r="E121" s="917" t="str">
        <f>COMM!O17</f>
        <v>RSDSH_Det-D</v>
      </c>
      <c r="F121" s="918" t="str">
        <f>[1]COMM!$O$23</f>
        <v>RSD_Det</v>
      </c>
      <c r="G121" s="920">
        <f>Z13/1000</f>
        <v>166.66779141279125</v>
      </c>
      <c r="H121" s="920">
        <f>G121*$Y$26</f>
        <v>138.88427058427897</v>
      </c>
      <c r="I121" s="920">
        <v>1</v>
      </c>
      <c r="J121" s="918">
        <v>100</v>
      </c>
      <c r="K121" s="918">
        <v>1</v>
      </c>
      <c r="L121" s="1029">
        <f>ABS(AI67)*0.853224702081462</f>
        <v>4.8901598340165373E-2</v>
      </c>
    </row>
    <row r="122" spans="2:12">
      <c r="B122" s="921"/>
      <c r="C122" s="496"/>
      <c r="D122" s="495"/>
      <c r="E122" s="1033" t="str">
        <f>[1]COMM!$O$11</f>
        <v>RSDSC_Det</v>
      </c>
      <c r="F122" s="495"/>
      <c r="G122" s="1031"/>
      <c r="H122" s="1031"/>
      <c r="I122" s="1031"/>
      <c r="J122" s="495"/>
      <c r="K122" s="495"/>
      <c r="L122" s="1032">
        <v>0</v>
      </c>
    </row>
    <row r="123" spans="2:12">
      <c r="B123" s="922"/>
      <c r="C123" s="331"/>
      <c r="D123" s="331"/>
      <c r="E123" s="423" t="str">
        <f>[1]COMM!$O$14</f>
        <v>RSDWH_Det</v>
      </c>
      <c r="F123" s="331"/>
      <c r="G123" s="1035"/>
      <c r="H123" s="1035"/>
      <c r="I123" s="1035"/>
      <c r="J123" s="331"/>
      <c r="K123" s="331"/>
      <c r="L123" s="1036">
        <f>AJ67*0.742731884673138</f>
        <v>1.4303829274544932E-2</v>
      </c>
    </row>
    <row r="124" spans="2:12">
      <c r="B124" s="921"/>
      <c r="C124" s="496"/>
      <c r="D124" s="495"/>
      <c r="E124" s="1033" t="str">
        <f>[1]COMM!$O$17</f>
        <v>RSDLT_Det</v>
      </c>
      <c r="F124" s="495"/>
      <c r="G124" s="1031"/>
      <c r="H124" s="1031"/>
      <c r="I124" s="1031"/>
      <c r="J124" s="495"/>
      <c r="K124" s="495"/>
      <c r="L124" s="1032">
        <f>AK67*0.375703674683678</f>
        <v>1.3931982012489457E-3</v>
      </c>
    </row>
    <row r="125" spans="2:12" ht="13.5" thickBot="1">
      <c r="B125" s="923"/>
      <c r="C125" s="924"/>
      <c r="D125" s="924"/>
      <c r="E125" s="1041" t="str">
        <f>[1]COMM!$O$20</f>
        <v>RSDPF_Det</v>
      </c>
      <c r="F125" s="924"/>
      <c r="G125" s="926"/>
      <c r="H125" s="926"/>
      <c r="I125" s="926"/>
      <c r="J125" s="924"/>
      <c r="K125" s="924"/>
      <c r="L125" s="1039">
        <f>AL67*0.568571740836304</f>
        <v>4.620421675097221E-4</v>
      </c>
    </row>
    <row r="126" spans="2:12">
      <c r="B126" s="916" t="str">
        <f>_xlfn.TEXTJOIN(",",TRUE,IF(LEFT([1]Regions!$C$3,1)&lt;&gt;"*",[1]Regions!$C$3,""),IF(LEFT([1]Regions!$D$3,1)&lt;&gt;"*",[1]Regions!$D$3,""))</f>
        <v>IE,National</v>
      </c>
      <c r="C126" s="917" t="str">
        <f>P30</f>
        <v>R-BLD_Det_E</v>
      </c>
      <c r="D126" s="918" t="str">
        <f>Q30</f>
        <v>Residential Building Detached _ E</v>
      </c>
      <c r="E126" s="917" t="str">
        <f>COMM!O20</f>
        <v>RSDSH_Det-E</v>
      </c>
      <c r="F126" s="918" t="str">
        <f>[1]COMM!$O$23</f>
        <v>RSD_Det</v>
      </c>
      <c r="G126" s="920">
        <f>Z14/1000</f>
        <v>81.396697989555506</v>
      </c>
      <c r="H126" s="920">
        <f>G126*$Y$26</f>
        <v>67.827868434696612</v>
      </c>
      <c r="I126" s="920">
        <v>1</v>
      </c>
      <c r="J126" s="918">
        <v>100</v>
      </c>
      <c r="K126" s="918">
        <v>1</v>
      </c>
      <c r="L126" s="1029">
        <f>ABS(AI68)*0.853224702081462</f>
        <v>6.0316400230437453E-2</v>
      </c>
    </row>
    <row r="127" spans="2:12">
      <c r="B127" s="921"/>
      <c r="C127" s="496"/>
      <c r="D127" s="495"/>
      <c r="E127" s="1033" t="str">
        <f>[1]COMM!$O$11</f>
        <v>RSDSC_Det</v>
      </c>
      <c r="F127" s="495"/>
      <c r="G127" s="1031"/>
      <c r="H127" s="1031"/>
      <c r="I127" s="1031"/>
      <c r="J127" s="495"/>
      <c r="K127" s="495"/>
      <c r="L127" s="1032">
        <v>0</v>
      </c>
    </row>
    <row r="128" spans="2:12">
      <c r="B128" s="922"/>
      <c r="C128" s="331"/>
      <c r="D128" s="331"/>
      <c r="E128" s="423" t="str">
        <f>[1]COMM!$O$14</f>
        <v>RSDWH_Det</v>
      </c>
      <c r="F128" s="331"/>
      <c r="G128" s="1035"/>
      <c r="H128" s="1035"/>
      <c r="I128" s="1035"/>
      <c r="J128" s="331"/>
      <c r="K128" s="331"/>
      <c r="L128" s="1036">
        <f>AJ68*0.742731884673138</f>
        <v>1.4351733209498384E-2</v>
      </c>
    </row>
    <row r="129" spans="2:12">
      <c r="B129" s="921"/>
      <c r="C129" s="496"/>
      <c r="D129" s="495"/>
      <c r="E129" s="1033" t="str">
        <f>[1]COMM!$O$17</f>
        <v>RSDLT_Det</v>
      </c>
      <c r="F129" s="495"/>
      <c r="G129" s="1031"/>
      <c r="H129" s="1031"/>
      <c r="I129" s="1031"/>
      <c r="J129" s="495"/>
      <c r="K129" s="495"/>
      <c r="L129" s="1032">
        <f>AK68*0.375703674683678</f>
        <v>1.2866536750593203E-3</v>
      </c>
    </row>
    <row r="130" spans="2:12" ht="13.5" thickBot="1">
      <c r="B130" s="923"/>
      <c r="C130" s="924"/>
      <c r="D130" s="924"/>
      <c r="E130" s="1041" t="str">
        <f>[1]COMM!$O$20</f>
        <v>RSDPF_Det</v>
      </c>
      <c r="F130" s="924"/>
      <c r="G130" s="926"/>
      <c r="H130" s="926"/>
      <c r="I130" s="926"/>
      <c r="J130" s="924"/>
      <c r="K130" s="924"/>
      <c r="L130" s="1039">
        <f>AL68*0.568571740836304</f>
        <v>4.317396430081587E-4</v>
      </c>
    </row>
    <row r="131" spans="2:12">
      <c r="B131" s="916" t="str">
        <f>_xlfn.TEXTJOIN(",",TRUE,IF(LEFT([1]Regions!$C$3,1)&lt;&gt;"*",[1]Regions!$C$3,""),IF(LEFT([1]Regions!$D$3,1)&lt;&gt;"*",[1]Regions!$D$3,""))</f>
        <v>IE,National</v>
      </c>
      <c r="C131" s="917" t="str">
        <f>P31</f>
        <v>R-BLD_Det_F</v>
      </c>
      <c r="D131" s="918" t="str">
        <f>Q31</f>
        <v>Residential Building Detached _ F</v>
      </c>
      <c r="E131" s="917" t="str">
        <f>COMM!O23</f>
        <v>RSDSH_Det-F</v>
      </c>
      <c r="F131" s="918" t="str">
        <f>[1]COMM!$O$23</f>
        <v>RSD_Det</v>
      </c>
      <c r="G131" s="920">
        <f>Z15/1000</f>
        <v>43.241005762967113</v>
      </c>
      <c r="H131" s="920">
        <f>G131*$Y$26</f>
        <v>36.032730102280496</v>
      </c>
      <c r="I131" s="920">
        <v>1</v>
      </c>
      <c r="J131" s="918">
        <v>100</v>
      </c>
      <c r="K131" s="918">
        <v>1</v>
      </c>
      <c r="L131" s="1029">
        <f>ABS(AI69)*0.853224702081462</f>
        <v>7.2534210143308783E-2</v>
      </c>
    </row>
    <row r="132" spans="2:12">
      <c r="B132" s="921"/>
      <c r="C132" s="496"/>
      <c r="D132" s="495"/>
      <c r="E132" s="1033" t="str">
        <f>[1]COMM!$O$11</f>
        <v>RSDSC_Det</v>
      </c>
      <c r="F132" s="495"/>
      <c r="G132" s="1031"/>
      <c r="H132" s="1031"/>
      <c r="I132" s="1031"/>
      <c r="J132" s="495"/>
      <c r="K132" s="495"/>
      <c r="L132" s="1032">
        <v>0</v>
      </c>
    </row>
    <row r="133" spans="2:12">
      <c r="B133" s="922"/>
      <c r="C133" s="331"/>
      <c r="D133" s="331"/>
      <c r="E133" s="423" t="str">
        <f>[1]COMM!$O$14</f>
        <v>RSDWH_Det</v>
      </c>
      <c r="F133" s="331"/>
      <c r="G133" s="1035"/>
      <c r="H133" s="1035"/>
      <c r="I133" s="1035"/>
      <c r="J133" s="331"/>
      <c r="K133" s="331"/>
      <c r="L133" s="1036">
        <f>AJ69*0.742731884673138</f>
        <v>1.4431449095148411E-2</v>
      </c>
    </row>
    <row r="134" spans="2:12">
      <c r="B134" s="921"/>
      <c r="C134" s="496"/>
      <c r="D134" s="495"/>
      <c r="E134" s="1033" t="str">
        <f>[1]COMM!$O$17</f>
        <v>RSDLT_Det</v>
      </c>
      <c r="F134" s="495"/>
      <c r="G134" s="1031"/>
      <c r="H134" s="1031"/>
      <c r="I134" s="1031"/>
      <c r="J134" s="495"/>
      <c r="K134" s="495"/>
      <c r="L134" s="1032">
        <f>AK69*0.375703674683678</f>
        <v>1.2249928868643262E-3</v>
      </c>
    </row>
    <row r="135" spans="2:12" ht="13.5" thickBot="1">
      <c r="B135" s="923"/>
      <c r="C135" s="924"/>
      <c r="D135" s="924"/>
      <c r="E135" s="1041" t="str">
        <f>[1]COMM!$O$20</f>
        <v>RSDPF_Det</v>
      </c>
      <c r="F135" s="924"/>
      <c r="G135" s="926"/>
      <c r="H135" s="926"/>
      <c r="I135" s="926"/>
      <c r="J135" s="924"/>
      <c r="K135" s="924"/>
      <c r="L135" s="1039">
        <f>AL69*0.568571740836304</f>
        <v>4.1119730191954164E-4</v>
      </c>
    </row>
    <row r="136" spans="2:12">
      <c r="B136" s="916" t="str">
        <f>_xlfn.TEXTJOIN(",",TRUE,IF(LEFT([1]Regions!$C$3,1)&lt;&gt;"*",[1]Regions!$C$3,""),IF(LEFT([1]Regions!$D$3,1)&lt;&gt;"*",[1]Regions!$D$3,""))</f>
        <v>IE,National</v>
      </c>
      <c r="C136" s="917" t="str">
        <f>P32</f>
        <v>R-BLD_Det_G</v>
      </c>
      <c r="D136" s="918" t="str">
        <f>Q32</f>
        <v>Residential Building Detached _ G</v>
      </c>
      <c r="E136" s="917" t="str">
        <f>COMM!O26</f>
        <v>RSDSH_Det-G</v>
      </c>
      <c r="F136" s="918" t="str">
        <f>[1]COMM!$O$23</f>
        <v>RSD_Det</v>
      </c>
      <c r="G136" s="920">
        <f>Z16/1000</f>
        <v>78.435533443104831</v>
      </c>
      <c r="H136" s="920">
        <f>G136*$Y$26</f>
        <v>65.360330018139265</v>
      </c>
      <c r="I136" s="920">
        <v>1</v>
      </c>
      <c r="J136" s="918">
        <v>100</v>
      </c>
      <c r="K136" s="918">
        <v>1</v>
      </c>
      <c r="L136" s="1029">
        <f>ABS(AI70)*0.853224702081462</f>
        <v>9.572100774137017E-2</v>
      </c>
    </row>
    <row r="137" spans="2:12">
      <c r="B137" s="921"/>
      <c r="C137" s="496"/>
      <c r="D137" s="495"/>
      <c r="E137" s="1033" t="str">
        <f>[1]COMM!$O$11</f>
        <v>RSDSC_Det</v>
      </c>
      <c r="F137" s="495"/>
      <c r="G137" s="1031"/>
      <c r="H137" s="1031"/>
      <c r="I137" s="1031"/>
      <c r="J137" s="495"/>
      <c r="K137" s="495"/>
      <c r="L137" s="1032">
        <v>0</v>
      </c>
    </row>
    <row r="138" spans="2:12">
      <c r="B138" s="922"/>
      <c r="C138" s="331"/>
      <c r="D138" s="331"/>
      <c r="E138" s="423" t="str">
        <f>[1]COMM!$O$14</f>
        <v>RSDWH_Det</v>
      </c>
      <c r="F138" s="331"/>
      <c r="G138" s="1035"/>
      <c r="H138" s="1035"/>
      <c r="I138" s="1035"/>
      <c r="J138" s="331"/>
      <c r="K138" s="331"/>
      <c r="L138" s="1036">
        <f>AJ70*0.742731884673138</f>
        <v>1.3140678240923184E-2</v>
      </c>
    </row>
    <row r="139" spans="2:12">
      <c r="B139" s="921"/>
      <c r="C139" s="496"/>
      <c r="D139" s="495"/>
      <c r="E139" s="1033" t="str">
        <f>[1]COMM!$O$17</f>
        <v>RSDLT_Det</v>
      </c>
      <c r="F139" s="495"/>
      <c r="G139" s="1031"/>
      <c r="H139" s="1031"/>
      <c r="I139" s="1031"/>
      <c r="J139" s="495"/>
      <c r="K139" s="495"/>
      <c r="L139" s="1032">
        <f>AK70*0.375703674683678</f>
        <v>1.0814863114877928E-3</v>
      </c>
    </row>
    <row r="140" spans="2:12" ht="13.5" thickBot="1">
      <c r="B140" s="923"/>
      <c r="C140" s="924"/>
      <c r="D140" s="924"/>
      <c r="E140" s="1041" t="str">
        <f>[1]COMM!$O$20</f>
        <v>RSDPF_Det</v>
      </c>
      <c r="F140" s="924"/>
      <c r="G140" s="926"/>
      <c r="H140" s="926"/>
      <c r="I140" s="926"/>
      <c r="J140" s="924"/>
      <c r="K140" s="924"/>
      <c r="L140" s="1039">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8"/>
      <c r="H2" s="558"/>
      <c r="I2" s="558"/>
      <c r="J2" s="558"/>
      <c r="K2" s="558"/>
      <c r="L2" s="558"/>
      <c r="M2" s="558"/>
      <c r="N2" s="558"/>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8" t="str">
        <f>_xlfn.TEXTJOIN(",",TRUE,IF(LEFT(Regions!$C$3,1)&lt;&gt;"*",Regions!$C$3,""),IF(LEFT(Regions!$D$3,1)&lt;&gt;"*",Regions!$D$3,""))</f>
        <v>IE,National</v>
      </c>
      <c r="C5" s="876" t="str">
        <f>R5</f>
        <v>R-RSDRF_X0</v>
      </c>
      <c r="D5" s="876" t="str">
        <f>S5</f>
        <v>Residential Refrigeration Demand Technology</v>
      </c>
      <c r="E5" s="876" t="str">
        <f>COMM!$E$24</f>
        <v>RSDELC</v>
      </c>
      <c r="F5" s="876" t="str">
        <f>COMM!E32</f>
        <v>RSDRF</v>
      </c>
      <c r="G5" s="877">
        <f>DwellingStocks!$L$28/1000*RSD_Balance!U38</f>
        <v>1735.4633349999997</v>
      </c>
      <c r="H5" s="876">
        <v>0.8</v>
      </c>
      <c r="I5" s="879">
        <f>L5/G5/K5</f>
        <v>0.11719939117199392</v>
      </c>
      <c r="J5" s="880">
        <v>10</v>
      </c>
      <c r="K5" s="435">
        <f>31.536*(N5/1000)</f>
        <v>5.6764799999999994E-3</v>
      </c>
      <c r="L5" s="877">
        <f t="shared" ref="L5:L13" si="0">M5*H5</f>
        <v>1.1545690475087997</v>
      </c>
      <c r="M5" s="881">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2" t="str">
        <f>_xlfn.TEXTJOIN(",",TRUE,IF(LEFT(Regions!$C$3,1)&lt;&gt;"*",Regions!$C$3,""),IF(LEFT(Regions!$D$3,1)&lt;&gt;"*",Regions!$D$3,""))</f>
        <v>IE,National</v>
      </c>
      <c r="C6" s="883" t="str">
        <f>R6</f>
        <v>R-RSDCK_ELC_X0</v>
      </c>
      <c r="D6" s="884" t="str">
        <f>S6</f>
        <v>Residential Cooking Demand Electrical Technology</v>
      </c>
      <c r="E6" s="884" t="str">
        <f>COMM!E24</f>
        <v>RSDELC</v>
      </c>
      <c r="F6" s="883" t="str">
        <f>COMM!$E$33</f>
        <v>RSDCK</v>
      </c>
      <c r="G6" s="885">
        <f>DwellingStocks!$L$28/1000*R20</f>
        <v>1317.0084156647997</v>
      </c>
      <c r="H6" s="884">
        <v>0.74</v>
      </c>
      <c r="I6" s="886">
        <f>(SUM(L6))/G6/K6</f>
        <v>1.218530451092276E-2</v>
      </c>
      <c r="J6" s="884">
        <v>15</v>
      </c>
      <c r="K6" s="883">
        <f t="shared" ref="K6:K13" si="1">31.536*(N6/1000)</f>
        <v>9.4608000000000012E-2</v>
      </c>
      <c r="L6" s="883">
        <f>M6*H6</f>
        <v>1.5182832416441119</v>
      </c>
      <c r="M6" s="887">
        <f>RSD_Balance!R26</f>
        <v>2.051734110329881</v>
      </c>
      <c r="N6" s="874">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69" t="s">
        <v>13</v>
      </c>
      <c r="U6" s="439" t="s">
        <v>275</v>
      </c>
      <c r="V6" s="869"/>
      <c r="W6" s="439"/>
    </row>
    <row r="7" spans="2:23" ht="15">
      <c r="B7" s="878" t="str">
        <f>_xlfn.TEXTJOIN(",",TRUE,IF(LEFT(Regions!$C$3,1)&lt;&gt;"*",Regions!$C$3,""),IF(LEFT(Regions!$D$3,1)&lt;&gt;"*",Regions!$D$3,""))</f>
        <v>IE,National</v>
      </c>
      <c r="C7" s="876" t="str">
        <f t="shared" ref="C7:C8" si="2">R7</f>
        <v>R-RSDCK_GAS_X0</v>
      </c>
      <c r="D7" s="876" t="str">
        <f t="shared" ref="D7:D8" si="3">S7</f>
        <v>Residential Cooking Demand Gas Technology</v>
      </c>
      <c r="E7" s="876" t="str">
        <f>COMM!E14</f>
        <v>RSDGAS</v>
      </c>
      <c r="F7" s="876" t="str">
        <f>COMM!$E$33</f>
        <v>RSDCK</v>
      </c>
      <c r="G7" s="877">
        <f>DwellingStocks!$L$28/1000*R21</f>
        <v>395.15979498949497</v>
      </c>
      <c r="H7" s="876">
        <v>0.68</v>
      </c>
      <c r="I7" s="879">
        <f>(SUM(L7))/G7/K7</f>
        <v>1.0444562322095247E-2</v>
      </c>
      <c r="J7" s="880">
        <v>15</v>
      </c>
      <c r="K7" s="889">
        <f t="shared" si="1"/>
        <v>0.110376</v>
      </c>
      <c r="L7" s="877">
        <f>M7*H7</f>
        <v>0.45555167559079646</v>
      </c>
      <c r="M7" s="881">
        <f>RSD_Balance!R17</f>
        <v>0.66992893469234771</v>
      </c>
      <c r="N7" s="875">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2" t="str">
        <f>_xlfn.TEXTJOIN(",",TRUE,IF(LEFT(Regions!$C$3,1)&lt;&gt;"*",Regions!$C$3,""),IF(LEFT(Regions!$D$3,1)&lt;&gt;"*",Regions!$D$3,""))</f>
        <v>IE,National</v>
      </c>
      <c r="C8" s="883" t="str">
        <f t="shared" si="2"/>
        <v>R-RSDCK_LPG_X0</v>
      </c>
      <c r="D8" s="884" t="str">
        <f t="shared" si="3"/>
        <v>Residential Cooking Demand LPG Technology</v>
      </c>
      <c r="E8" s="884" t="str">
        <f>COMM!E8</f>
        <v>RSDLPG</v>
      </c>
      <c r="F8" s="883" t="str">
        <f>COMM!$E$33</f>
        <v>RSDCK</v>
      </c>
      <c r="G8" s="885">
        <f>DwellingStocks!$L$28/1000*R22</f>
        <v>23.29475816294131</v>
      </c>
      <c r="H8" s="884">
        <v>0.68</v>
      </c>
      <c r="I8" s="886">
        <f t="shared" ref="I8" si="4">(SUM(L8))/G8/K8</f>
        <v>1.044454804998746E-2</v>
      </c>
      <c r="J8" s="884">
        <v>15</v>
      </c>
      <c r="K8" s="883">
        <f t="shared" si="1"/>
        <v>0.110376</v>
      </c>
      <c r="L8" s="883">
        <f>M8*H8</f>
        <v>2.6854836315100172E-2</v>
      </c>
      <c r="M8" s="887">
        <f>RSD_Balance!R11</f>
        <v>3.9492406345735545E-2</v>
      </c>
      <c r="N8" s="874">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69" t="s">
        <v>13</v>
      </c>
      <c r="U8" s="439" t="s">
        <v>275</v>
      </c>
      <c r="V8" s="869"/>
      <c r="W8" s="439"/>
    </row>
    <row r="9" spans="2:23" s="268" customFormat="1" ht="15">
      <c r="B9" s="878" t="str">
        <f>_xlfn.TEXTJOIN(",",TRUE,IF(LEFT(Regions!$C$3,1)&lt;&gt;"*",Regions!$C$3,""),IF(LEFT(Regions!$D$3,1)&lt;&gt;"*",Regions!$D$3,""))</f>
        <v>IE,National</v>
      </c>
      <c r="C9" s="876" t="str">
        <f t="shared" ref="C9:D13" si="5">R9</f>
        <v>R-RSDCW_X0</v>
      </c>
      <c r="D9" s="876" t="str">
        <f t="shared" si="5"/>
        <v>Residential Cloth Washing Demand Technology</v>
      </c>
      <c r="E9" s="876" t="str">
        <f>COMM!$E$24</f>
        <v>RSDELC</v>
      </c>
      <c r="F9" s="876" t="str">
        <f>COMM!E34</f>
        <v>RSDCW</v>
      </c>
      <c r="G9" s="877">
        <f>DwellingStocks!$L$28/1000*RSD_Balance!U36</f>
        <v>1692.0767516249996</v>
      </c>
      <c r="H9" s="876">
        <v>0.7</v>
      </c>
      <c r="I9" s="879">
        <f>L9/G9/K9</f>
        <v>6.7195931921959322E-3</v>
      </c>
      <c r="J9" s="880">
        <v>10</v>
      </c>
      <c r="K9" s="889">
        <f t="shared" si="1"/>
        <v>6.9379200000000002E-2</v>
      </c>
      <c r="L9" s="877">
        <f t="shared" si="0"/>
        <v>0.7888461816075748</v>
      </c>
      <c r="M9" s="881">
        <f>RSD_Balance!T29</f>
        <v>1.1269231165822498</v>
      </c>
      <c r="N9" s="875">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2" t="str">
        <f>_xlfn.TEXTJOIN(",",TRUE,IF(LEFT(Regions!$C$3,1)&lt;&gt;"*",Regions!$C$3,""),IF(LEFT(Regions!$D$3,1)&lt;&gt;"*",Regions!$D$3,""))</f>
        <v>IE,National</v>
      </c>
      <c r="C10" s="883" t="str">
        <f t="shared" si="5"/>
        <v>R-RSDCD_X0</v>
      </c>
      <c r="D10" s="884" t="str">
        <f t="shared" si="5"/>
        <v>Residential Cloth Drying Demand Technology</v>
      </c>
      <c r="E10" s="884" t="str">
        <f>COMM!$E$24</f>
        <v>RSDELC</v>
      </c>
      <c r="F10" s="883" t="str">
        <f>COMM!E35</f>
        <v>RSDCD</v>
      </c>
      <c r="G10" s="885">
        <f>DwellingStocks!$L$28/1000*RSD_Balance!U37</f>
        <v>1124.5802410799997</v>
      </c>
      <c r="H10" s="883">
        <v>0.6</v>
      </c>
      <c r="I10" s="886">
        <f>L10/G10/K10</f>
        <v>1.1863013698630138E-2</v>
      </c>
      <c r="J10" s="884">
        <v>10</v>
      </c>
      <c r="K10" s="883">
        <f t="shared" si="1"/>
        <v>7.8840000000000007E-2</v>
      </c>
      <c r="L10" s="883">
        <f t="shared" si="0"/>
        <v>1.0517974078773022</v>
      </c>
      <c r="M10" s="887">
        <f>RSD_Balance!U26</f>
        <v>1.7529956797955037</v>
      </c>
      <c r="N10" s="874">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69" t="s">
        <v>13</v>
      </c>
      <c r="U10" s="439" t="s">
        <v>275</v>
      </c>
      <c r="V10" s="869"/>
      <c r="W10" s="439"/>
    </row>
    <row r="11" spans="2:23" ht="15">
      <c r="B11" s="878" t="str">
        <f>_xlfn.TEXTJOIN(",",TRUE,IF(LEFT(Regions!$C$3,1)&lt;&gt;"*",Regions!$C$3,""),IF(LEFT(Regions!$D$3,1)&lt;&gt;"*",Regions!$D$3,""))</f>
        <v>IE,National</v>
      </c>
      <c r="C11" s="876" t="str">
        <f t="shared" si="5"/>
        <v>R-RSDDW_X0</v>
      </c>
      <c r="D11" s="876" t="str">
        <f t="shared" si="5"/>
        <v>Residential Dish Washing Demand Technology</v>
      </c>
      <c r="E11" s="876" t="str">
        <f>COMM!$E$24</f>
        <v>RSDELC</v>
      </c>
      <c r="F11" s="876" t="str">
        <f>COMM!E36</f>
        <v>RSDDW</v>
      </c>
      <c r="G11" s="877">
        <f>DwellingStocks!$L$28/1000*RSD_Balance!U39</f>
        <v>1122.8447777449999</v>
      </c>
      <c r="H11" s="876">
        <v>0.7</v>
      </c>
      <c r="I11" s="879">
        <f>L11/G11/K11</f>
        <v>1.0896637608966375E-2</v>
      </c>
      <c r="J11" s="880">
        <v>10</v>
      </c>
      <c r="K11" s="889">
        <f t="shared" si="1"/>
        <v>6.9379200000000002E-2</v>
      </c>
      <c r="L11" s="877">
        <f t="shared" si="0"/>
        <v>0.84887065197521983</v>
      </c>
      <c r="M11" s="881">
        <f>RSD_Balance!V29</f>
        <v>1.2126723599645999</v>
      </c>
      <c r="N11" s="875">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2" t="str">
        <f>_xlfn.TEXTJOIN(",",TRUE,IF(LEFT(Regions!$C$3,1)&lt;&gt;"*",Regions!$C$3,""),IF(LEFT(Regions!$D$3,1)&lt;&gt;"*",Regions!$D$3,""))</f>
        <v>IE,National</v>
      </c>
      <c r="C12" s="883" t="str">
        <f t="shared" si="5"/>
        <v>R-RSDOE_X0</v>
      </c>
      <c r="D12" s="884" t="str">
        <f t="shared" si="5"/>
        <v>Residential ELC Appliances Demand Technology</v>
      </c>
      <c r="E12" s="884" t="str">
        <f>COMM!$E$24</f>
        <v>RSDELC</v>
      </c>
      <c r="F12" s="883" t="str">
        <f>COMM!E37</f>
        <v>RSDOE</v>
      </c>
      <c r="G12" s="885">
        <f>DwellingStocks!$L$28/1000*1</f>
        <v>1735.4633349999997</v>
      </c>
      <c r="H12" s="883">
        <v>0.85</v>
      </c>
      <c r="I12" s="886">
        <f>L12/G12/K12</f>
        <v>0.9356029786653226</v>
      </c>
      <c r="J12" s="884">
        <v>10</v>
      </c>
      <c r="K12" s="883">
        <f t="shared" si="1"/>
        <v>5.6764799999999994E-3</v>
      </c>
      <c r="L12" s="883">
        <f t="shared" si="0"/>
        <v>9.2169270601309012</v>
      </c>
      <c r="M12" s="887">
        <f>RSD_Balance!W26</f>
        <v>10.843443600154002</v>
      </c>
      <c r="N12" s="874">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69" t="s">
        <v>13</v>
      </c>
      <c r="U12" s="439" t="s">
        <v>275</v>
      </c>
      <c r="V12" s="869"/>
      <c r="W12" s="439"/>
    </row>
    <row r="13" spans="2:23" ht="15">
      <c r="B13" s="878" t="str">
        <f>_xlfn.TEXTJOIN(",",TRUE,IF(LEFT(Regions!$C$3,1)&lt;&gt;"*",Regions!$C$3,""),IF(LEFT(Regions!$D$3,1)&lt;&gt;"*",Regions!$D$3,""))</f>
        <v>IE,National</v>
      </c>
      <c r="C13" s="876" t="str">
        <f t="shared" si="5"/>
        <v>R-RSDOA_X0</v>
      </c>
      <c r="D13" s="876" t="str">
        <f t="shared" si="5"/>
        <v>Residential Other Applications Demand Technology</v>
      </c>
      <c r="E13" s="876" t="str">
        <f>COMM!$E$24</f>
        <v>RSDELC</v>
      </c>
      <c r="F13" s="876" t="str">
        <f>COMM!E38</f>
        <v>RSDOA</v>
      </c>
      <c r="G13" s="877">
        <f>DwellingStocks!$L$28/1000*1</f>
        <v>1735.4633349999997</v>
      </c>
      <c r="H13" s="876">
        <v>0.85</v>
      </c>
      <c r="I13" s="879">
        <f>L13/G13/K13</f>
        <v>0</v>
      </c>
      <c r="J13" s="880">
        <v>10</v>
      </c>
      <c r="K13" s="889">
        <f t="shared" si="1"/>
        <v>5.6764799999999994E-3</v>
      </c>
      <c r="L13" s="877">
        <f t="shared" si="0"/>
        <v>0</v>
      </c>
      <c r="M13" s="881">
        <v>0</v>
      </c>
      <c r="N13" s="875">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8"/>
      <c r="Q14" s="888"/>
      <c r="R14" s="888"/>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22" t="s">
        <v>618</v>
      </c>
      <c r="C17" s="1122"/>
      <c r="D17" s="1122"/>
      <c r="E17" s="1122"/>
      <c r="F17" s="1122"/>
      <c r="G17" s="112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34" t="s">
        <v>826</v>
      </c>
      <c r="R19" s="1135"/>
    </row>
    <row r="20" spans="2:18" ht="15">
      <c r="B20" s="295" t="s">
        <v>766</v>
      </c>
      <c r="C20" s="295" t="s">
        <v>232</v>
      </c>
      <c r="D20" s="295" t="s">
        <v>278</v>
      </c>
      <c r="E20" s="295" t="s">
        <v>279</v>
      </c>
      <c r="F20" s="404">
        <v>2018</v>
      </c>
      <c r="G20" s="295" t="s">
        <v>280</v>
      </c>
      <c r="L20" s="466"/>
      <c r="M20" s="466"/>
      <c r="O20" s="406"/>
      <c r="P20" s="406"/>
      <c r="Q20" s="985" t="s">
        <v>865</v>
      </c>
      <c r="R20" s="989">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6" t="s">
        <v>852</v>
      </c>
      <c r="R21" s="988">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7" t="s">
        <v>776</v>
      </c>
      <c r="R22" s="990">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tabSelected="1" topLeftCell="L1" zoomScale="70" zoomScaleNormal="70" workbookViewId="0">
      <selection activeCell="AB33" sqref="AB33"/>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20.570312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9" ht="21">
      <c r="A1" s="70" t="s">
        <v>283</v>
      </c>
      <c r="B1" s="49"/>
      <c r="C1" s="49"/>
      <c r="D1" s="49"/>
      <c r="E1" s="49"/>
      <c r="F1" s="49"/>
      <c r="G1" s="49"/>
      <c r="H1" s="49"/>
      <c r="I1" s="49"/>
      <c r="J1" s="49"/>
      <c r="K1" s="49"/>
    </row>
    <row r="2" spans="1:29" ht="15.75" thickBot="1">
      <c r="N2" s="297"/>
    </row>
    <row r="3" spans="1:29" ht="15.75" thickBot="1">
      <c r="B3" s="227" t="s">
        <v>284</v>
      </c>
      <c r="C3" s="228" t="s">
        <v>42</v>
      </c>
      <c r="D3" s="228" t="s">
        <v>44</v>
      </c>
      <c r="E3" s="228" t="s">
        <v>46</v>
      </c>
      <c r="F3" s="229" t="s">
        <v>285</v>
      </c>
      <c r="N3" s="297"/>
      <c r="Y3" s="1151" t="s">
        <v>288</v>
      </c>
      <c r="Z3" s="1151" t="s">
        <v>361</v>
      </c>
      <c r="AA3" s="1151" t="s">
        <v>926</v>
      </c>
      <c r="AB3" s="1151" t="s">
        <v>927</v>
      </c>
      <c r="AC3" s="466"/>
    </row>
    <row r="4" spans="1:29" ht="15">
      <c r="B4" s="240" t="s">
        <v>48</v>
      </c>
      <c r="C4" s="153">
        <v>9653</v>
      </c>
      <c r="D4" s="298">
        <v>42710</v>
      </c>
      <c r="E4" s="153">
        <v>14320</v>
      </c>
      <c r="F4" s="241">
        <f>SUM(Table14[[#This Row],[Apartment]:[Detached]])</f>
        <v>66683</v>
      </c>
      <c r="N4" s="297"/>
      <c r="Y4" s="1152" t="s">
        <v>48</v>
      </c>
      <c r="Z4" s="1152" t="s">
        <v>297</v>
      </c>
      <c r="AA4" s="1152">
        <v>542.8910000000003</v>
      </c>
      <c r="AB4" s="1152">
        <v>224</v>
      </c>
      <c r="AC4" s="466"/>
    </row>
    <row r="5" spans="1:29" ht="15">
      <c r="B5" s="242" t="s">
        <v>50</v>
      </c>
      <c r="C5" s="153">
        <v>3864</v>
      </c>
      <c r="D5" s="298">
        <v>4354</v>
      </c>
      <c r="E5" s="153">
        <v>4186</v>
      </c>
      <c r="F5" s="243">
        <f>SUM(Table14[[#This Row],[Apartment]:[Detached]])</f>
        <v>12404</v>
      </c>
      <c r="Y5" s="1153"/>
      <c r="Z5" s="1153" t="s">
        <v>44</v>
      </c>
      <c r="AA5" s="1153">
        <v>28916.856000000025</v>
      </c>
      <c r="AB5" s="1153">
        <v>6467</v>
      </c>
      <c r="AC5" s="466"/>
    </row>
    <row r="6" spans="1:29" ht="15">
      <c r="B6" s="242" t="s">
        <v>52</v>
      </c>
      <c r="C6" s="153">
        <v>10156</v>
      </c>
      <c r="D6" s="298">
        <v>9145</v>
      </c>
      <c r="E6" s="153">
        <v>8345</v>
      </c>
      <c r="F6" s="243">
        <f>SUM(Table14[[#This Row],[Apartment]:[Detached]])</f>
        <v>27646</v>
      </c>
      <c r="Y6" s="1152"/>
      <c r="Z6" s="1152" t="s">
        <v>46</v>
      </c>
      <c r="AA6" s="1152">
        <v>12185.145000000006</v>
      </c>
      <c r="AB6" s="1152">
        <v>2470</v>
      </c>
      <c r="AC6" s="466"/>
    </row>
    <row r="7" spans="1:29" ht="15">
      <c r="B7" s="242" t="s">
        <v>54</v>
      </c>
      <c r="C7" s="153">
        <v>15567</v>
      </c>
      <c r="D7" s="298">
        <v>29841</v>
      </c>
      <c r="E7" s="153">
        <v>21964</v>
      </c>
      <c r="F7" s="243">
        <f>SUM(Table14[[#This Row],[Apartment]:[Detached]])</f>
        <v>67372</v>
      </c>
      <c r="Y7" s="1153" t="s">
        <v>50</v>
      </c>
      <c r="Z7" s="1153" t="s">
        <v>297</v>
      </c>
      <c r="AA7" s="1153">
        <v>640.02699999999982</v>
      </c>
      <c r="AB7" s="1153">
        <v>297</v>
      </c>
      <c r="AC7" s="466"/>
    </row>
    <row r="8" spans="1:29" ht="15">
      <c r="B8" s="242" t="s">
        <v>56</v>
      </c>
      <c r="C8" s="153">
        <v>52934</v>
      </c>
      <c r="D8" s="298">
        <v>171938</v>
      </c>
      <c r="E8" s="153">
        <v>102168</v>
      </c>
      <c r="F8" s="243">
        <f>SUM(Table14[[#This Row],[Apartment]:[Detached]])</f>
        <v>327040</v>
      </c>
      <c r="Y8" s="1152"/>
      <c r="Z8" s="1152" t="s">
        <v>44</v>
      </c>
      <c r="AA8" s="1152">
        <v>8343.1630000000023</v>
      </c>
      <c r="AB8" s="1152">
        <v>2181</v>
      </c>
      <c r="AC8" s="466"/>
    </row>
    <row r="9" spans="1:29" ht="15">
      <c r="B9" s="242" t="s">
        <v>58</v>
      </c>
      <c r="C9" s="153">
        <v>37122</v>
      </c>
      <c r="D9" s="298">
        <v>101025</v>
      </c>
      <c r="E9" s="153">
        <v>63942</v>
      </c>
      <c r="F9" s="243">
        <f>SUM(Table14[[#This Row],[Apartment]:[Detached]])</f>
        <v>202089</v>
      </c>
      <c r="Y9" s="1153"/>
      <c r="Z9" s="1153" t="s">
        <v>46</v>
      </c>
      <c r="AA9" s="1153">
        <v>7908.4610000000011</v>
      </c>
      <c r="AB9" s="1153">
        <v>1724</v>
      </c>
      <c r="AC9" s="466"/>
    </row>
    <row r="10" spans="1:29" ht="15">
      <c r="B10" s="242" t="s">
        <v>60</v>
      </c>
      <c r="C10" s="153">
        <v>19084</v>
      </c>
      <c r="D10" s="298">
        <v>49573</v>
      </c>
      <c r="E10" s="153">
        <v>28805</v>
      </c>
      <c r="F10" s="243">
        <f>SUM(Table14[[#This Row],[Apartment]:[Detached]])</f>
        <v>97462</v>
      </c>
      <c r="Y10" s="1152" t="s">
        <v>52</v>
      </c>
      <c r="Z10" s="1152" t="s">
        <v>297</v>
      </c>
      <c r="AA10" s="1152">
        <v>563.12200000000007</v>
      </c>
      <c r="AB10" s="1152">
        <v>228</v>
      </c>
      <c r="AC10" s="466"/>
    </row>
    <row r="11" spans="1:29" ht="15">
      <c r="B11" s="242" t="s">
        <v>62</v>
      </c>
      <c r="C11" s="153">
        <v>6931</v>
      </c>
      <c r="D11" s="153">
        <v>22580</v>
      </c>
      <c r="E11" s="153">
        <v>14352</v>
      </c>
      <c r="F11" s="243">
        <f>SUM(Table14[[#This Row],[Apartment]:[Detached]])</f>
        <v>43863</v>
      </c>
      <c r="Y11" s="1153"/>
      <c r="Z11" s="1153" t="s">
        <v>44</v>
      </c>
      <c r="AA11" s="1153">
        <v>4943.5540000000019</v>
      </c>
      <c r="AB11" s="1153">
        <v>1354</v>
      </c>
      <c r="AC11" s="466"/>
    </row>
    <row r="12" spans="1:29" ht="15.75" thickBot="1">
      <c r="B12" s="242" t="s">
        <v>64</v>
      </c>
      <c r="C12" s="153">
        <v>10519</v>
      </c>
      <c r="D12" s="153">
        <v>24771</v>
      </c>
      <c r="E12" s="153">
        <v>26199</v>
      </c>
      <c r="F12" s="243">
        <f>SUM(Table14[[#This Row],[Apartment]:[Detached]])</f>
        <v>61489</v>
      </c>
      <c r="Y12" s="1152"/>
      <c r="Z12" s="1152" t="s">
        <v>46</v>
      </c>
      <c r="AA12" s="1152">
        <v>11986.291000000001</v>
      </c>
      <c r="AB12" s="1152">
        <v>2549</v>
      </c>
      <c r="AC12" s="466"/>
    </row>
    <row r="13" spans="1:29" ht="15.75" thickBot="1">
      <c r="B13" s="254" t="s">
        <v>218</v>
      </c>
      <c r="C13" s="255">
        <f>SUM(C4:C12)</f>
        <v>165830</v>
      </c>
      <c r="D13" s="256">
        <f>SUM(D4:D12)</f>
        <v>455937</v>
      </c>
      <c r="E13" s="256">
        <f>SUM(E4:E12)</f>
        <v>284281</v>
      </c>
      <c r="F13" s="253">
        <f>SUM(C13:E13)</f>
        <v>906048</v>
      </c>
      <c r="Y13" s="1153" t="s">
        <v>54</v>
      </c>
      <c r="Z13" s="1153" t="s">
        <v>297</v>
      </c>
      <c r="AA13" s="1153">
        <v>414.33799999999997</v>
      </c>
      <c r="AB13" s="1153">
        <v>118</v>
      </c>
      <c r="AC13" s="466"/>
    </row>
    <row r="14" spans="1:29">
      <c r="Y14" s="1152"/>
      <c r="Z14" s="1152" t="s">
        <v>44</v>
      </c>
      <c r="AA14" s="1152">
        <v>5456.0730000000049</v>
      </c>
      <c r="AB14" s="1152">
        <v>1457</v>
      </c>
      <c r="AC14" s="466"/>
    </row>
    <row r="15" spans="1:29" ht="15">
      <c r="E15" s="297" t="s">
        <v>286</v>
      </c>
      <c r="Y15" s="1153"/>
      <c r="Z15" s="1153" t="s">
        <v>46</v>
      </c>
      <c r="AA15" s="1153">
        <v>17784.11</v>
      </c>
      <c r="AB15" s="1153">
        <v>3768</v>
      </c>
      <c r="AC15" s="466"/>
    </row>
    <row r="16" spans="1:29" ht="21.75" thickBot="1">
      <c r="Q16" s="1123" t="s">
        <v>641</v>
      </c>
      <c r="R16" s="1123"/>
      <c r="S16" s="1123"/>
      <c r="T16" s="1123" t="s">
        <v>642</v>
      </c>
      <c r="U16" s="1123"/>
      <c r="V16" s="1123"/>
      <c r="Y16" s="1152" t="s">
        <v>56</v>
      </c>
      <c r="Z16" s="1152" t="s">
        <v>297</v>
      </c>
      <c r="AA16" s="1152">
        <v>567.74099999999999</v>
      </c>
      <c r="AB16" s="1152">
        <v>137</v>
      </c>
      <c r="AC16" s="466"/>
    </row>
    <row r="17" spans="1:31" ht="21.75" thickBot="1">
      <c r="A17" s="33"/>
      <c r="B17" s="33"/>
      <c r="C17" s="33"/>
      <c r="D17" s="33"/>
      <c r="E17" s="33"/>
      <c r="F17" s="33"/>
      <c r="H17" s="1123" t="s">
        <v>572</v>
      </c>
      <c r="I17" s="1123"/>
      <c r="J17" s="1123"/>
      <c r="K17" s="1123"/>
      <c r="L17" s="1123"/>
      <c r="Q17" s="258" t="s">
        <v>42</v>
      </c>
      <c r="R17" s="258" t="s">
        <v>44</v>
      </c>
      <c r="S17" s="258" t="s">
        <v>46</v>
      </c>
      <c r="T17" s="258" t="s">
        <v>42</v>
      </c>
      <c r="U17" s="258" t="s">
        <v>44</v>
      </c>
      <c r="V17" s="258" t="s">
        <v>46</v>
      </c>
      <c r="Y17" s="1153"/>
      <c r="Z17" s="1153" t="s">
        <v>44</v>
      </c>
      <c r="AA17" s="1153">
        <v>12032.288000000002</v>
      </c>
      <c r="AB17" s="1153">
        <v>3046</v>
      </c>
      <c r="AC17" s="466"/>
    </row>
    <row r="18" spans="1:31"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c r="Y18" s="1152"/>
      <c r="Z18" s="1152" t="s">
        <v>46</v>
      </c>
      <c r="AA18" s="1152">
        <v>32485.54299999994</v>
      </c>
      <c r="AB18" s="1152">
        <v>7025</v>
      </c>
      <c r="AC18" s="466"/>
    </row>
    <row r="19" spans="1:31"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c r="Y19" s="1153" t="s">
        <v>58</v>
      </c>
      <c r="Z19" s="1153" t="s">
        <v>297</v>
      </c>
      <c r="AA19" s="1153">
        <v>217.03099999999998</v>
      </c>
      <c r="AB19" s="1153">
        <v>59</v>
      </c>
      <c r="AC19" s="466"/>
    </row>
    <row r="20" spans="1:31"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c r="Y20" s="1152"/>
      <c r="Z20" s="1152" t="s">
        <v>44</v>
      </c>
      <c r="AA20" s="1152">
        <v>4728.6260000000038</v>
      </c>
      <c r="AB20" s="1152">
        <v>1179</v>
      </c>
      <c r="AC20" s="466"/>
    </row>
    <row r="21" spans="1:31"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c r="Y21" s="1153"/>
      <c r="Z21" s="1153" t="s">
        <v>46</v>
      </c>
      <c r="AA21" s="1153">
        <v>11250.568000000007</v>
      </c>
      <c r="AB21" s="1153">
        <v>2572</v>
      </c>
      <c r="AC21" s="466"/>
    </row>
    <row r="22" spans="1:31"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c r="Y22" s="1152" t="s">
        <v>60</v>
      </c>
      <c r="Z22" s="1152" t="s">
        <v>297</v>
      </c>
      <c r="AA22" s="1152">
        <v>93.331999999999994</v>
      </c>
      <c r="AB22" s="1152">
        <v>43</v>
      </c>
      <c r="AC22" s="466"/>
    </row>
    <row r="23" spans="1:31"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c r="Y23" s="1153"/>
      <c r="Z23" s="1153" t="s">
        <v>44</v>
      </c>
      <c r="AA23" s="1153">
        <v>1512.0119999999995</v>
      </c>
      <c r="AB23" s="1153">
        <v>390</v>
      </c>
      <c r="AC23" s="466"/>
    </row>
    <row r="24" spans="1:31"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c r="Y24" s="1152"/>
      <c r="Z24" s="1152" t="s">
        <v>46</v>
      </c>
      <c r="AA24" s="1152">
        <v>3675.9540000000006</v>
      </c>
      <c r="AB24" s="1152">
        <v>891</v>
      </c>
      <c r="AC24" s="466"/>
    </row>
    <row r="25" spans="1:31"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c r="Y25" s="1153" t="s">
        <v>62</v>
      </c>
      <c r="Z25" s="1153" t="s">
        <v>297</v>
      </c>
      <c r="AA25" s="1153">
        <v>27.580000000000005</v>
      </c>
      <c r="AB25" s="1153">
        <v>6</v>
      </c>
      <c r="AC25" s="466"/>
    </row>
    <row r="26" spans="1:31"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c r="Y26" s="1152"/>
      <c r="Z26" s="1152" t="s">
        <v>44</v>
      </c>
      <c r="AA26" s="1152">
        <v>314.67699999999996</v>
      </c>
      <c r="AB26" s="1152">
        <v>86</v>
      </c>
      <c r="AC26" s="466"/>
    </row>
    <row r="27" spans="1:31"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c r="Y27" s="1153"/>
      <c r="Z27" s="1153" t="s">
        <v>46</v>
      </c>
      <c r="AA27" s="1153">
        <v>1180.5279999999998</v>
      </c>
      <c r="AB27" s="1153">
        <v>307</v>
      </c>
      <c r="AC27" s="466"/>
    </row>
    <row r="28" spans="1:31"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c r="Y28" s="1152" t="s">
        <v>64</v>
      </c>
      <c r="Z28" s="1152" t="s">
        <v>44</v>
      </c>
      <c r="AA28" s="1152">
        <v>105.64699999999998</v>
      </c>
      <c r="AB28" s="1152">
        <v>30</v>
      </c>
      <c r="AC28" s="466"/>
    </row>
    <row r="29" spans="1:31" ht="15">
      <c r="C29" s="297"/>
      <c r="Y29" s="1153"/>
      <c r="Z29" s="1153" t="s">
        <v>46</v>
      </c>
      <c r="AA29" s="1153">
        <v>912.80199999999991</v>
      </c>
      <c r="AB29" s="1153">
        <v>244</v>
      </c>
      <c r="AC29" s="466"/>
    </row>
    <row r="30" spans="1:31" ht="15">
      <c r="C30" s="297"/>
      <c r="K30" s="393" t="s">
        <v>570</v>
      </c>
      <c r="AA30" s="407">
        <f>SUM(AA4:AA29)</f>
        <v>168788.3599999999</v>
      </c>
      <c r="AB30" s="407">
        <f>SUM(AB4:AB29)</f>
        <v>38852</v>
      </c>
      <c r="AC30" s="466"/>
      <c r="AD30" s="32">
        <v>0.56000000000000005</v>
      </c>
    </row>
    <row r="31" spans="1:31" ht="15">
      <c r="C31" s="297"/>
      <c r="AA31" s="1155">
        <f>AD31/AA30</f>
        <v>921.62753403137572</v>
      </c>
      <c r="AB31" s="1155">
        <f>AD31/AB30</f>
        <v>4003.9122825079789</v>
      </c>
      <c r="AC31" s="466"/>
      <c r="AD31" s="1154">
        <v>155560000</v>
      </c>
      <c r="AE31" s="479" t="s">
        <v>928</v>
      </c>
    </row>
    <row r="32" spans="1:31" ht="15.75" thickBot="1">
      <c r="C32" s="297"/>
      <c r="Z32" s="479" t="s">
        <v>929</v>
      </c>
      <c r="AA32" s="32">
        <v>25</v>
      </c>
      <c r="AB32" s="479" t="s">
        <v>13</v>
      </c>
    </row>
    <row r="33" spans="1:28" ht="21.75" thickBot="1">
      <c r="C33" s="297"/>
      <c r="H33" s="257" t="s">
        <v>287</v>
      </c>
      <c r="I33" s="258" t="s">
        <v>42</v>
      </c>
      <c r="J33" s="258" t="s">
        <v>44</v>
      </c>
      <c r="K33" s="258" t="s">
        <v>46</v>
      </c>
      <c r="L33" s="259" t="s">
        <v>285</v>
      </c>
      <c r="P33" s="1123" t="s">
        <v>918</v>
      </c>
      <c r="Q33" s="1123"/>
      <c r="R33" s="1123"/>
      <c r="S33" s="1123"/>
      <c r="T33" s="1123"/>
      <c r="U33" s="1123"/>
    </row>
    <row r="34" spans="1:28"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c r="Z34" s="466"/>
      <c r="AA34" s="466"/>
      <c r="AB34" s="466"/>
    </row>
    <row r="35" spans="1:28"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4">
        <v>2016</v>
      </c>
      <c r="Q35" s="1061" t="s">
        <v>922</v>
      </c>
      <c r="R35" s="1054">
        <v>978</v>
      </c>
      <c r="S35" s="1054">
        <v>1224</v>
      </c>
      <c r="T35" s="1054">
        <v>287</v>
      </c>
      <c r="U35" s="1055">
        <v>2489</v>
      </c>
      <c r="Z35" s="466"/>
      <c r="AA35" s="466"/>
      <c r="AB35" s="466"/>
    </row>
    <row r="36" spans="1:28"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6">
        <v>2016</v>
      </c>
      <c r="Q36" s="1062" t="s">
        <v>923</v>
      </c>
      <c r="R36" s="1056">
        <v>1094</v>
      </c>
      <c r="S36" s="1056">
        <v>1650</v>
      </c>
      <c r="T36" s="1056">
        <v>287</v>
      </c>
      <c r="U36" s="1057">
        <v>3031</v>
      </c>
      <c r="Z36" s="466"/>
      <c r="AA36" s="466"/>
      <c r="AB36" s="466"/>
    </row>
    <row r="37" spans="1:28"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8">
        <v>2017</v>
      </c>
      <c r="Q37" s="1063" t="s">
        <v>924</v>
      </c>
      <c r="R37" s="1058">
        <v>872</v>
      </c>
      <c r="S37" s="1058">
        <v>1419</v>
      </c>
      <c r="T37" s="1058">
        <v>479</v>
      </c>
      <c r="U37" s="1059">
        <v>2770</v>
      </c>
      <c r="Z37" s="466"/>
    </row>
    <row r="38" spans="1:28"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6">
        <v>2017</v>
      </c>
      <c r="Q38" s="1062" t="s">
        <v>925</v>
      </c>
      <c r="R38" s="1056">
        <v>1032</v>
      </c>
      <c r="S38" s="1056">
        <v>1780</v>
      </c>
      <c r="T38" s="1056">
        <v>455</v>
      </c>
      <c r="U38" s="1057">
        <v>3267</v>
      </c>
    </row>
    <row r="39" spans="1:28"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8">
        <v>2017</v>
      </c>
      <c r="Q39" s="1063" t="s">
        <v>922</v>
      </c>
      <c r="R39" s="1058">
        <v>1126</v>
      </c>
      <c r="S39" s="1058">
        <v>2003</v>
      </c>
      <c r="T39" s="1058">
        <v>644</v>
      </c>
      <c r="U39" s="1059">
        <v>3773</v>
      </c>
    </row>
    <row r="40" spans="1:28"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6">
        <v>2017</v>
      </c>
      <c r="Q40" s="1062" t="s">
        <v>923</v>
      </c>
      <c r="R40" s="1056">
        <v>1224</v>
      </c>
      <c r="S40" s="1056">
        <v>2690</v>
      </c>
      <c r="T40" s="1056">
        <v>644</v>
      </c>
      <c r="U40" s="1057">
        <v>4558</v>
      </c>
    </row>
    <row r="41" spans="1:28"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8">
        <v>2018</v>
      </c>
      <c r="Q41" s="1063" t="s">
        <v>924</v>
      </c>
      <c r="R41" s="1058">
        <v>970</v>
      </c>
      <c r="S41" s="1058">
        <v>2020</v>
      </c>
      <c r="T41" s="1058">
        <v>476</v>
      </c>
      <c r="U41" s="1059">
        <v>3466</v>
      </c>
    </row>
    <row r="42" spans="1:28"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6">
        <v>2018</v>
      </c>
      <c r="Q42" s="1062" t="s">
        <v>925</v>
      </c>
      <c r="R42" s="1056">
        <v>1150</v>
      </c>
      <c r="S42" s="1056">
        <v>2763</v>
      </c>
      <c r="T42" s="1056">
        <v>486</v>
      </c>
      <c r="U42" s="1057">
        <v>4399</v>
      </c>
    </row>
    <row r="43" spans="1:28" ht="15.75" thickBot="1">
      <c r="C43" s="297"/>
      <c r="H43" s="261" t="s">
        <v>218</v>
      </c>
      <c r="I43" s="355">
        <f>SUM(I34:I42)</f>
        <v>210543.48952455306</v>
      </c>
      <c r="J43" s="355">
        <f>SUM(J34:J42)</f>
        <v>761882.35365928093</v>
      </c>
      <c r="K43" s="355">
        <f>SUM(K34:K42)</f>
        <v>718487.43220136687</v>
      </c>
      <c r="L43" s="356">
        <f>SUM(I43:K43)</f>
        <v>1690913.275385201</v>
      </c>
      <c r="P43" s="1058">
        <v>2018</v>
      </c>
      <c r="Q43" s="1063" t="s">
        <v>922</v>
      </c>
      <c r="R43" s="1058">
        <v>1208</v>
      </c>
      <c r="S43" s="1058">
        <v>2839</v>
      </c>
      <c r="T43" s="1058">
        <v>598</v>
      </c>
      <c r="U43" s="1059">
        <v>4645</v>
      </c>
    </row>
    <row r="44" spans="1:28" ht="15">
      <c r="C44" s="297"/>
      <c r="P44" s="1056">
        <v>2018</v>
      </c>
      <c r="Q44" s="1062" t="s">
        <v>923</v>
      </c>
      <c r="R44" s="1056">
        <v>1355</v>
      </c>
      <c r="S44" s="1056">
        <v>3364</v>
      </c>
      <c r="T44" s="1056">
        <v>766</v>
      </c>
      <c r="U44" s="1057">
        <v>5485</v>
      </c>
    </row>
    <row r="45" spans="1:28" ht="15.75" thickBot="1">
      <c r="K45" s="393" t="s">
        <v>571</v>
      </c>
      <c r="P45" s="1058"/>
      <c r="Q45" s="1058"/>
      <c r="R45" s="1060">
        <v>11009</v>
      </c>
      <c r="S45" s="1060">
        <v>21752</v>
      </c>
      <c r="T45" s="1060">
        <v>5122</v>
      </c>
      <c r="U45" s="1060">
        <v>37883</v>
      </c>
    </row>
    <row r="46" spans="1:28">
      <c r="L46" s="262"/>
    </row>
    <row r="47" spans="1:28" ht="13.5" thickBot="1">
      <c r="C47" s="153"/>
      <c r="D47" s="153"/>
      <c r="E47" s="153"/>
    </row>
    <row r="48" spans="1:28" ht="15.75" thickBot="1">
      <c r="A48"/>
      <c r="B48" s="1141" t="s">
        <v>288</v>
      </c>
      <c r="C48" s="1142"/>
      <c r="D48" s="1142"/>
      <c r="E48" s="1142"/>
      <c r="F48" s="1142"/>
      <c r="G48" s="1142"/>
      <c r="H48" s="1142"/>
      <c r="I48" s="1142"/>
      <c r="J48" s="1142"/>
      <c r="K48" s="1142"/>
      <c r="L48" s="1143"/>
      <c r="M48" s="1138" t="s">
        <v>289</v>
      </c>
      <c r="N48" s="1139"/>
      <c r="O48" s="114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4" t="s">
        <v>350</v>
      </c>
      <c r="T82" s="1145"/>
      <c r="U82" s="1145"/>
      <c r="V82" s="1145"/>
      <c r="W82" s="1145"/>
      <c r="X82" s="1145"/>
      <c r="Y82" s="1145"/>
      <c r="Z82" s="1146"/>
      <c r="AB82" s="1136" t="s">
        <v>351</v>
      </c>
      <c r="AC82" s="1136"/>
      <c r="AD82" s="1136"/>
      <c r="AE82" s="1136"/>
      <c r="AF82" s="113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6"/>
      <c r="AC83" s="1136"/>
      <c r="AD83" s="1136"/>
      <c r="AE83" s="1136"/>
      <c r="AF83" s="113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1" t="s">
        <v>296</v>
      </c>
      <c r="AC85" s="106">
        <f t="shared" ref="AC85:AC110" si="10">S85/AG85*AG85</f>
        <v>10450</v>
      </c>
      <c r="AD85" s="106" cm="1">
        <f t="array" ref="AD85">SUM((T85:U85)/AG85)*AG85</f>
        <v>8435</v>
      </c>
      <c r="AE85" s="105" cm="1">
        <f t="array" ref="AE85">SUM((V85:Y85)/AG85)*AG85</f>
        <v>1239</v>
      </c>
      <c r="AF85" s="106">
        <f t="shared" ref="AF85:AF110" si="11">Z85/AG85*AG85</f>
        <v>413</v>
      </c>
      <c r="AG85" s="993">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2" t="s">
        <v>338</v>
      </c>
      <c r="AC86" s="114">
        <f t="shared" si="10"/>
        <v>55149</v>
      </c>
      <c r="AD86" s="114" cm="1">
        <f t="array" ref="AD86">SUM((T86:U86)/AG86)*AG86</f>
        <v>295699</v>
      </c>
      <c r="AE86" s="113" cm="1">
        <f t="array" ref="AE86">SUM((V86:Y86)/AG86)*AG86</f>
        <v>122231.99999999997</v>
      </c>
      <c r="AF86" s="114">
        <f t="shared" si="11"/>
        <v>6603</v>
      </c>
      <c r="AG86" s="994">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2" t="s">
        <v>327</v>
      </c>
      <c r="AC87" s="114">
        <f t="shared" si="10"/>
        <v>29802</v>
      </c>
      <c r="AD87" s="114" cm="1">
        <f t="array" ref="AD87">SUM((T87:U87)/AG87)*AG87</f>
        <v>35861</v>
      </c>
      <c r="AE87" s="113" cm="1">
        <f t="array" ref="AE87">SUM((V87:Y87)/AG87)*AG87</f>
        <v>7268.0000000000009</v>
      </c>
      <c r="AF87" s="114">
        <f t="shared" si="11"/>
        <v>665</v>
      </c>
      <c r="AG87" s="993">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2" t="s">
        <v>328</v>
      </c>
      <c r="AC88" s="114">
        <f t="shared" si="10"/>
        <v>20458</v>
      </c>
      <c r="AD88" s="114" cm="1">
        <f t="array" ref="AD88">SUM((T88:U88)/AG88)*AG88</f>
        <v>12351.999999999998</v>
      </c>
      <c r="AE88" s="113" cm="1">
        <f t="array" ref="AE88">SUM((V88:Y88)/AG88)*AG88</f>
        <v>1693</v>
      </c>
      <c r="AF88" s="114">
        <f t="shared" si="11"/>
        <v>352</v>
      </c>
      <c r="AG88" s="994">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2" t="s">
        <v>329</v>
      </c>
      <c r="AC89" s="114">
        <f t="shared" si="10"/>
        <v>15963.999999999998</v>
      </c>
      <c r="AD89" s="114" cm="1">
        <f t="array" ref="AD89">SUM((T89:U89)/AG89)*AG89</f>
        <v>11269</v>
      </c>
      <c r="AE89" s="113" cm="1">
        <f t="array" ref="AE89">SUM((V89:Y89)/AG89)*AG89</f>
        <v>1404.0000000000002</v>
      </c>
      <c r="AF89" s="114">
        <f t="shared" si="11"/>
        <v>470.00000000000006</v>
      </c>
      <c r="AG89" s="993">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2" t="s">
        <v>331</v>
      </c>
      <c r="AC90" s="114">
        <f t="shared" si="10"/>
        <v>9541</v>
      </c>
      <c r="AD90" s="114" cm="1">
        <f t="array" ref="AD90">SUM((T90:U90)/AG90)*AG90</f>
        <v>4662</v>
      </c>
      <c r="AE90" s="113" cm="1">
        <f t="array" ref="AE90">SUM((V90:Y90)/AG90)*AG90</f>
        <v>667</v>
      </c>
      <c r="AF90" s="114">
        <f t="shared" si="11"/>
        <v>252</v>
      </c>
      <c r="AG90" s="994">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2" t="s">
        <v>332</v>
      </c>
      <c r="AC91" s="114">
        <f t="shared" si="10"/>
        <v>18482</v>
      </c>
      <c r="AD91" s="114" cm="1">
        <f t="array" ref="AD91">SUM((T91:U91)/AG91)*AG91</f>
        <v>23326</v>
      </c>
      <c r="AE91" s="113" cm="1">
        <f t="array" ref="AE91">SUM((V91:Y91)/AG91)*AG91</f>
        <v>2959.0000000000005</v>
      </c>
      <c r="AF91" s="114">
        <f t="shared" si="11"/>
        <v>681</v>
      </c>
      <c r="AG91" s="993">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2" t="s">
        <v>333</v>
      </c>
      <c r="AC92" s="114">
        <f t="shared" si="10"/>
        <v>33556</v>
      </c>
      <c r="AD92" s="114" cm="1">
        <f t="array" ref="AD92">SUM((T92:U92)/AG92)*AG92</f>
        <v>24647</v>
      </c>
      <c r="AE92" s="113" cm="1">
        <f t="array" ref="AE92">SUM((V92:Y92)/AG92)*AG92</f>
        <v>5307</v>
      </c>
      <c r="AF92" s="114">
        <f t="shared" si="11"/>
        <v>724</v>
      </c>
      <c r="AG92" s="994">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2" t="s">
        <v>335</v>
      </c>
      <c r="AC93" s="114">
        <f t="shared" si="10"/>
        <v>15701.000000000002</v>
      </c>
      <c r="AD93" s="114" cm="1">
        <f t="array" ref="AD93">SUM((T93:U93)/AG93)*AG93</f>
        <v>10072</v>
      </c>
      <c r="AE93" s="113" cm="1">
        <f t="array" ref="AE93">SUM((V93:Y93)/AG93)*AG93</f>
        <v>1151</v>
      </c>
      <c r="AF93" s="114">
        <f t="shared" si="11"/>
        <v>419</v>
      </c>
      <c r="AG93" s="993">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2" t="s">
        <v>336</v>
      </c>
      <c r="AC94" s="114">
        <f t="shared" si="10"/>
        <v>16482</v>
      </c>
      <c r="AD94" s="114" cm="1">
        <f t="array" ref="AD94">SUM((T94:U94)/AG94)*AG94</f>
        <v>12102.000000000002</v>
      </c>
      <c r="AE94" s="113" cm="1">
        <f t="array" ref="AE94">SUM((V94:Y94)/AG94)*AG94</f>
        <v>2847</v>
      </c>
      <c r="AF94" s="114">
        <f t="shared" si="11"/>
        <v>382</v>
      </c>
      <c r="AG94" s="994">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2" t="s">
        <v>337</v>
      </c>
      <c r="AC95" s="114">
        <f t="shared" si="10"/>
        <v>33134</v>
      </c>
      <c r="AD95" s="114" cm="1">
        <f t="array" ref="AD95">SUM((T95:U95)/AG95)*AG95</f>
        <v>17899</v>
      </c>
      <c r="AE95" s="113" cm="1">
        <f t="array" ref="AE95">SUM((V95:Y95)/AG95)*AG95</f>
        <v>2627</v>
      </c>
      <c r="AF95" s="114">
        <f t="shared" si="11"/>
        <v>629</v>
      </c>
      <c r="AG95" s="993">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2" t="s">
        <v>339</v>
      </c>
      <c r="AC96" s="114">
        <f t="shared" si="10"/>
        <v>22110</v>
      </c>
      <c r="AD96" s="114" cm="1">
        <f t="array" ref="AD96">SUM((T96:U96)/AG96)*AG96</f>
        <v>22104</v>
      </c>
      <c r="AE96" s="113" cm="1">
        <f t="array" ref="AE96">SUM((V96:Y96)/AG96)*AG96</f>
        <v>4442</v>
      </c>
      <c r="AF96" s="114">
        <f t="shared" si="11"/>
        <v>555</v>
      </c>
      <c r="AG96" s="994">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2" t="s">
        <v>326</v>
      </c>
      <c r="AC97" s="114">
        <f t="shared" si="10"/>
        <v>25688.999999999996</v>
      </c>
      <c r="AD97" s="114" cm="1">
        <f t="array" ref="AD97">SUM((T97:U97)/AG97)*AG97</f>
        <v>14782</v>
      </c>
      <c r="AE97" s="113" cm="1">
        <f t="array" ref="AE97">SUM((V97:Y97)/AG97)*AG97</f>
        <v>2451</v>
      </c>
      <c r="AF97" s="114">
        <f t="shared" si="11"/>
        <v>547</v>
      </c>
      <c r="AG97" s="993">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2" t="s">
        <v>330</v>
      </c>
      <c r="AC98" s="114">
        <f t="shared" si="10"/>
        <v>86886</v>
      </c>
      <c r="AD98" s="114" cm="1">
        <f t="array" ref="AD98">SUM((T98:U98)/AG98)*AG98</f>
        <v>88961</v>
      </c>
      <c r="AE98" s="113" cm="1">
        <f t="array" ref="AE98">SUM((V98:Y98)/AG98)*AG98</f>
        <v>17739.999999999996</v>
      </c>
      <c r="AF98" s="114">
        <f t="shared" si="11"/>
        <v>2266</v>
      </c>
      <c r="AG98" s="994">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2" t="s">
        <v>341</v>
      </c>
      <c r="AC99" s="114">
        <f t="shared" si="10"/>
        <v>35667</v>
      </c>
      <c r="AD99" s="114" cm="1">
        <f t="array" ref="AD99">SUM((T99:U99)/AG99)*AG99</f>
        <v>15284</v>
      </c>
      <c r="AE99" s="113" cm="1">
        <f t="array" ref="AE99">SUM((V99:Y99)/AG99)*AG99</f>
        <v>2822</v>
      </c>
      <c r="AF99" s="114">
        <f t="shared" si="11"/>
        <v>720</v>
      </c>
      <c r="AG99" s="993">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2" t="s">
        <v>342</v>
      </c>
      <c r="AC100" s="114">
        <f t="shared" si="10"/>
        <v>32180</v>
      </c>
      <c r="AD100" s="114" cm="1">
        <f t="array" ref="AD100">SUM((T100:U100)/AG100)*AG100</f>
        <v>30774</v>
      </c>
      <c r="AE100" s="113" cm="1">
        <f t="array" ref="AE100">SUM((V100:Y100)/AG100)*AG100</f>
        <v>7338</v>
      </c>
      <c r="AF100" s="114">
        <f t="shared" si="11"/>
        <v>932</v>
      </c>
      <c r="AG100" s="994">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2" t="s">
        <v>343</v>
      </c>
      <c r="AC101" s="114">
        <f t="shared" si="10"/>
        <v>34404</v>
      </c>
      <c r="AD101" s="114" cm="1">
        <f t="array" ref="AD101">SUM((T101:U101)/AG101)*AG101</f>
        <v>21724.999999999996</v>
      </c>
      <c r="AE101" s="113" cm="1">
        <f t="array" ref="AE101">SUM((V101:Y101)/AG101)*AG101</f>
        <v>2333</v>
      </c>
      <c r="AF101" s="114">
        <f t="shared" si="11"/>
        <v>814</v>
      </c>
      <c r="AG101" s="993">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2" t="s">
        <v>344</v>
      </c>
      <c r="AC102" s="114">
        <f t="shared" si="10"/>
        <v>18782</v>
      </c>
      <c r="AD102" s="114" cm="1">
        <f t="array" ref="AD102">SUM((T102:U102)/AG102)*AG102</f>
        <v>21083</v>
      </c>
      <c r="AE102" s="113" cm="1">
        <f t="array" ref="AE102">SUM((V102:Y102)/AG102)*AG102</f>
        <v>3095.9999999999995</v>
      </c>
      <c r="AF102" s="114">
        <f t="shared" si="11"/>
        <v>588</v>
      </c>
      <c r="AG102" s="994">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2" t="s">
        <v>340</v>
      </c>
      <c r="AC103" s="148">
        <f t="shared" si="10"/>
        <v>54095</v>
      </c>
      <c r="AD103" s="148" cm="1">
        <f t="array" ref="AD103">SUM((T103:U103)/AG103)*AG103</f>
        <v>26860.000000000004</v>
      </c>
      <c r="AE103" s="147" cm="1">
        <f t="array" ref="AE103">SUM((V103:Y103)/AG103)*AG103</f>
        <v>9669</v>
      </c>
      <c r="AF103" s="148">
        <f t="shared" si="11"/>
        <v>1275</v>
      </c>
      <c r="AG103" s="993">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2" t="s">
        <v>345</v>
      </c>
      <c r="AC104" s="148">
        <f t="shared" si="10"/>
        <v>9060</v>
      </c>
      <c r="AD104" s="148" cm="1">
        <f t="array" ref="AD104">SUM((T104:U104)/AG104)*AG104</f>
        <v>2714</v>
      </c>
      <c r="AE104" s="147" cm="1">
        <f t="array" ref="AE104">SUM((V104:Y104)/AG104)*AG104</f>
        <v>537</v>
      </c>
      <c r="AF104" s="148">
        <f t="shared" si="11"/>
        <v>141</v>
      </c>
      <c r="AG104" s="994">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1" t="s">
        <v>346</v>
      </c>
      <c r="AC105" s="106">
        <f t="shared" si="10"/>
        <v>34025</v>
      </c>
      <c r="AD105" s="106" cm="1">
        <f t="array" ref="AD105">SUM((T105:U105)/AG105)*AG105</f>
        <v>12311</v>
      </c>
      <c r="AE105" s="105" cm="1">
        <f t="array" ref="AE105">SUM((V105:Y105)/AG105)*AG105</f>
        <v>2108.9999999999995</v>
      </c>
      <c r="AF105" s="106">
        <f t="shared" si="11"/>
        <v>454</v>
      </c>
      <c r="AG105" s="993">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2" t="s">
        <v>347</v>
      </c>
      <c r="AC106" s="114">
        <f t="shared" si="10"/>
        <v>17809</v>
      </c>
      <c r="AD106" s="114" cm="1">
        <f t="array" ref="AD106">SUM((T106:U106)/AG106)*AG106</f>
        <v>5252</v>
      </c>
      <c r="AE106" s="113" cm="1">
        <f t="array" ref="AE106">SUM((V106:Y106)/AG106)*AG106</f>
        <v>650</v>
      </c>
      <c r="AF106" s="114">
        <f t="shared" si="11"/>
        <v>302</v>
      </c>
      <c r="AG106" s="994">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2" t="s">
        <v>348</v>
      </c>
      <c r="AC107" s="114">
        <f t="shared" si="10"/>
        <v>14223.999999999998</v>
      </c>
      <c r="AD107" s="114" cm="1">
        <f t="array" ref="AD107">SUM((T107:U107)/AG107)*AG107</f>
        <v>8728</v>
      </c>
      <c r="AE107" s="113" cm="1">
        <f t="array" ref="AE107">SUM((V107:Y107)/AG107)*AG107</f>
        <v>1626</v>
      </c>
      <c r="AF107" s="114">
        <f t="shared" si="11"/>
        <v>253</v>
      </c>
      <c r="AG107" s="993">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2" t="s">
        <v>308</v>
      </c>
      <c r="AC108" s="114">
        <f t="shared" si="10"/>
        <v>17772</v>
      </c>
      <c r="AD108" s="114" cm="1">
        <f t="array" ref="AD108">SUM((T108:U108)/AG108)*AG108</f>
        <v>7563.0000000000009</v>
      </c>
      <c r="AE108" s="113" cm="1">
        <f t="array" ref="AE108">SUM((V108:Y108)/AG108)*AG108</f>
        <v>1225</v>
      </c>
      <c r="AF108" s="114">
        <f t="shared" si="11"/>
        <v>339</v>
      </c>
      <c r="AG108" s="994">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2" t="s">
        <v>334</v>
      </c>
      <c r="AC109" s="114">
        <f t="shared" si="10"/>
        <v>39853</v>
      </c>
      <c r="AD109" s="114" cm="1">
        <f t="array" ref="AD109">SUM((T109:U109)/AG109)*AG109</f>
        <v>15554.000000000002</v>
      </c>
      <c r="AE109" s="113" cm="1">
        <f t="array" ref="AE109">SUM((V109:Y109)/AG109)*AG109</f>
        <v>2334</v>
      </c>
      <c r="AF109" s="114">
        <f t="shared" si="11"/>
        <v>764</v>
      </c>
      <c r="AG109" s="993">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2" t="s">
        <v>349</v>
      </c>
      <c r="AC110" s="114">
        <f t="shared" si="10"/>
        <v>13858</v>
      </c>
      <c r="AD110" s="114" cm="1">
        <f t="array" ref="AD110">SUM((T110:U110)/AG110)*AG110</f>
        <v>6497.9999999999991</v>
      </c>
      <c r="AE110" s="113" cm="1">
        <f t="array" ref="AE110">SUM((V110:Y110)/AG110)*AG110</f>
        <v>1003</v>
      </c>
      <c r="AF110" s="114">
        <f t="shared" si="11"/>
        <v>330</v>
      </c>
      <c r="AG110" s="994">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5">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J23" zoomScale="70" zoomScaleNormal="70" workbookViewId="0">
      <selection activeCell="M42" sqref="M42"/>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31.28515625" style="68" customWidth="1"/>
    <col min="14" max="14" width="71.28515625" style="68" bestFit="1" customWidth="1"/>
    <col min="15" max="16" width="17.7109375" style="68" customWidth="1"/>
    <col min="17" max="17" width="42"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59"/>
      <c r="S2" s="297"/>
      <c r="T2" s="859"/>
      <c r="U2" s="859"/>
      <c r="V2" s="297"/>
      <c r="W2" s="297"/>
      <c r="X2" s="297"/>
      <c r="Y2" s="297"/>
      <c r="Z2" s="297"/>
      <c r="AA2" s="297"/>
      <c r="AB2" s="297"/>
      <c r="AC2" s="860"/>
      <c r="AD2" s="854"/>
      <c r="AE2" s="297"/>
      <c r="AF2" s="859"/>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LEFT(SETUP!$B$3,1)&amp;"-"&amp;SETUP!$B$50&amp;"_"&amp;RIGHT(COMM!$O$30,3)&amp;"_"&amp;RIGHT(O7,LEN(O7)-3)&amp;"_"&amp;SETUP!$B$64</f>
        <v>R-SH_Apt_COA_X0</v>
      </c>
      <c r="N7" s="332" t="str">
        <f>COMM!$P$24&amp;" "&amp;COMM!F6&amp;" "&amp;SETUP!$C$64</f>
        <v>Residential Space Heating Apartment Coal to Residential Existing 00</v>
      </c>
      <c r="O7" s="332" t="str">
        <f>COMM!$E$6</f>
        <v>RSDCOA</v>
      </c>
      <c r="P7" s="332"/>
      <c r="Q7" s="332" t="str">
        <f>COMM!O9&amp;","&amp;COMM!O12&amp;","&amp;COMM!O15&amp;","&amp;COMM!O18&amp;","&amp;COMM!O21&amp;","&amp;COMM!O24</f>
        <v>RSDSH_Apt-AB,RSDSH_Apt-C,RSDSH_Apt-D,RSDSH_Apt-E,RSDSH_Apt-F,RSDSH_Apt-G</v>
      </c>
      <c r="R7" s="433">
        <f>(E7+E14+E16)/SUM($E$7:$E$25)</f>
        <v>2.1588177690732664E-3</v>
      </c>
      <c r="S7" s="434">
        <f>R7*DwellingStocks!$I$28/1000</f>
        <v>0.4574985721757322</v>
      </c>
      <c r="T7" s="491">
        <f>(S7*1000)/(E7+E14+E16)*DwellingStocks!$T$27+1.0376</f>
        <v>2.2315537873378508</v>
      </c>
      <c r="U7" s="863">
        <f>(G7+G14+G16)/300</f>
        <v>0.59018803418803423</v>
      </c>
      <c r="V7" s="863">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LEFT(SETUP!$B$3,1)&amp;"-"&amp;SETUP!$B$50&amp;"_"&amp;RIGHT(COMM!$O$30,3)&amp;"_"&amp;RIGHT(O8,LEN(O8)-3)&amp;"_"&amp;SETUP!$B$64</f>
        <v>R-SH_Apt_BDL_X0</v>
      </c>
      <c r="N8" s="42" t="str">
        <f>COMM!$P$24&amp;" "&amp;COMM!F21&amp;" "&amp;SETUP!$C$64</f>
        <v>Residential Space Heating Apartment Biodiesel to Residential Existing 00</v>
      </c>
      <c r="O8" s="42" t="str">
        <f>COMM!$E$21</f>
        <v>RSDBDL</v>
      </c>
      <c r="P8" s="42"/>
      <c r="Q8" s="42" t="str">
        <f>COMM!O9&amp;","&amp;COMM!O12&amp;","&amp;COMM!O15&amp;","&amp;COMM!O18&amp;","&amp;COMM!O21&amp;","&amp;COMM!O24</f>
        <v>RSDSH_Apt-AB,RSDSH_Apt-C,RSDSH_Apt-D,RSDSH_Apt-E,RSDSH_Apt-F,RSDSH_Apt-G</v>
      </c>
      <c r="R8" s="440">
        <f>E8/SUM($E$7:$E$25)</f>
        <v>2.2255853289415115E-5</v>
      </c>
      <c r="S8" s="441">
        <f>R8*DwellingStocks!$I$28/1000</f>
        <v>4.7164801255230124E-3</v>
      </c>
      <c r="T8" s="442">
        <f>(S8*1000)/E8*DwellingStocks!$T$27</f>
        <v>1.1939537873378505</v>
      </c>
      <c r="U8" s="865">
        <f>IF((G8/100)&gt;1,0.9)</f>
        <v>0.9</v>
      </c>
      <c r="V8" s="865">
        <f>AB8/S8/X8</f>
        <v>9.6680618054018289E-3</v>
      </c>
      <c r="W8" s="443">
        <v>20</v>
      </c>
      <c r="X8" s="861">
        <f t="shared" ref="X8:X13" si="2">31.536*(AD8/1000)</f>
        <v>0.47304000000000002</v>
      </c>
      <c r="Y8" s="443"/>
      <c r="Z8" s="443"/>
      <c r="AA8" s="443"/>
      <c r="AB8" s="444">
        <f t="shared" si="0"/>
        <v>2.157025567095457E-5</v>
      </c>
      <c r="AC8" s="445">
        <f>IF(((D8+I8)*$B$2)&lt;=0,0,((D8+I8)*T8*$B$2))</f>
        <v>2.3966950745505077E-5</v>
      </c>
      <c r="AD8" s="856">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LEFT(SETUP!$B$3,1)&amp;"-"&amp;SETUP!$B$50&amp;"_"&amp;RIGHT(COMM!$O$30,3)&amp;"_"&amp;RIGHT(O9,LEN(O9)-3)&amp;"_"&amp;SETUP!$B$64</f>
        <v>R-SH_Apt_ETH_X0</v>
      </c>
      <c r="N9" s="332" t="str">
        <f>COMM!P24&amp;" "&amp;COMM!F20&amp;" "&amp;SETUP!C64</f>
        <v>Residential Space Heating Apartment Ethanol to Residential Existing 00</v>
      </c>
      <c r="O9" s="332" t="str">
        <f>COMM!$E$20</f>
        <v>RSDETH</v>
      </c>
      <c r="P9" s="332"/>
      <c r="Q9" s="332" t="str">
        <f>COMM!O9&amp;","&amp;COMM!O12&amp;","&amp;COMM!O15&amp;","&amp;COMM!O18&amp;","&amp;COMM!O21&amp;","&amp;COMM!O24</f>
        <v>RSDSH_Apt-AB,RSDSH_Apt-C,RSDSH_Apt-D,RSDSH_Apt-E,RSDSH_Apt-F,RSDSH_Apt-G</v>
      </c>
      <c r="R9" s="433">
        <f>E9/SUM($E$7:$E$25)</f>
        <v>7.4186177631383719E-6</v>
      </c>
      <c r="S9" s="434">
        <f>R9*DwellingStocks!$I$28/1000</f>
        <v>1.5721600418410039E-3</v>
      </c>
      <c r="T9" s="435">
        <f>(S9*1000)/E9*DwellingStocks!$T$27</f>
        <v>1.1939537873378505</v>
      </c>
      <c r="U9" s="863">
        <f>IF((G9/100)&gt;1,0.9)</f>
        <v>0.9</v>
      </c>
      <c r="V9" s="863">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LEFT(SETUP!$B$3,1)&amp;"-"&amp;SETUP!$B$50&amp;"_"&amp;RIGHT(COMM!$O$30,3)&amp;"_"&amp;RIGHT(O10,LEN(O10)-3)&amp;"_"&amp;SETUP!$B$64</f>
        <v>R-SH_Apt_LPG_X0</v>
      </c>
      <c r="N10" s="42" t="str">
        <f>COMM!P24&amp;" "&amp;COMM!F8&amp;" "&amp;SETUP!C64</f>
        <v>Residential Space Heating Apartment LPG to Residential Existing 00</v>
      </c>
      <c r="O10" s="42" t="str">
        <f>COMM!$E$8</f>
        <v>RSDLPG</v>
      </c>
      <c r="P10" s="42"/>
      <c r="Q10" s="42" t="str">
        <f>COMM!O9&amp;","&amp;COMM!O12&amp;","&amp;COMM!O15&amp;","&amp;COMM!O18&amp;","&amp;COMM!O21&amp;","&amp;COMM!O24</f>
        <v>RSDSH_Apt-AB,RSDSH_Apt-C,RSDSH_Apt-D,RSDSH_Apt-E,RSDSH_Apt-F,RSDSH_Apt-G</v>
      </c>
      <c r="R10" s="440">
        <f>(E10+E11)/SUM($E$7:$E$25)</f>
        <v>1.4139885456541736E-2</v>
      </c>
      <c r="S10" s="441">
        <f>(R10)*DwellingStocks!$I$28/1000</f>
        <v>2.9965370397489539</v>
      </c>
      <c r="T10" s="442">
        <f>(S10*1000)/(E10+E11)*DwellingStocks!$T$27+0.5284</f>
        <v>1.7223537873378505</v>
      </c>
      <c r="U10" s="865">
        <f>(G10+G11)/200</f>
        <v>0.80677902621722841</v>
      </c>
      <c r="V10" s="865">
        <f t="shared" si="3"/>
        <v>4.7566760554056758E-2</v>
      </c>
      <c r="W10" s="443">
        <v>20</v>
      </c>
      <c r="X10" s="861">
        <f t="shared" si="2"/>
        <v>0.47304000000000002</v>
      </c>
      <c r="Y10" s="443"/>
      <c r="Z10" s="443"/>
      <c r="AA10" s="443"/>
      <c r="AB10" s="444">
        <f t="shared" si="0"/>
        <v>6.7425021236695012E-2</v>
      </c>
      <c r="AC10" s="445">
        <f>IF(((D10+I10+D11+I11)*T10*$B$2)&lt;=0,0,((D10+I10+D11+I11)*T10*$B$2))</f>
        <v>8.3573096282426859E-2</v>
      </c>
      <c r="AD10" s="856">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LEFT(SETUP!$B$3,1)&amp;"-"&amp;SETUP!$B$50&amp;"_"&amp;RIGHT(COMM!$O$30,3)&amp;"_"&amp;RIGHT(O11,LEN(O11)-3)&amp;"_"&amp;SETUP!$B$64</f>
        <v>R-SH_Apt_ELC_X0</v>
      </c>
      <c r="N11" s="332" t="str">
        <f>COMM!P24&amp;" "&amp;COMM!F24&amp;" "&amp;SETUP!C64</f>
        <v>Residential Space Heating Apartment Electricity to Residential Existing 00</v>
      </c>
      <c r="O11" s="332" t="str">
        <f>COMM!$E$24</f>
        <v>RSDELC</v>
      </c>
      <c r="P11" s="332"/>
      <c r="Q11" s="332" t="str">
        <f>COMM!O9&amp;","&amp;COMM!O12&amp;","&amp;COMM!O15&amp;","&amp;COMM!O18&amp;","&amp;COMM!O21&amp;","&amp;COMM!O24</f>
        <v>RSDSH_Apt-AB,RSDSH_Apt-C,RSDSH_Apt-D,RSDSH_Apt-E,RSDSH_Apt-F,RSDSH_Apt-G</v>
      </c>
      <c r="R11" s="433">
        <f>(ArchetypeDemand!P50*SUM(E12+E25))/SUM($E$7:$E$25)</f>
        <v>0.32462892073948779</v>
      </c>
      <c r="S11" s="434">
        <f>(R11)*DwellingStocks!$I$28/1000</f>
        <v>68.795648179707101</v>
      </c>
      <c r="T11" s="435">
        <f>(S11*1000)/(E25)*DwellingStocks!$T$27-0.67619</f>
        <v>0.70699970970308834</v>
      </c>
      <c r="U11" s="863">
        <f>(G25)/100</f>
        <v>1</v>
      </c>
      <c r="V11" s="863">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LEFT(SETUP!$B$3,1)&amp;"-"&amp;SETUP!$B$50&amp;"_"&amp;RIGHT(COMM!$O$30,3)&amp;"_"&amp;RIGHT(O12,LEN(O12)-3)&amp;"_"&amp;SETUP!$B$65</f>
        <v>R-SH_Apt_ELC_X1</v>
      </c>
      <c r="N12" s="42" t="str">
        <f>COMM!P24&amp;" "&amp;COMM!F24&amp;" "&amp;SETUP!C65</f>
        <v>Residential Space Heating Apartment Electricity to Residential Existing 01</v>
      </c>
      <c r="O12" s="42" t="str">
        <f>COMM!$E$24</f>
        <v>RSDELC</v>
      </c>
      <c r="P12" s="42"/>
      <c r="Q12" s="42" t="str">
        <f>COMM!O9&amp;","&amp;COMM!O12&amp;","&amp;COMM!O15&amp;","&amp;COMM!O18&amp;","&amp;COMM!O21&amp;","&amp;COMM!O24</f>
        <v>RSDSH_Apt-AB,RSDSH_Apt-C,RSDSH_Apt-D,RSDSH_Apt-E,RSDSH_Apt-F,RSDSH_Apt-G</v>
      </c>
      <c r="R12" s="440">
        <f>(ArchetypeDemand!Q50*SUM(E12+E25))/SUM($E$7:$E$25)</f>
        <v>0.15276655093622957</v>
      </c>
      <c r="S12" s="441">
        <f>R12*DwellingStocks!$I$28/1000</f>
        <v>32.374422672803348</v>
      </c>
      <c r="T12" s="442">
        <f>((S12)*1000)/E12*DwellingStocks!$T$27+0.392</f>
        <v>1.317026466536475</v>
      </c>
      <c r="U12" s="865">
        <f>G12/100</f>
        <v>3.0701960784313722</v>
      </c>
      <c r="V12" s="865">
        <f t="shared" si="3"/>
        <v>0.18133047143727771</v>
      </c>
      <c r="W12" s="443">
        <v>20</v>
      </c>
      <c r="X12" s="861">
        <f t="shared" si="2"/>
        <v>0.15768000000000001</v>
      </c>
      <c r="Y12" s="443"/>
      <c r="Z12" s="443"/>
      <c r="AA12" s="443"/>
      <c r="AB12" s="444">
        <f>AC12*U12</f>
        <v>0.92565560328727547</v>
      </c>
      <c r="AC12" s="445">
        <f>IF(((D12+I12)*T12*$B$2)&lt;=0,0,((D12+I12)*T12*$B$2))</f>
        <v>0.30149722677002844</v>
      </c>
      <c r="AD12" s="856">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3"/>
      <c r="V13" s="863"/>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LEFT(SETUP!$B$3,1)&amp;"-"&amp;SETUP!$B$50&amp;"_"&amp;RIGHT(COMM!$O$30,3)&amp;"_"&amp;RIGHT(O14,LEN(O14)-3)&amp;"_"&amp;SETUP!$B$64</f>
        <v>R-SH_Apt_KER_X0</v>
      </c>
      <c r="N14" s="42" t="str">
        <f>COMM!P24&amp;" "&amp;COMM!F10&amp;" "&amp;SETUP!C64</f>
        <v>Residential Space Heating Apartment Kerosene to Residential Existing 00</v>
      </c>
      <c r="O14" s="42" t="str">
        <f>COMM!$E$10</f>
        <v>RSDKER</v>
      </c>
      <c r="P14" s="42"/>
      <c r="Q14" s="42" t="str">
        <f>COMM!O9&amp;","&amp;COMM!O12&amp;","&amp;COMM!O15&amp;","&amp;COMM!O18&amp;","&amp;COMM!O21&amp;","&amp;COMM!O24</f>
        <v>RSDSH_Apt-AB,RSDSH_Apt-C,RSDSH_Apt-D,RSDSH_Apt-E,RSDSH_Apt-F,RSDSH_Apt-G</v>
      </c>
      <c r="R14" s="440">
        <f>E13/SUM($E$7:$E$25)</f>
        <v>2.9103237484791832E-2</v>
      </c>
      <c r="S14" s="441">
        <f>R14*DwellingStocks!$I$28/1000</f>
        <v>6.1675838441422588</v>
      </c>
      <c r="T14" s="442">
        <f>(S14*1000)/E13*DwellingStocks!$T$27+0.16818</f>
        <v>1.3621337873378505</v>
      </c>
      <c r="U14" s="865">
        <f>G13/100</f>
        <v>0.81016216216216219</v>
      </c>
      <c r="V14" s="865">
        <f>AB14/S14/X14</f>
        <v>7.6018048497558111E-2</v>
      </c>
      <c r="W14" s="443">
        <v>20</v>
      </c>
      <c r="X14" s="861">
        <f>31.536*(AD14/1000)</f>
        <v>0.47304000000000002</v>
      </c>
      <c r="Y14" s="443"/>
      <c r="Z14" s="443"/>
      <c r="AA14" s="443"/>
      <c r="AB14" s="444">
        <f>AC14*U14</f>
        <v>0.22178371022591953</v>
      </c>
      <c r="AC14" s="445">
        <f>IF(((D13+I13)*$B$2)&lt;=0,0,((D13+I13)*T14*$B$2))</f>
        <v>0.27375224440749341</v>
      </c>
      <c r="AD14" s="856">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59" t="s">
        <v>254</v>
      </c>
      <c r="M15" s="559" t="s">
        <v>254</v>
      </c>
      <c r="N15" s="446"/>
      <c r="O15" s="446"/>
      <c r="P15" s="446"/>
      <c r="Q15" s="447"/>
      <c r="R15" s="448"/>
      <c r="S15" s="446"/>
      <c r="T15" s="448"/>
      <c r="U15" s="867"/>
      <c r="V15" s="867"/>
      <c r="W15" s="446"/>
      <c r="X15" s="857"/>
      <c r="Y15" s="446"/>
      <c r="Z15" s="446"/>
      <c r="AA15" s="446"/>
      <c r="AB15" s="446"/>
      <c r="AC15" s="446"/>
      <c r="AD15" s="858"/>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LEFT(SETUP!$B$3,1)&amp;"-"&amp;SETUP!$B$50&amp;"_"&amp;RIGHT(COMM!$O$30,3)&amp;"_"&amp;MID(O16,4,3)&amp;"_"&amp;SETUP!$B$64</f>
        <v>R-SH_Apt_GAS_X0</v>
      </c>
      <c r="N16" s="42" t="str">
        <f>COMM!P24&amp;" "&amp;COMM!F14&amp;" "&amp;SETUP!C64</f>
        <v>Residential Space Heating Apartment Natural Gas to Residential Existing 00</v>
      </c>
      <c r="O16" s="42" t="str">
        <f>COMM!$E$14&amp;","&amp;COMM!$E$17</f>
        <v>RSDGAS,RSDBGS</v>
      </c>
      <c r="P16" s="42"/>
      <c r="Q16" s="42" t="str">
        <f>COMM!O9&amp;","&amp;COMM!O12&amp;","&amp;COMM!O15&amp;","&amp;COMM!O18&amp;","&amp;COMM!O21&amp;","&amp;COMM!O24</f>
        <v>RSDSH_Apt-AB,RSDSH_Apt-C,RSDSH_Apt-D,RSDSH_Apt-E,RSDSH_Apt-F,RSDSH_Apt-G</v>
      </c>
      <c r="R16" s="892">
        <f>E15/SUM($E$7:$E$25)</f>
        <v>0.4073933944627437</v>
      </c>
      <c r="S16" s="893">
        <f>R16*DwellingStocks!$I$28/1000</f>
        <v>86.335168697698734</v>
      </c>
      <c r="T16" s="442">
        <f>(S16*1000)/E15*DwellingStocks!$T$27</f>
        <v>1.1939537873378505</v>
      </c>
      <c r="U16" s="865">
        <f>G15/100</f>
        <v>0.81026881720430111</v>
      </c>
      <c r="V16" s="865">
        <f>AB16/S16/X16</f>
        <v>2.5629253159967971E-2</v>
      </c>
      <c r="W16" s="443">
        <v>20</v>
      </c>
      <c r="X16" s="861">
        <f>31.536*(AD16/1000)</f>
        <v>0.47304000000000002</v>
      </c>
      <c r="Y16" s="443"/>
      <c r="Z16" s="443"/>
      <c r="AA16" s="443"/>
      <c r="AB16" s="444">
        <f>AC16*U16</f>
        <v>1.0466983966473677</v>
      </c>
      <c r="AC16" s="445">
        <f>IF(((D15+I15)*$B$2)&lt;=0,0,((D15+I15)*T16*$B$2))</f>
        <v>1.2917915319249578</v>
      </c>
      <c r="AD16" s="856">
        <v>15</v>
      </c>
      <c r="AE16" s="466"/>
      <c r="AF16" s="332" t="s">
        <v>266</v>
      </c>
      <c r="AG16" s="332" t="str">
        <f>_xlfn.TEXTJOIN(",",TRUE,IF(LEFT(Regions!$C$3,1)&lt;&gt;"*",Regions!$C$3,""),IF(LEFT(Regions!$D$3,1)&lt;&gt;"*",Regions!$D$3,""))</f>
        <v>IE,National</v>
      </c>
      <c r="AH16" s="332" t="str">
        <f>M16</f>
        <v>R-SH_Apt_GAS_X0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59" t="s">
        <v>254</v>
      </c>
      <c r="M17" s="559" t="s">
        <v>254</v>
      </c>
      <c r="N17" s="446"/>
      <c r="O17" s="446"/>
      <c r="P17" s="446"/>
      <c r="Q17" s="447"/>
      <c r="R17" s="448"/>
      <c r="S17" s="446"/>
      <c r="T17" s="448"/>
      <c r="U17" s="867"/>
      <c r="V17" s="867"/>
      <c r="W17" s="446"/>
      <c r="X17" s="857"/>
      <c r="Y17" s="446"/>
      <c r="Z17" s="446"/>
      <c r="AA17" s="446"/>
      <c r="AB17" s="446"/>
      <c r="AC17" s="446"/>
      <c r="AD17" s="858"/>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LEFT(SETUP!$B$3,1)&amp;"-"&amp;SETUP!$B$50&amp;"_"&amp;RIGHT(COMM!$O$30,3)&amp;"_"&amp;RIGHT(O18,LEN(O18)-3)&amp;"_"&amp;SETUP!$B$64</f>
        <v>R-SH_Apt_PEA_X0</v>
      </c>
      <c r="N18" s="42" t="str">
        <f>COMM!P24&amp;" "&amp;COMM!F7&amp;" "&amp;SETUP!C64</f>
        <v>Residential Space Heating Apartment Peat to Residential Existing 00</v>
      </c>
      <c r="O18" s="42" t="str">
        <f>COMM!E7</f>
        <v>RSDPEA</v>
      </c>
      <c r="P18" s="42"/>
      <c r="Q18" s="42" t="str">
        <f>COMM!O9&amp;","&amp;COMM!O12&amp;","&amp;COMM!O15&amp;","&amp;COMM!O18&amp;","&amp;COMM!O21&amp;","&amp;COMM!O24</f>
        <v>RSDSH_Apt-AB,RSDSH_Apt-C,RSDSH_Apt-D,RSDSH_Apt-E,RSDSH_Apt-F,RSDSH_Apt-G</v>
      </c>
      <c r="R18" s="440">
        <f>(E17+E18)/SUM($E$7:$E$25)</f>
        <v>1.0386064868393721E-4</v>
      </c>
      <c r="S18" s="441">
        <f>R18*DwellingStocks!$I$28/1000</f>
        <v>2.2010240585774058E-2</v>
      </c>
      <c r="T18" s="442">
        <f>(S18*1000)/(E17+E18)*DwellingStocks!$T$27</f>
        <v>1.1939537873378505</v>
      </c>
      <c r="U18" s="865">
        <f>(G17+G18)/200</f>
        <v>0.52500000000000002</v>
      </c>
      <c r="V18" s="865">
        <f>AB18/S18/X18</f>
        <v>0.16181172882484221</v>
      </c>
      <c r="W18" s="443">
        <v>20</v>
      </c>
      <c r="X18" s="861">
        <f>31.536*(AD18/1000)</f>
        <v>0.47304000000000002</v>
      </c>
      <c r="Y18" s="443"/>
      <c r="Z18" s="443"/>
      <c r="AA18" s="443"/>
      <c r="AB18" s="444">
        <f>AC18*U18</f>
        <v>1.6847390939327056E-3</v>
      </c>
      <c r="AC18" s="445">
        <f>IF(((D17+I17)+D18+I18*$B$2)&lt;=0,0,((D17+I17+D18+I18)*T18*$B$2))</f>
        <v>3.2090268455861057E-3</v>
      </c>
      <c r="AD18" s="856">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59" t="s">
        <v>254</v>
      </c>
      <c r="M19" s="559" t="s">
        <v>254</v>
      </c>
      <c r="N19" s="446"/>
      <c r="O19" s="446"/>
      <c r="P19" s="446"/>
      <c r="Q19" s="446"/>
      <c r="R19" s="446"/>
      <c r="S19" s="446"/>
      <c r="T19" s="446"/>
      <c r="U19" s="446"/>
      <c r="V19" s="446"/>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LEFT(SETUP!$B$3,1)&amp;"-"&amp;SETUP!$B$50&amp;"_"&amp;RIGHT(COMM!$O$30,3)&amp;"_"&amp;RIGHT(COMM!E23,LEN(COMM!E23)-3)&amp;"_"&amp;SETUP!$B$64</f>
        <v>R-SH_Apt_SMF_X0</v>
      </c>
      <c r="N20" s="42" t="str">
        <f>COMM!P24&amp;" "&amp;COMM!F23&amp;" "&amp;SETUP!C64</f>
        <v>Residential Space Heating Apartment Solid Multi-Fuel Existing 00</v>
      </c>
      <c r="O20" s="42" t="str">
        <f>COMM!E6</f>
        <v>RSDCOA</v>
      </c>
      <c r="P20" s="42"/>
      <c r="Q20" s="42" t="str">
        <f>COMM!O9&amp;","&amp;COMM!O12&amp;","&amp;COMM!O15&amp;","&amp;COMM!O18&amp;","&amp;COMM!O21&amp;","&amp;COMM!O24</f>
        <v>RSDSH_Apt-AB,RSDSH_Apt-C,RSDSH_Apt-D,RSDSH_Apt-E,RSDSH_Apt-F,RSDSH_Apt-G</v>
      </c>
      <c r="R20" s="440">
        <f>E19/SUM($E$7:$E$25)</f>
        <v>3.2493545802546068E-3</v>
      </c>
      <c r="S20" s="441">
        <f>R20*DwellingStocks!$I$28/1000</f>
        <v>0.68860609832635977</v>
      </c>
      <c r="T20" s="442">
        <f>(S20*1000)/E19*DwellingStocks!$T$27-0.19617</f>
        <v>0.99778378733785056</v>
      </c>
      <c r="U20" s="865">
        <f>G19/100</f>
        <v>0.58177777777777773</v>
      </c>
      <c r="V20" s="865">
        <f>SUM(AB20:AB22)/S20/X20</f>
        <v>0.1428311481676737</v>
      </c>
      <c r="W20" s="443">
        <v>20</v>
      </c>
      <c r="X20" s="861">
        <f>31.536*(AD20/1000)</f>
        <v>0.47304000000000002</v>
      </c>
      <c r="Y20" s="566">
        <f>RSD_Balance!H2</f>
        <v>0.19400000000000001</v>
      </c>
      <c r="Z20" s="443">
        <v>5</v>
      </c>
      <c r="AA20" s="443"/>
      <c r="AB20" s="444">
        <f>AC20*$U$20</f>
        <v>9.0259596516703341E-3</v>
      </c>
      <c r="AC20" s="445">
        <f>IF(((D19+I19)*$B$2)&lt;=0,0,((D19+I19)*T20*$B$2))*Y20</f>
        <v>1.551444554336001E-2</v>
      </c>
      <c r="AD20" s="856">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2.8845850433173231E-3</v>
      </c>
      <c r="AC22" s="445">
        <f>IF(((D19+I19)*$B$2)&lt;=0,0,((D19+I19)*T20*$B$2))*Y22</f>
        <v>4.9582248643727867E-3</v>
      </c>
      <c r="AD22" s="856">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LEFT(SETUP!$B$3,1)&amp;"-"&amp;SETUP!$B$50&amp;"_"&amp;RIGHT(COMM!$O$30,3)&amp;"_"&amp;RIGHT(O23,LEN(O23)-3)&amp;"_"&amp;SETUP!$B$64</f>
        <v>R-SH_Apt_WOO_X0</v>
      </c>
      <c r="N23" s="332" t="str">
        <f>COMM!P24&amp;" "&amp;COMM!F16&amp;" "&amp;SETUP!C64</f>
        <v>Residential Space Heating Apartment Biomass to Residential Existing 00</v>
      </c>
      <c r="O23" s="332" t="str">
        <f>COMM!E16</f>
        <v>RSDWOO</v>
      </c>
      <c r="P23" s="332"/>
      <c r="Q23" s="332" t="str">
        <f>COMM!O9&amp;","&amp;COMM!O12&amp;","&amp;COMM!O15&amp;","&amp;COMM!O18&amp;","&amp;COMM!O21&amp;","&amp;COMM!O24</f>
        <v>RSDSH_Apt-AB,RSDSH_Apt-C,RSDSH_Apt-D,RSDSH_Apt-E,RSDSH_Apt-F,RSDSH_Apt-G</v>
      </c>
      <c r="R23" s="433">
        <f>(E20+E21+E22+E23)/SUM($E$7:$E$25)</f>
        <v>1.3872815217068756E-3</v>
      </c>
      <c r="S23" s="434">
        <f>R23*DwellingStocks!$I$28/1000</f>
        <v>0.29399392782426775</v>
      </c>
      <c r="T23" s="435">
        <f>(S23*1000)/(E20+E21+E22+E23)*DwellingStocks!$T$27+0.1866</f>
        <v>1.3805537873378504</v>
      </c>
      <c r="U23" s="863">
        <f>(G21+G22+G23)/300</f>
        <v>0.6880451127819549</v>
      </c>
      <c r="V23" s="863">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LEFT(SETUP!$B$3,1)&amp;"-"&amp;SETUP!$B$50&amp;"_"&amp;RIGHT(COMM!$O$30,3)&amp;"_"&amp;RIGHT(O24,LEN(O24)-3)&amp;"_"&amp;SETUP!$B$64</f>
        <v>R-SH_Apt_HET_X0</v>
      </c>
      <c r="N24" s="42" t="str">
        <f>COMM!P24&amp;" "&amp;COMM!F25&amp;" "&amp;SETUP!C64</f>
        <v>Residential Space Heating Apartment Heat to Residential Existing 00</v>
      </c>
      <c r="O24" s="42" t="str">
        <f>COMM!E25</f>
        <v>RSDHET</v>
      </c>
      <c r="P24" s="42"/>
      <c r="Q24" s="42" t="str">
        <f>COMM!O9&amp;","&amp;COMM!O12&amp;","&amp;COMM!O15&amp;","&amp;COMM!O18&amp;","&amp;COMM!O21&amp;","&amp;COMM!O24</f>
        <v>RSDSH_Apt-AB,RSDSH_Apt-C,RSDSH_Apt-D,RSDSH_Apt-E,RSDSH_Apt-F,RSDSH_Apt-G</v>
      </c>
      <c r="R24" s="440">
        <f>E24/SUM($E$7:$E$25)</f>
        <v>6.5039021929434102E-2</v>
      </c>
      <c r="S24" s="441">
        <f>R24*DwellingStocks!$I$28/1000</f>
        <v>13.78312708682008</v>
      </c>
      <c r="T24" s="442">
        <f>(S24*1000)/E24*DwellingStocks!$T$27</f>
        <v>1.1939537873378503</v>
      </c>
      <c r="U24" s="865">
        <f>G24/100</f>
        <v>0.39838442187649958</v>
      </c>
      <c r="V24" s="865">
        <f>AB24/S24/X24</f>
        <v>2.4012944107449146E-3</v>
      </c>
      <c r="W24" s="443">
        <v>20</v>
      </c>
      <c r="X24" s="861">
        <f t="shared" si="5"/>
        <v>0.47304000000000002</v>
      </c>
      <c r="Y24" s="443"/>
      <c r="Z24" s="443"/>
      <c r="AA24" s="443"/>
      <c r="AB24" s="444">
        <f>AC24*U24</f>
        <v>1.5656368568948861E-2</v>
      </c>
      <c r="AC24" s="445">
        <f>IF(((D24+I24)*$B$2)&lt;=0,0,((D24+I24)*T24*$B$2))</f>
        <v>3.9299650561643661E-2</v>
      </c>
      <c r="AD24" s="856">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859"/>
      <c r="AF28" s="432"/>
      <c r="AG28" s="859"/>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LEFT(SETUP!B3,1)&amp;"-"&amp;RIGHT(COMM!$O$30,6)&amp;"_"&amp;RIGHT(O33,LEN(O33)-3)&amp;"_"&amp;SETUP!$B$64</f>
        <v>R-WH_Apt_COA_X0</v>
      </c>
      <c r="N33" s="332" t="str">
        <f>COMM!$P$30&amp;" "&amp;COMM!F6&amp;" "&amp;SETUP!$C$64</f>
        <v>Residential Water Heating Apartment Coal to Residential Existing 00</v>
      </c>
      <c r="O33" s="332" t="str">
        <f>COMM!$E$6</f>
        <v>RSDCOA</v>
      </c>
      <c r="P33" s="332"/>
      <c r="Q33" s="332" t="str">
        <f>COMM!$O$30</f>
        <v>RSDWH_Apt</v>
      </c>
      <c r="R33" s="433">
        <f>(E31+E38+E40)/SUM($E$31:$E$49)-($R$51/7)</f>
        <v>3.5291010812410961E-4</v>
      </c>
      <c r="S33" s="434">
        <f>R33*DwellingStocks!$I$28/1000</f>
        <v>7.4789022439106984E-2</v>
      </c>
      <c r="T33" s="491">
        <f>IFERROR((S33*1000)/(E31+E38+E40),0)+1.0376</f>
        <v>1.3505247800799456</v>
      </c>
      <c r="U33" s="863">
        <f t="shared" ref="U33:U38" si="6">U7</f>
        <v>0.59018803418803423</v>
      </c>
      <c r="V33" s="863">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LEFT(SETUP!B3,1)&amp;"-"&amp;RIGHT(COMM!$O$30,6)&amp;"_"&amp;RIGHT(O34,LEN(O34)-3)&amp;"_"&amp;SETUP!$B$64</f>
        <v>R-WH_Apt_BDL_X0</v>
      </c>
      <c r="N34" s="439" t="str">
        <f>COMM!$P$30&amp;" "&amp;COMM!F21&amp;" "&amp;SETUP!$C$64</f>
        <v>Residential Water Heating Apartment Biodiesel to Residential Existing 00</v>
      </c>
      <c r="O34" s="42" t="str">
        <f>COMM!$E$21</f>
        <v>RSDBDL</v>
      </c>
      <c r="P34" s="42"/>
      <c r="Q34" s="42" t="str">
        <f>COMM!$O$30</f>
        <v>RSDWH_Apt</v>
      </c>
      <c r="R34" s="440">
        <f>E32/SUM($E$31:$E$49)</f>
        <v>2.9815590572310261E-5</v>
      </c>
      <c r="S34" s="441">
        <f>R34*DwellingStocks!$I$28/1000</f>
        <v>6.3185463408816462E-3</v>
      </c>
      <c r="T34" s="442">
        <f>IFERROR((S34*1000)/E32,0)</f>
        <v>1.5796365852204115</v>
      </c>
      <c r="U34" s="864">
        <f t="shared" si="6"/>
        <v>0.9</v>
      </c>
      <c r="V34" s="865">
        <f t="shared" ref="V34:V40" si="10">AB34/S34/X34</f>
        <v>7.5051369863013681E-2</v>
      </c>
      <c r="W34" s="443">
        <v>20</v>
      </c>
      <c r="X34" s="861">
        <f t="shared" si="7"/>
        <v>9.4608000000000012E-2</v>
      </c>
      <c r="Y34" s="443"/>
      <c r="Z34" s="443"/>
      <c r="AA34" s="443"/>
      <c r="AB34" s="444">
        <f t="shared" si="8"/>
        <v>4.4864585551576488E-5</v>
      </c>
      <c r="AC34" s="445">
        <f>IF(((D32+I32)*$B$2)&lt;=0,0,((D32+I32)*T34*$B$2))</f>
        <v>4.9849539501751653E-5</v>
      </c>
      <c r="AD34" s="856">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LEFT(SETUP!B3,1)&amp;"-"&amp;RIGHT(COMM!$O$30,6)&amp;"_"&amp;RIGHT(O35,LEN(O35)-3)&amp;"_"&amp;SETUP!$B$64</f>
        <v>R-WH_Apt_ETH_X0</v>
      </c>
      <c r="N35" s="332" t="str">
        <f>COMM!$P$30&amp;" "&amp;COMM!F20&amp;" "&amp;SETUP!$C$64</f>
        <v>Residential Water Heating Apartment Ethanol to Residential Existing 00</v>
      </c>
      <c r="O35" s="332" t="str">
        <f>COMM!$E$20</f>
        <v>RSDETH</v>
      </c>
      <c r="P35" s="332"/>
      <c r="Q35" s="332" t="str">
        <f>COMM!$O$30</f>
        <v>RSDWH_Apt</v>
      </c>
      <c r="R35" s="433">
        <f>E33/SUM($E$31:$E$49)</f>
        <v>2.2361692929232695E-5</v>
      </c>
      <c r="S35" s="434">
        <f>R35*DwellingStocks!$I$28/1000</f>
        <v>4.7389097556612345E-3</v>
      </c>
      <c r="T35" s="435">
        <f>IFERROR((S35*1000)/E33,0)</f>
        <v>1.5796365852204115</v>
      </c>
      <c r="U35" s="866">
        <f t="shared" si="6"/>
        <v>0.9</v>
      </c>
      <c r="V35" s="863">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LEFT(SETUP!B3,1)&amp;"-"&amp;RIGHT(COMM!$O$30,6)&amp;"_"&amp;RIGHT(O36,LEN(O36)-3)&amp;"_"&amp;SETUP!$B$64</f>
        <v>R-WH_Apt_LPG_X0</v>
      </c>
      <c r="N36" s="439" t="str">
        <f>COMM!$P$30&amp;" "&amp;COMM!F8&amp;" "&amp;SETUP!$C$64</f>
        <v>Residential Water Heating Apartment LPG to Residential Existing 00</v>
      </c>
      <c r="O36" s="42" t="str">
        <f>COMM!$E$8</f>
        <v>RSDLPG</v>
      </c>
      <c r="P36" s="42"/>
      <c r="Q36" s="42" t="str">
        <f>COMM!$O$30</f>
        <v>RSDWH_Apt</v>
      </c>
      <c r="R36" s="440">
        <f>(E34+E35)/SUM($E$31:$E$49)-($R$51/7)</f>
        <v>1.2920181534352884E-2</v>
      </c>
      <c r="S36" s="441">
        <f>(R36)*DwellingStocks!$I$28/1000</f>
        <v>2.738056305120721</v>
      </c>
      <c r="T36" s="442">
        <f>IFERROR((S36*1000)/(E34+E35),0)+0.5284</f>
        <v>1.9507669117510238</v>
      </c>
      <c r="U36" s="865">
        <f t="shared" si="6"/>
        <v>0.80677902621722841</v>
      </c>
      <c r="V36" s="865">
        <f t="shared" si="10"/>
        <v>0.12791013441859095</v>
      </c>
      <c r="W36" s="443">
        <v>20</v>
      </c>
      <c r="X36" s="861">
        <f t="shared" si="7"/>
        <v>9.4608000000000012E-2</v>
      </c>
      <c r="Y36" s="443"/>
      <c r="Z36" s="443"/>
      <c r="AA36" s="443"/>
      <c r="AB36" s="444">
        <f t="shared" si="8"/>
        <v>3.3134100994384685E-2</v>
      </c>
      <c r="AC36" s="445">
        <f>IF(((D34+I34+D35+I35)*$B$2)&lt;=0,0,((D34+I34+D35+I35)*T36*$B$2))</f>
        <v>4.1069611278495483E-2</v>
      </c>
      <c r="AD36" s="856">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LEFT(SETUP!B3,1)&amp;"-"&amp;RIGHT(COMM!$O$30,6)&amp;"_"&amp;RIGHT(O38,LEN(O38)-3)&amp;"_"&amp;SETUP!$B$64</f>
        <v>R-WH_Apt_ELC_X0</v>
      </c>
      <c r="N37" s="332" t="str">
        <f>COMM!$P$30&amp;" "&amp;COMM!F24&amp;" "&amp;SETUP!$C$64</f>
        <v>Residential Water Heating Apartment Electricity to Residential Existing 00</v>
      </c>
      <c r="O37" s="332" t="str">
        <f>COMM!$E$24</f>
        <v>RSDELC</v>
      </c>
      <c r="P37" s="332"/>
      <c r="Q37" s="332" t="str">
        <f>COMM!$O$30</f>
        <v>RSDWH_Apt</v>
      </c>
      <c r="R37" s="433">
        <f>(ArchetypeDemand!P50*SUM(E36+E49))/SUM($E$31:$E$49)-($R$51/7)</f>
        <v>0.32466305188125721</v>
      </c>
      <c r="S37" s="434">
        <f>R37*DwellingStocks!$I$28/1000</f>
        <v>68.802881281476928</v>
      </c>
      <c r="T37" s="435">
        <f>IFERROR((S37*1000)/E49,0)-0.67619</f>
        <v>1.1453413269479227</v>
      </c>
      <c r="U37" s="863">
        <f t="shared" si="6"/>
        <v>1</v>
      </c>
      <c r="V37" s="863">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LEFT(SETUP!B3,1)&amp;"-"&amp;RIGHT(COMM!$O$30,6)&amp;"_"&amp;RIGHT(O38,LEN(O38)-3)&amp;"_"&amp;SETUP!$B$65</f>
        <v>R-WH_Apt_ELC_X1</v>
      </c>
      <c r="N38" s="439" t="str">
        <f>COMM!$P$30&amp;" "&amp;COMM!F24&amp;" "&amp;SETUP!$C$65</f>
        <v>Residential Water Heating Apartment Electricity to Residential Existing 01</v>
      </c>
      <c r="O38" s="42" t="str">
        <f>COMM!$E$24</f>
        <v>RSDELC</v>
      </c>
      <c r="P38" s="42"/>
      <c r="Q38" s="42" t="str">
        <f>COMM!$O$30</f>
        <v>RSDWH_Apt</v>
      </c>
      <c r="R38" s="440">
        <f>(ArchetypeDemand!Q50*SUM(E36+E49))/SUM($E$31:$E$49)-($R$51/7)</f>
        <v>0.15202631012899503</v>
      </c>
      <c r="S38" s="441">
        <f>R38*DwellingStocks!$I$28/1000</f>
        <v>32.217550185821089</v>
      </c>
      <c r="T38" s="442">
        <f>IFERROR((S38*1000)/E36,0)+0.392</f>
        <v>1.6048731764417079</v>
      </c>
      <c r="U38" s="865">
        <f t="shared" si="6"/>
        <v>3.0701960784313722</v>
      </c>
      <c r="V38" s="865">
        <f t="shared" si="10"/>
        <v>1.4715919856305928</v>
      </c>
      <c r="W38" s="443">
        <v>20</v>
      </c>
      <c r="X38" s="861">
        <f t="shared" si="7"/>
        <v>3.1536000000000002E-2</v>
      </c>
      <c r="Y38" s="443"/>
      <c r="Z38" s="443"/>
      <c r="AA38" s="443"/>
      <c r="AB38" s="444">
        <f t="shared" si="8"/>
        <v>1.4951560916697344</v>
      </c>
      <c r="AC38" s="445">
        <f>IF(((D49+I49)*$B$2)&lt;=0,0,((D49+I49)*T38*$B$2))</f>
        <v>0.4869904245443637</v>
      </c>
      <c r="AD38" s="856">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5"/>
      <c r="V39" s="865"/>
      <c r="W39" s="443"/>
      <c r="X39" s="861">
        <f t="shared" si="7"/>
        <v>6.3072000000000003E-2</v>
      </c>
      <c r="Y39" s="443"/>
      <c r="Z39" s="443"/>
      <c r="AA39" s="443">
        <f>AC39/AB38</f>
        <v>0.17392861061318399</v>
      </c>
      <c r="AB39" s="444"/>
      <c r="AC39" s="445">
        <f>RSD_Balance!I22</f>
        <v>0.26005042167395526</v>
      </c>
      <c r="AD39" s="856">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LEFT(SETUP!B3,1)&amp;"-"&amp;RIGHT(COMM!$O$30,6)&amp;"_"&amp;RIGHT(O40,LEN(O40)-3)&amp;"_"&amp;SETUP!$B$64</f>
        <v>R-WH_Apt_KER_X0</v>
      </c>
      <c r="N40" s="332" t="str">
        <f>COMM!$P$30&amp;" "&amp;COMM!F10&amp;" "&amp;SETUP!$C$64</f>
        <v>Residential Water Heating Apartment Kerosene to Residential Existing 00</v>
      </c>
      <c r="O40" s="332" t="str">
        <f>COMM!$E$10</f>
        <v>RSDKER</v>
      </c>
      <c r="P40" s="332"/>
      <c r="Q40" s="332" t="str">
        <f>COMM!$O$30</f>
        <v>RSDWH_Apt</v>
      </c>
      <c r="R40" s="433">
        <f>E37/SUM($E$31:$E$49)-($R$51/7)</f>
        <v>2.6940963000981786E-2</v>
      </c>
      <c r="S40" s="434">
        <f>R40*DwellingStocks!$I$28/1000</f>
        <v>5.7093527219203155</v>
      </c>
      <c r="T40" s="491">
        <f>IFERROR((S40*1000)/E37,0)-0.1727</f>
        <v>1.3273926752286691</v>
      </c>
      <c r="U40" s="863">
        <f>U14</f>
        <v>0.81016216216216219</v>
      </c>
      <c r="V40" s="863">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59" t="s">
        <v>254</v>
      </c>
      <c r="M41" s="55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R-WH_Apt_GAS_X0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LEFT(SETUP!B3,1)&amp;"-"&amp;RIGHT(COMM!$O$30,6)&amp;"_"&amp;MID(O42,4,3)&amp;"_"&amp;SETUP!$B$64</f>
        <v>R-WH_Apt_GAS_X0</v>
      </c>
      <c r="N42" s="332" t="str">
        <f>COMM!$P$30&amp;" "&amp;COMM!F14&amp;" "&amp;SETUP!$C$64</f>
        <v>Residential Water Heating Apartment Natural Gas to Residential Existing 00</v>
      </c>
      <c r="O42" s="332" t="str">
        <f>COMM!$E$14&amp;","&amp;COMM!$E$17</f>
        <v>RSDGAS,RSDBGS</v>
      </c>
      <c r="P42" s="332"/>
      <c r="Q42" s="332" t="str">
        <f>COMM!$O$30</f>
        <v>RSDWH_Apt</v>
      </c>
      <c r="R42" s="433">
        <f>E39/SUM($E$31:$E$49)-($R$51/7)</f>
        <v>0.40480139622151279</v>
      </c>
      <c r="S42" s="434">
        <f>R42*DwellingStocks!$I$28/1000</f>
        <v>85.78587013649863</v>
      </c>
      <c r="T42" s="491">
        <f>IFERROR((S42*1000)/E39,0)-0.66693</f>
        <v>0.90715154528520947</v>
      </c>
      <c r="U42" s="863">
        <f>U16</f>
        <v>0.81026881720430111</v>
      </c>
      <c r="V42" s="863">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59" t="s">
        <v>254</v>
      </c>
      <c r="M43" s="55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LEFT(SETUP!B3,1)&amp;"-"&amp;RIGHT(COMM!$O$30,6)&amp;"_"&amp;RIGHT(O44,LEN(O44)-3)&amp;"_"&amp;SETUP!$B$64</f>
        <v>R-WH_Apt_PEA_X0</v>
      </c>
      <c r="N44" s="332" t="str">
        <f>COMM!$P$30&amp;" "&amp;COMM!F7&amp;" "&amp;SETUP!$C$64</f>
        <v>Residential Water Heating Apartment Peat to Residential Existing 00</v>
      </c>
      <c r="O44" s="332" t="str">
        <f>COMM!$E$7</f>
        <v>RSDPEA</v>
      </c>
      <c r="P44" s="332"/>
      <c r="Q44" s="332" t="str">
        <f>COMM!$O$30</f>
        <v>RSDWH_Apt</v>
      </c>
      <c r="R44" s="433">
        <f>(E41+E42)/SUM($E$31:$E$49)</f>
        <v>9.6900669360008349E-5</v>
      </c>
      <c r="S44" s="434">
        <f>R44*DwellingStocks!$I$28/1000</f>
        <v>2.053527560786535E-2</v>
      </c>
      <c r="T44" s="435">
        <f>(S44*1000)/(E42+E41)</f>
        <v>1.5796365852204117</v>
      </c>
      <c r="U44" s="863">
        <f>U18</f>
        <v>0.52500000000000002</v>
      </c>
      <c r="V44" s="863">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59" t="s">
        <v>254</v>
      </c>
      <c r="M45" s="55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LEFT(SETUP!B3,1)&amp;"-"&amp;RIGHT(COMM!$O$30,6)&amp;"_"&amp;RIGHT(COMM!E23,LEN(COMM!E23)-3)&amp;"_"&amp;SETUP!B64</f>
        <v>R-WH_Apt_SMF_X0</v>
      </c>
      <c r="N46" s="42" t="str">
        <f>COMM!P30&amp;" "&amp;COMM!F23&amp;" "&amp;SETUP!C64</f>
        <v>Residential Water Heating Apartment Solid Multi-Fuel Existing 00</v>
      </c>
      <c r="O46" s="42" t="str">
        <f>COMM!E6</f>
        <v>RSDCOA</v>
      </c>
      <c r="P46" s="42"/>
      <c r="Q46" s="42" t="str">
        <f>COMM!$O$30</f>
        <v>RSDWH_Apt</v>
      </c>
      <c r="R46" s="440">
        <f>E43/SUM($E$31:$E$49)</f>
        <v>2.9070200808002503E-3</v>
      </c>
      <c r="S46" s="441">
        <f>R46*DwellingStocks!$I$28/1000</f>
        <v>0.61605826823596055</v>
      </c>
      <c r="T46" s="442">
        <f>(S46*1000)/E43-0.19617</f>
        <v>1.3834665852204118</v>
      </c>
      <c r="U46" s="864">
        <f>U20</f>
        <v>0.58177777777777773</v>
      </c>
      <c r="V46" s="865">
        <f>SUM(AB46:AB48)/S46/X46</f>
        <v>8.6744058081248951E-2</v>
      </c>
      <c r="W46" s="443">
        <v>20</v>
      </c>
      <c r="X46" s="861">
        <f t="shared" ref="X46" si="13">31.536*(AD46/1000)</f>
        <v>9.4608000000000012E-2</v>
      </c>
      <c r="Y46" s="566">
        <f>RSD_Balance!H2</f>
        <v>0.19400000000000001</v>
      </c>
      <c r="Z46" s="443">
        <v>5</v>
      </c>
      <c r="AA46" s="443"/>
      <c r="AB46" s="444">
        <f>AC46*$U$46</f>
        <v>9.8082407607962495E-4</v>
      </c>
      <c r="AC46" s="445">
        <f>IF(((D43+I43)*$B$2)&lt;=0,0,((D43+I43)*T46*$B$2))*Y46</f>
        <v>1.6859084577380875E-3</v>
      </c>
      <c r="AD46" s="856">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5"/>
        <v>3.1345924080895235E-4</v>
      </c>
      <c r="AC48" s="445">
        <f>IF(((D43+I43)*$B$2)&lt;=0,0,((D43+I43)*T46*$B$2))*Y48</f>
        <v>5.3879548649361558E-4</v>
      </c>
      <c r="AD48" s="856">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LEFT(SETUP!B3,1)&amp;"-"&amp;RIGHT(COMM!$O$30,6)&amp;"_"&amp;RIGHT(O49,LEN(O49)-3)&amp;"_"&amp;SETUP!B64</f>
        <v>R-WH_Apt_WOO_X0</v>
      </c>
      <c r="N49" s="332" t="str">
        <f>COMM!P30&amp;" "&amp;COMM!F16&amp;" "&amp;SETUP!C64</f>
        <v>Residential Water Heating Apartment Biomass to Residential Existing 00</v>
      </c>
      <c r="O49" s="332" t="str">
        <f>COMM!E16</f>
        <v>RSDWOO</v>
      </c>
      <c r="P49" s="332"/>
      <c r="Q49" s="332" t="str">
        <f>COMM!$O$30</f>
        <v>RSDWH_Apt</v>
      </c>
      <c r="R49" s="433">
        <f>(E47+E44+E45+E46)/SUM($E$31:$E$49)</f>
        <v>1.319339882824729E-3</v>
      </c>
      <c r="S49" s="434">
        <f>R49*DwellingStocks!$I$28/1000</f>
        <v>0.27959567558401283</v>
      </c>
      <c r="T49" s="435">
        <f>(S49*1000)/(E47+E44+E45+E46)+0.1866</f>
        <v>1.7662365852204114</v>
      </c>
      <c r="U49" s="863">
        <f>U23</f>
        <v>0.6880451127819549</v>
      </c>
      <c r="V49" s="863">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8"/>
      <c r="C50" s="297"/>
      <c r="D50" s="297"/>
      <c r="E50" s="297"/>
      <c r="F50" s="297"/>
      <c r="G50" s="297"/>
      <c r="H50" s="297"/>
      <c r="I50" s="297"/>
      <c r="J50" s="297"/>
      <c r="L50" s="42" t="str">
        <f>_xlfn.TEXTJOIN(",",TRUE,IF(LEFT(Regions!$C$3,1)&lt;&gt;"*",Regions!$C$3,""),IF(LEFT(Regions!$D$3,1)&lt;&gt;"*",Regions!$D$3,""))</f>
        <v>IE,National</v>
      </c>
      <c r="M50" s="42" t="str">
        <f>LEFT(SETUP!B3,1)&amp;"-"&amp;RIGHT(COMM!$O$30,6)&amp;"_"&amp;RIGHT(O50,LEN(O50)-3)&amp;"_"&amp;SETUP!B64</f>
        <v>R-WH_Apt_HET_X0</v>
      </c>
      <c r="N50" s="439" t="str">
        <f>COMM!P30&amp;" "&amp;COMM!F25&amp;" "&amp;SETUP!C64</f>
        <v>Residential Water Heating Apartment Heat to Residential Existing 00</v>
      </c>
      <c r="O50" s="42" t="str">
        <f>COMM!E25</f>
        <v>RSDHET</v>
      </c>
      <c r="P50" s="42"/>
      <c r="Q50" s="42" t="str">
        <f>COMM!$O$30</f>
        <v>RSDWH_Apt</v>
      </c>
      <c r="R50" s="440">
        <f>E48/SUM($E$31:$E$49)-($R$51/7)</f>
        <v>6.3919749208289578E-2</v>
      </c>
      <c r="S50" s="441">
        <f>R50*DwellingStocks!$I$28/1000</f>
        <v>13.545929821198776</v>
      </c>
      <c r="T50" s="442">
        <f>(S50*1000)/E48</f>
        <v>1.5451043482603828</v>
      </c>
      <c r="U50" s="865">
        <f>U24</f>
        <v>0.39838442187649958</v>
      </c>
      <c r="V50" s="865">
        <f>AB50/S50/X50</f>
        <v>3.2373195740855922E-3</v>
      </c>
      <c r="W50" s="443">
        <v>20</v>
      </c>
      <c r="X50" s="861">
        <f t="shared" si="16"/>
        <v>9.4608000000000012E-2</v>
      </c>
      <c r="Y50" s="443"/>
      <c r="Z50" s="443"/>
      <c r="AA50" s="443"/>
      <c r="AB50" s="444">
        <f>AC50*U50</f>
        <v>4.1487976756652044E-3</v>
      </c>
      <c r="AC50" s="445">
        <f>IF(((D48+I48)*$B$2)&lt;=0,0,((D48+I48)*T50*$B$2))</f>
        <v>1.0414055991755985E-2</v>
      </c>
      <c r="AD50" s="856">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LEFT(SETUP!B3,1)&amp;"-"&amp;RIGHT(COMM!$O$30,6)&amp;"_"&amp;RIGHT(O51,LEN(O51)-3)&amp;"_"&amp;SETUP!B64</f>
        <v>R-WH_Apt_SOL_X0</v>
      </c>
      <c r="N51" s="332" t="str">
        <f>COMM!P30&amp;" "&amp;COMM!F15&amp;" "&amp;SETUP!C64</f>
        <v>Residential Water Heating Apartment Solar Thermal to Residential Existing 00</v>
      </c>
      <c r="O51" s="332" t="str">
        <f>COMM!E15</f>
        <v>RSDSOL</v>
      </c>
      <c r="P51" s="332"/>
      <c r="Q51" s="332" t="str">
        <f>COMM!$O$30</f>
        <v>RSDWH_Apt</v>
      </c>
      <c r="R51" s="499">
        <v>0.01</v>
      </c>
      <c r="S51" s="434">
        <f>R51*DwellingStocks!$I$28/1000</f>
        <v>2.1192088500000001</v>
      </c>
      <c r="T51" s="435">
        <f>MAX(T33:T50)</f>
        <v>1.9507669117510238</v>
      </c>
      <c r="U51" s="863">
        <v>1</v>
      </c>
      <c r="V51" s="863">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LEFT(SETUP!B3,1)&amp;"-"&amp;RIGHT(COMM!$O$33,6)&amp;"_"&amp;SETUP!B64</f>
        <v>R-LT_Apt_X0</v>
      </c>
      <c r="N59" s="332" t="str">
        <f>COMM!$P$33&amp;" "&amp;SETUP!$C$64</f>
        <v>Residential Lighting Apartment Existing 00</v>
      </c>
      <c r="O59" s="332" t="str">
        <f>COMM!E24</f>
        <v>RSDELC</v>
      </c>
      <c r="P59" s="332"/>
      <c r="Q59" s="332" t="str">
        <f>COMM!$O$33</f>
        <v>RSDLT_Apt</v>
      </c>
      <c r="R59" s="332">
        <v>1</v>
      </c>
      <c r="S59" s="435">
        <f>DwellingStocks!I28/1000</f>
        <v>211.92088499999997</v>
      </c>
      <c r="T59" s="332">
        <f>(S59*1000)/SUM(G54:G62)-0.1837</f>
        <v>1.3884483786731157</v>
      </c>
      <c r="U59" s="863">
        <v>0.4</v>
      </c>
      <c r="V59" s="863">
        <f t="shared" ref="V59" si="17">AB59/S59/X59</f>
        <v>0.21099925846434398</v>
      </c>
      <c r="W59" s="437">
        <v>10</v>
      </c>
      <c r="X59" s="436">
        <f>31.536*(AD59/1000)</f>
        <v>3.0747599999999997E-3</v>
      </c>
      <c r="Y59" s="437"/>
      <c r="Z59" s="437"/>
      <c r="AA59" s="437"/>
      <c r="AB59" s="1053">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LEFT(SETUP!B3,1)&amp;"-"&amp;RIGHT(COMM!$O$36,6)&amp;"_"&amp;SETUP!$B$64</f>
        <v>R-PF_Apt_X0</v>
      </c>
      <c r="N60" s="439" t="str">
        <f>COMM!$P$36&amp;" "&amp;SETUP!$C$64</f>
        <v>Residential Pumps &amp; Fans Apartment Existing 00</v>
      </c>
      <c r="O60" s="439" t="str">
        <f>COMM!E24</f>
        <v>RSDELC</v>
      </c>
      <c r="P60" s="439"/>
      <c r="Q60" s="439" t="str">
        <f>COMM!$O$36</f>
        <v>RSDPF_Apt</v>
      </c>
      <c r="R60" s="439">
        <v>1</v>
      </c>
      <c r="S60" s="869">
        <f>DwellingStocks!I28/1000</f>
        <v>211.92088499999997</v>
      </c>
      <c r="T60" s="439">
        <f>(S60*1000)/SUM(G54:G62)-0.1837</f>
        <v>1.3884483786731157</v>
      </c>
      <c r="U60" s="870">
        <v>0.6</v>
      </c>
      <c r="V60" s="870">
        <f>AB60/S60/X60</f>
        <v>0.12717388611090527</v>
      </c>
      <c r="W60" s="871">
        <v>15</v>
      </c>
      <c r="X60" s="872">
        <f t="shared" ref="X60" si="18">31.536*(AD60/1000)</f>
        <v>1.5768000000000002E-3</v>
      </c>
      <c r="Y60" s="871"/>
      <c r="Z60" s="871"/>
      <c r="AA60" s="871"/>
      <c r="AB60" s="873">
        <f>AC60*U60</f>
        <v>4.2496025371770121E-2</v>
      </c>
      <c r="AC60" s="445">
        <f>(F54+F55+F56+F57+F58+F59+F60+F61+F62)*T60*$B$2</f>
        <v>7.0826708952950207E-2</v>
      </c>
      <c r="AD60" s="855">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6"/>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K20" zoomScale="90" zoomScaleNormal="90" workbookViewId="0">
      <selection activeCell="M43" sqref="M43"/>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27.8554687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LEFT(SETUP!$B$3,1)&amp;"-"&amp;SETUP!$B$50&amp;"_"&amp;RIGHT(COMM!$O$31,3)&amp;"_"&amp;RIGHT(O7,LEN(O7)-3)&amp;"_"&amp;SETUP!$B$64</f>
        <v>R-SH_Att_COA_X0</v>
      </c>
      <c r="N7" s="332" t="str">
        <f>COMM!$P$25&amp;" "&amp;COMM!F6&amp;" "&amp;SETUP!$C$64</f>
        <v>Residential Space Heating Attached Coal to Residential Existing 00</v>
      </c>
      <c r="O7" s="332" t="str">
        <f>COMM!$E$6</f>
        <v>RSDCOA</v>
      </c>
      <c r="P7" s="332"/>
      <c r="Q7" s="332" t="str">
        <f>COMM!O10&amp;","&amp;COMM!O13&amp;","&amp;COMM!O16&amp;","&amp;COMM!O19&amp;","&amp;COMM!O22&amp;","&amp;COMM!O25</f>
        <v>RSDSH_Att-AB,RSDSH_Att-C,RSDSH_Att-D,RSDSH_Att-E,RSDSH_Att-F,RSDSH_Att-G</v>
      </c>
      <c r="R7" s="433">
        <f>(E7+E14+E16)/SUM($E$7:$E$25)</f>
        <v>1.6565651697171984E-2</v>
      </c>
      <c r="S7" s="434">
        <f>R7*DwellingStocks!$J$28/1000</f>
        <v>13.055451743331203</v>
      </c>
      <c r="T7" s="491">
        <f>(S7*1000)/(E7+E14+E16)*DwellingStocks!$U$27+1.0376</f>
        <v>2.4017847266716887</v>
      </c>
      <c r="U7" s="863">
        <f>(G7+G14+G16)/300</f>
        <v>0.55798087905732663</v>
      </c>
      <c r="V7" s="863">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332" t="str">
        <f>LEFT(SETUP!$B$3,1)&amp;"-"&amp;SETUP!$B$50&amp;"_"&amp;RIGHT(COMM!$O$31,3)&amp;"_"&amp;RIGHT(O8,LEN(O8)-3)&amp;"_"&amp;SETUP!$B$64</f>
        <v>R-SH_Att_BDL_X0</v>
      </c>
      <c r="N8" s="42" t="str">
        <f>COMM!$P$25&amp;" "&amp;COMM!F21&amp;" "&amp;SETUP!$C$64</f>
        <v>Residential Space Heating Attached Biodiesel to Residential Existing 00</v>
      </c>
      <c r="O8" s="42" t="str">
        <f>COMM!$E$21</f>
        <v>RSDBDL</v>
      </c>
      <c r="P8" s="42"/>
      <c r="Q8" s="42" t="str">
        <f>COMM!O10&amp;","&amp;COMM!O13&amp;","&amp;COMM!O16&amp;","&amp;COMM!O19&amp;","&amp;COMM!O22&amp;","&amp;COMM!O25</f>
        <v>RSDSH_Att-AB,RSDSH_Att-C,RSDSH_Att-D,RSDSH_Att-E,RSDSH_Att-F,RSDSH_Att-G</v>
      </c>
      <c r="R8" s="440">
        <f>E8/SUM($E$7:$E$25)</f>
        <v>2.4098998686604574E-6</v>
      </c>
      <c r="S8" s="441">
        <f>R8*DwellingStocks!$J$28/1000</f>
        <v>1.8992510537287172E-3</v>
      </c>
      <c r="T8" s="442">
        <f>(S8*1000)/E8*DwellingStocks!$U$27</f>
        <v>1.3641847266716887</v>
      </c>
      <c r="U8" s="865">
        <f>(G8)/100</f>
        <v>1</v>
      </c>
      <c r="V8" s="865">
        <f>AB8/S8/X8</f>
        <v>2.531591722262207E-2</v>
      </c>
      <c r="W8" s="443">
        <v>20</v>
      </c>
      <c r="X8" s="861">
        <f t="shared" ref="X8:X13" si="1">31.536*(AD8/1000)</f>
        <v>0.63072000000000006</v>
      </c>
      <c r="Y8" s="443"/>
      <c r="Z8" s="443"/>
      <c r="AA8" s="443"/>
      <c r="AB8" s="444">
        <f>AC8*U8</f>
        <v>3.0325826473911635E-5</v>
      </c>
      <c r="AC8" s="445">
        <f>IF(((D8+I8)*$B$2)&lt;=0,0,((D8+I8)*T8*$B$2))</f>
        <v>3.0325826473911635E-5</v>
      </c>
      <c r="AD8" s="856">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LEFT(SETUP!$B$3,1)&amp;"-"&amp;SETUP!$B$50&amp;"_"&amp;RIGHT(COMM!$O$31,3)&amp;"_"&amp;RIGHT(O9,LEN(O9)-3)&amp;"_"&amp;SETUP!$B$64</f>
        <v>R-SH_Att_ETH_X0</v>
      </c>
      <c r="N9" s="332" t="str">
        <f>COMM!P25&amp;" "&amp;COMM!F20&amp;" "&amp;SETUP!C64</f>
        <v>Residential Space Heating Attached Ethanol to Residential Existing 00</v>
      </c>
      <c r="O9" s="332" t="str">
        <f>COMM!$E$20</f>
        <v>RSDETH</v>
      </c>
      <c r="P9" s="332"/>
      <c r="Q9" s="332" t="str">
        <f>COMM!O10&amp;","&amp;COMM!O13&amp;","&amp;COMM!O16&amp;","&amp;COMM!O19&amp;","&amp;COMM!O22&amp;","&amp;COMM!O25</f>
        <v>RSDSH_Att-AB,RSDSH_Att-C,RSDSH_Att-D,RSDSH_Att-E,RSDSH_Att-F,RSDSH_Att-G</v>
      </c>
      <c r="R9" s="433">
        <f>E9/SUM($E$7:$E$25)</f>
        <v>0</v>
      </c>
      <c r="S9" s="434">
        <f>R9*DwellingStocks!$J$28/1000</f>
        <v>0</v>
      </c>
      <c r="T9" s="435">
        <f>IFERROR((S9*1000)/E9*DwellingStocks!$U$27,0)</f>
        <v>0</v>
      </c>
      <c r="U9" s="866">
        <v>0.9</v>
      </c>
      <c r="V9" s="863">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332" t="str">
        <f>LEFT(SETUP!$B$3,1)&amp;"-"&amp;SETUP!$B$50&amp;"_"&amp;RIGHT(COMM!$O$31,3)&amp;"_"&amp;RIGHT(O10,LEN(O10)-3)&amp;"_"&amp;SETUP!$B$64</f>
        <v>R-SH_Att_LPG_X0</v>
      </c>
      <c r="N10" s="42" t="str">
        <f>COMM!P25&amp;" "&amp;COMM!F8&amp;" "&amp;SETUP!C64</f>
        <v>Residential Space Heating Attached LPG to Residential Existing 00</v>
      </c>
      <c r="O10" s="42" t="str">
        <f>COMM!$E$8</f>
        <v>RSDLPG</v>
      </c>
      <c r="P10" s="42"/>
      <c r="Q10" s="42" t="str">
        <f>COMM!O10&amp;","&amp;COMM!O13&amp;","&amp;COMM!O16&amp;","&amp;COMM!O19&amp;","&amp;COMM!O22&amp;","&amp;COMM!O25</f>
        <v>RSDSH_Att-AB,RSDSH_Att-C,RSDSH_Att-D,RSDSH_Att-E,RSDSH_Att-F,RSDSH_Att-G</v>
      </c>
      <c r="R10" s="440">
        <f>(E10+E11)/SUM($E$7:$E$25)</f>
        <v>1.1165066091503898E-2</v>
      </c>
      <c r="S10" s="441">
        <f>(R10)*DwellingStocks!$J$28/1000</f>
        <v>8.799230131925146</v>
      </c>
      <c r="T10" s="442">
        <f>(S10*1000)/(E10+E11)*DwellingStocks!$U$27+0.5284</f>
        <v>1.8925847266716884</v>
      </c>
      <c r="U10" s="865">
        <f>(G10+G11)/200</f>
        <v>0.8070757743362833</v>
      </c>
      <c r="V10" s="865">
        <f t="shared" ref="V10:V12" si="2">AB10/S10/X10</f>
        <v>4.811007060071025E-2</v>
      </c>
      <c r="W10" s="443">
        <v>20</v>
      </c>
      <c r="X10" s="861">
        <f t="shared" si="1"/>
        <v>0.63072000000000006</v>
      </c>
      <c r="Y10" s="443"/>
      <c r="Z10" s="443"/>
      <c r="AA10" s="443"/>
      <c r="AB10" s="444">
        <f>AC10*U10</f>
        <v>0.26700369595332668</v>
      </c>
      <c r="AC10" s="445">
        <f>IF(((D10+I10+D11+I11)*T10*$B$2)&lt;=0,0,((D10+I10+D11+I11)*T10*$B$2))</f>
        <v>0.33082853487072278</v>
      </c>
      <c r="AD10" s="856">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LEFT(SETUP!$B$3,1)&amp;"-"&amp;SETUP!$B$50&amp;"_"&amp;RIGHT(COMM!$O$31,3)&amp;"_"&amp;RIGHT(O11,LEN(O11)-3)&amp;"_"&amp;SETUP!$B$64</f>
        <v>R-SH_Att_ELC_X0</v>
      </c>
      <c r="N11" s="332" t="str">
        <f>COMM!P25&amp;" "&amp;COMM!F24&amp;" "&amp;SETUP!C64</f>
        <v>Residential Space Heating Attached Electricity to Residential Existing 00</v>
      </c>
      <c r="O11" s="332" t="str">
        <f>COMM!$E$24</f>
        <v>RSDELC</v>
      </c>
      <c r="P11" s="332"/>
      <c r="Q11" s="332" t="str">
        <f>COMM!O10&amp;","&amp;COMM!O13&amp;","&amp;COMM!O16&amp;","&amp;COMM!O19&amp;","&amp;COMM!O22&amp;","&amp;COMM!O25</f>
        <v>RSDSH_Att-AB,RSDSH_Att-C,RSDSH_Att-D,RSDSH_Att-E,RSDSH_Att-F,RSDSH_Att-G</v>
      </c>
      <c r="R11" s="433">
        <f>(ArchetypeDemand!P51*SUM(E12+E25))/SUM($E$7:$E$25)</f>
        <v>5.4427347543709564E-2</v>
      </c>
      <c r="S11" s="434">
        <f>(R11)*DwellingStocks!$J$28/1000</f>
        <v>42.894395123357704</v>
      </c>
      <c r="T11" s="435">
        <f>(S11*1000)/(E25)*DwellingStocks!$U$27-0.67619</f>
        <v>1.7412266836726102</v>
      </c>
      <c r="U11" s="863">
        <f>(G25)/100</f>
        <v>1</v>
      </c>
      <c r="V11" s="863">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332" t="str">
        <f>LEFT(SETUP!$B$3,1)&amp;"-"&amp;SETUP!$B$50&amp;"_"&amp;RIGHT(COMM!$O$31,3)&amp;"_"&amp;RIGHT(O12,LEN(O12)-3)&amp;"_"&amp;SETUP!$B$65</f>
        <v>R-SH_Att_ELC_X1</v>
      </c>
      <c r="N12" s="42" t="str">
        <f>COMM!P25&amp;" "&amp;COMM!F24&amp;" "&amp;SETUP!C65</f>
        <v>Residential Space Heating Attached Electricity to Residential Existing 01</v>
      </c>
      <c r="O12" s="42" t="str">
        <f>COMM!$E$24</f>
        <v>RSDELC</v>
      </c>
      <c r="P12" s="42"/>
      <c r="Q12" s="42" t="str">
        <f>COMM!O10&amp;","&amp;COMM!O13&amp;","&amp;COMM!O16&amp;","&amp;COMM!O19&amp;","&amp;COMM!O22&amp;","&amp;COMM!O25</f>
        <v>RSDSH_Att-AB,RSDSH_Att-C,RSDSH_Att-D,RSDSH_Att-E,RSDSH_Att-F,RSDSH_Att-G</v>
      </c>
      <c r="R12" s="440">
        <f>(ArchetypeDemand!Q51*SUM(E12+E25))/SUM($E$7:$E$25)</f>
        <v>4.2704534226602885E-2</v>
      </c>
      <c r="S12" s="441">
        <f>R12*DwellingStocks!$J$28/1000</f>
        <v>33.655602327557581</v>
      </c>
      <c r="T12" s="442">
        <f>(S12*1000)/E12*DwellingStocks!$U$27+0.392</f>
        <v>1.4907673688285348</v>
      </c>
      <c r="U12" s="865">
        <f>G12/100</f>
        <v>3.1157627118644071</v>
      </c>
      <c r="V12" s="865">
        <f t="shared" si="2"/>
        <v>0.10180667152183381</v>
      </c>
      <c r="W12" s="443">
        <v>20</v>
      </c>
      <c r="X12" s="861">
        <f t="shared" si="1"/>
        <v>0.220752</v>
      </c>
      <c r="Y12" s="443"/>
      <c r="Z12" s="443"/>
      <c r="AA12" s="443"/>
      <c r="AB12" s="444">
        <f>AC12*U12</f>
        <v>0.75637689359482185</v>
      </c>
      <c r="AC12" s="445">
        <f>IF(((D12+I12)*T12*$B$2)&lt;=0,0,((D12+I12)*T12*$B$2))</f>
        <v>0.24275818268016366</v>
      </c>
      <c r="AD12" s="856">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8"/>
      <c r="V13" s="868"/>
      <c r="X13" s="862">
        <f t="shared" si="1"/>
        <v>0.409968</v>
      </c>
      <c r="AA13" s="912">
        <f>AC13/AB12</f>
        <v>0.15165854211704261</v>
      </c>
      <c r="AC13" s="853">
        <f>RSD_Balance!G22</f>
        <v>0.11471101697360815</v>
      </c>
      <c r="AD13" s="853">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LEFT(SETUP!$B$3,1)&amp;"-"&amp;SETUP!$B$50&amp;"_"&amp;RIGHT(COMM!$O$31,3)&amp;"_"&amp;RIGHT(O14,LEN(O14)-3)&amp;"_"&amp;SETUP!$B$64</f>
        <v>R-SH_Att_KER_X0</v>
      </c>
      <c r="N14" s="332" t="str">
        <f>COMM!P25&amp;" "&amp;COMM!F10&amp;" "&amp;SETUP!C64</f>
        <v>Residential Space Heating Attached Kerosene to Residential Existing 00</v>
      </c>
      <c r="O14" s="332" t="str">
        <f>COMM!$E$10</f>
        <v>RSDKER</v>
      </c>
      <c r="P14" s="332"/>
      <c r="Q14" s="332" t="str">
        <f>COMM!O10&amp;","&amp;COMM!O13&amp;","&amp;COMM!O16&amp;","&amp;COMM!O19&amp;","&amp;COMM!O22&amp;","&amp;COMM!O25</f>
        <v>RSDSH_Att-AB,RSDSH_Att-C,RSDSH_Att-D,RSDSH_Att-E,RSDSH_Att-F,RSDSH_Att-G</v>
      </c>
      <c r="R14" s="433">
        <f>E13/SUM($E$7:$E$25)</f>
        <v>0.29959152197226208</v>
      </c>
      <c r="S14" s="434">
        <f>R14*DwellingStocks!$J$28/1000</f>
        <v>236.10919324639295</v>
      </c>
      <c r="T14" s="435">
        <f>(S14*1000)/E13*DwellingStocks!$U$27+0.16818</f>
        <v>1.5323647266716887</v>
      </c>
      <c r="U14" s="863">
        <f>G13/100</f>
        <v>0.81941558441558437</v>
      </c>
      <c r="V14" s="863">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59" t="s">
        <v>254</v>
      </c>
      <c r="M15" s="55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LEFT(SETUP!$B$3,1)&amp;"-"&amp;SETUP!$B$50&amp;"_"&amp;RIGHT(COMM!$O$31,3)&amp;"_"&amp;MID(O16,4,3)&amp;"_"&amp;SETUP!$B$64</f>
        <v>R-SH_Att_GAS_X0</v>
      </c>
      <c r="N16" s="332" t="str">
        <f>COMM!P25&amp;" "&amp;COMM!F14&amp;" "&amp;SETUP!C64</f>
        <v>Residential Space Heating Attached Natural Gas to Residential Existing 00</v>
      </c>
      <c r="O16" s="332" t="str">
        <f>COMM!$E$14&amp;","&amp;COMM!$E$17</f>
        <v>RSDGAS,RSDBGS</v>
      </c>
      <c r="P16" s="332"/>
      <c r="Q16" s="332" t="str">
        <f>COMM!O10&amp;","&amp;COMM!O13&amp;","&amp;COMM!O16&amp;","&amp;COMM!O19&amp;","&amp;COMM!O22&amp;","&amp;COMM!O25</f>
        <v>RSDSH_Att-AB,RSDSH_Att-C,RSDSH_Att-D,RSDSH_Att-E,RSDSH_Att-F,RSDSH_Att-G</v>
      </c>
      <c r="R16" s="433">
        <f>E15/SUM($E$7:$E$25)</f>
        <v>0.54312877299948192</v>
      </c>
      <c r="S16" s="434">
        <f>R16*DwellingStocks!$J$28/1000</f>
        <v>428.04180698305589</v>
      </c>
      <c r="T16" s="435">
        <f>(S16*1000)/E15*DwellingStocks!$U$27</f>
        <v>1.3641847266716887</v>
      </c>
      <c r="U16" s="863">
        <f>G15/100</f>
        <v>0.81729411764705884</v>
      </c>
      <c r="V16" s="863">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59" t="s">
        <v>254</v>
      </c>
      <c r="M17" s="55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LEFT(SETUP!$B$3,1)&amp;"-"&amp;SETUP!$B$50&amp;"_"&amp;RIGHT(COMM!$O$31,3)&amp;"_"&amp;RIGHT(O18,LEN(O18)-3)&amp;"_"&amp;SETUP!$B$64</f>
        <v>R-SH_Att_PEA_X0</v>
      </c>
      <c r="N18" s="332" t="str">
        <f>COMM!P25&amp;" "&amp;COMM!F7&amp;" "&amp;SETUP!C64</f>
        <v>Residential Space Heating Attached Peat to Residential Existing 00</v>
      </c>
      <c r="O18" s="332" t="str">
        <f>COMM!E7</f>
        <v>RSDPEA</v>
      </c>
      <c r="P18" s="332"/>
      <c r="Q18" s="332" t="str">
        <f>COMM!O10&amp;","&amp;COMM!O13&amp;","&amp;COMM!O16&amp;","&amp;COMM!O19&amp;","&amp;COMM!O22&amp;","&amp;COMM!O25</f>
        <v>RSDSH_Att-AB,RSDSH_Att-C,RSDSH_Att-D,RSDSH_Att-E,RSDSH_Att-F,RSDSH_Att-G</v>
      </c>
      <c r="R18" s="433">
        <f>(E17+E18)/SUM($E$7:$E$25)</f>
        <v>1.4917280187008229E-3</v>
      </c>
      <c r="S18" s="434">
        <f>R18*DwellingStocks!$J$28/1000</f>
        <v>1.1756364022580759</v>
      </c>
      <c r="T18" s="435">
        <f>(S18*1000)/(E17+E18)*DwellingStocks!$U$27</f>
        <v>1.3641847266716887</v>
      </c>
      <c r="U18" s="863">
        <f>(G17+G18)/200</f>
        <v>0.5509294871794872</v>
      </c>
      <c r="V18" s="863">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59" t="s">
        <v>254</v>
      </c>
      <c r="M19" s="55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LEFT(SETUP!$B$3,1)&amp;"-"&amp;SETUP!$B$50&amp;"_"&amp;RIGHT(COMM!$O$31,3)&amp;"_"&amp;RIGHT(COMM!E23,LEN(COMM!E23)-3)&amp;"_"&amp;SETUP!$B$64</f>
        <v>R-SH_Att_SMF_X0</v>
      </c>
      <c r="N20" s="42" t="str">
        <f>COMM!P25&amp;" "&amp;COMM!F23&amp;" "&amp;SETUP!C64</f>
        <v>Residential Space Heating Attached Solid Multi-Fuel Existing 00</v>
      </c>
      <c r="O20" s="42" t="str">
        <f>COMM!E6</f>
        <v>RSDCOA</v>
      </c>
      <c r="P20" s="42"/>
      <c r="Q20" s="42" t="str">
        <f>COMM!O10&amp;","&amp;COMM!O13&amp;","&amp;COMM!O16&amp;","&amp;COMM!O19&amp;","&amp;COMM!O22&amp;","&amp;COMM!O25</f>
        <v>RSDSH_Att-AB,RSDSH_Att-C,RSDSH_Att-D,RSDSH_Att-E,RSDSH_Att-F,RSDSH_Att-G</v>
      </c>
      <c r="R20" s="440">
        <f>E19/SUM($E$7:$E$25)</f>
        <v>4.0705618681543779E-2</v>
      </c>
      <c r="S20" s="441">
        <f>R20*DwellingStocks!$J$28/1000</f>
        <v>32.080249548531754</v>
      </c>
      <c r="T20" s="442">
        <f>(S20*1000)/E19*DwellingStocks!$U$27-0.19617</f>
        <v>1.1680147266716883</v>
      </c>
      <c r="U20" s="864">
        <f>G19/100</f>
        <v>0.57113772455089817</v>
      </c>
      <c r="V20" s="865">
        <f>SUM(AB20:AB22)/S20/X20</f>
        <v>7.2443154757837094E-2</v>
      </c>
      <c r="W20" s="443">
        <v>20</v>
      </c>
      <c r="X20" s="861">
        <f>31.536*(AD20/1000)</f>
        <v>0.63072000000000006</v>
      </c>
      <c r="Y20" s="566">
        <f>RSD_Balance!$H$2</f>
        <v>0.19400000000000001</v>
      </c>
      <c r="Z20" s="443">
        <v>5</v>
      </c>
      <c r="AA20" s="443"/>
      <c r="AB20" s="444">
        <f>AC20*$U$20</f>
        <v>0.28436322122668972</v>
      </c>
      <c r="AC20" s="445">
        <f>IF(((D19+I19)*$B$2)&lt;=0,0,((D19+I19)*T20*$B$2))*Y20</f>
        <v>0.49788905373094133</v>
      </c>
      <c r="AD20" s="856">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9.0878967608529704E-2</v>
      </c>
      <c r="AC22" s="445">
        <f>IF(((D19+I19)*$B$2)&lt;=0,0,((D19+I19)*T20*$B$2))*Y22</f>
        <v>0.15911918212019774</v>
      </c>
      <c r="AD22" s="856">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LEFT(SETUP!$B$3,1)&amp;"-"&amp;SETUP!$B$50&amp;"_"&amp;RIGHT(COMM!$O$31,3)&amp;"_"&amp;RIGHT(O23,LEN(O23)-3)&amp;"_"&amp;SETUP!$B$64</f>
        <v>R-SH_Att_WOO_X0</v>
      </c>
      <c r="N23" s="332" t="str">
        <f>COMM!P25&amp;" "&amp;COMM!F16&amp;" "&amp;SETUP!C64</f>
        <v>Residential Space Heating Attached Biomass to Residential Existing 00</v>
      </c>
      <c r="O23" s="332" t="str">
        <f>COMM!E16</f>
        <v>RSDWOO</v>
      </c>
      <c r="P23" s="332"/>
      <c r="Q23" s="332" t="str">
        <f>COMM!O10&amp;","&amp;COMM!O13&amp;","&amp;COMM!O16&amp;","&amp;COMM!O19&amp;","&amp;COMM!O22&amp;","&amp;COMM!O25</f>
        <v>RSDSH_Att-AB,RSDSH_Att-C,RSDSH_Att-D,RSDSH_Att-E,RSDSH_Att-F,RSDSH_Att-G</v>
      </c>
      <c r="R23" s="433">
        <f>(E20+E21+E22+E23)/SUM($E$7:$E$25)</f>
        <v>1.1639816365630008E-3</v>
      </c>
      <c r="S23" s="434">
        <f>R23*DwellingStocks!$J$28/1000</f>
        <v>0.91733825895097032</v>
      </c>
      <c r="T23" s="435">
        <f>(S23*1000)/(E20+E21+E22+E23)*DwellingStocks!$U$27+0.1866</f>
        <v>1.5507847266716883</v>
      </c>
      <c r="U23" s="863">
        <f>(G21+G22+G23)/300</f>
        <v>0.70400656814449913</v>
      </c>
      <c r="V23" s="863">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332" t="str">
        <f>LEFT(SETUP!$B$3,1)&amp;"-"&amp;SETUP!$B$50&amp;"_"&amp;RIGHT(COMM!$O$31,3)&amp;"_"&amp;RIGHT(O24,LEN(O24)-3)&amp;"_"&amp;SETUP!$B$64</f>
        <v>R-SH_Att_HET_X0</v>
      </c>
      <c r="N24" s="439" t="str">
        <f>COMM!P25&amp;" "&amp;COMM!F25&amp;" "&amp;SETUP!C64</f>
        <v>Residential Space Heating Attached Heat to Residential Existing 00</v>
      </c>
      <c r="O24" s="42" t="str">
        <f>COMM!E25</f>
        <v>RSDHET</v>
      </c>
      <c r="P24" s="42"/>
      <c r="Q24" s="42" t="str">
        <f>COMM!O10&amp;","&amp;COMM!O13&amp;","&amp;COMM!O16&amp;","&amp;COMM!O19&amp;","&amp;COMM!O22&amp;","&amp;COMM!O25</f>
        <v>RSDSH_Att-AB,RSDSH_Att-C,RSDSH_Att-D,RSDSH_Att-E,RSDSH_Att-F,RSDSH_Att-G</v>
      </c>
      <c r="R24" s="440">
        <f>E24/SUM($E$7:$E$25)</f>
        <v>2.4508681664276851E-3</v>
      </c>
      <c r="S24" s="441">
        <f>R24*DwellingStocks!$J$28/1000</f>
        <v>1.9315383216421056</v>
      </c>
      <c r="T24" s="442">
        <f>(S24*1000)/E24*DwellingStocks!$U$27</f>
        <v>1.3641847266716887</v>
      </c>
      <c r="U24" s="865">
        <f>G24/100</f>
        <v>0.60949973059968388</v>
      </c>
      <c r="V24" s="865">
        <f>AB24/S24/X24</f>
        <v>2.3482295794129884E-2</v>
      </c>
      <c r="W24" s="443">
        <v>20</v>
      </c>
      <c r="X24" s="861">
        <f t="shared" si="4"/>
        <v>0.63072000000000006</v>
      </c>
      <c r="Y24" s="443"/>
      <c r="Z24" s="443"/>
      <c r="AA24" s="443"/>
      <c r="AB24" s="444">
        <f>AC24*U24</f>
        <v>2.8607538157121859E-2</v>
      </c>
      <c r="AC24" s="445">
        <f>IF(((D24+I24)*$B$2)&lt;=0,0,((D24+I24)*T24*$B$2))</f>
        <v>4.6936096475342227E-2</v>
      </c>
      <c r="AD24" s="856">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LEFT(SETUP!B3,1)&amp;"-"&amp;RIGHT(COMM!$O$31,6)&amp;"_"&amp;RIGHT(O33,LEN(O33)-3)&amp;"_"&amp;SETUP!$B$64</f>
        <v>R-WH_Att_COA_X0</v>
      </c>
      <c r="N33" s="332" t="str">
        <f>COMM!$P$31&amp;" "&amp;COMM!F6&amp;" "&amp;SETUP!$C$64</f>
        <v>Residential Water Heating Attached Coal to Residential Existing 00</v>
      </c>
      <c r="O33" s="332" t="str">
        <f>COMM!$E$6</f>
        <v>RSDCOA</v>
      </c>
      <c r="P33" s="332"/>
      <c r="Q33" s="332" t="str">
        <f>COMM!$O$31</f>
        <v>RSDWH_Att</v>
      </c>
      <c r="R33" s="433">
        <f>(E31+E38+E40)/SUM($E$31:$E$49)-($R$51/7)</f>
        <v>1.4005877019013029E-2</v>
      </c>
      <c r="S33" s="434">
        <f>R33*DwellingStocks!$J$28/1000</f>
        <v>11.038083794552552</v>
      </c>
      <c r="T33" s="491">
        <f>IFERROR((S33*1000)/(E31+E38+E40),0)+1.0376</f>
        <v>2.7715120004009668</v>
      </c>
      <c r="U33" s="863">
        <f>U7</f>
        <v>0.55798087905732663</v>
      </c>
      <c r="V33" s="863">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LEFT(SETUP!B3,1)&amp;"-"&amp;RIGHT(COMM!$O$31,6)&amp;"_"&amp;RIGHT(O34,LEN(O34)-3)&amp;"_"&amp;SETUP!$B$64</f>
        <v>R-WH_Att_BDL_X0</v>
      </c>
      <c r="N34" s="439" t="str">
        <f>COMM!$P$31&amp;" "&amp;COMM!F21&amp;" "&amp;SETUP!$C$64</f>
        <v>Residential Water Heating Attached Biodiesel to Residential Existing 00</v>
      </c>
      <c r="O34" s="42" t="str">
        <f>COMM!$E$21</f>
        <v>RSDBDL</v>
      </c>
      <c r="P34" s="42"/>
      <c r="Q34" s="42" t="str">
        <f>COMM!$O$31</f>
        <v>RSDWH_Att</v>
      </c>
      <c r="R34" s="440">
        <f>E32/SUM($E$31:$E$49)</f>
        <v>7.2735383824620442E-6</v>
      </c>
      <c r="S34" s="441">
        <f>R34*DwellingStocks!$J$28/1000</f>
        <v>5.7323026640546566E-3</v>
      </c>
      <c r="T34" s="442">
        <f>IFERROR((S34*1000)/E32,0)</f>
        <v>1.9107675546848855</v>
      </c>
      <c r="U34" s="865">
        <f>U8</f>
        <v>1</v>
      </c>
      <c r="V34" s="865">
        <f>AB34/S34/X34</f>
        <v>8.8919330289193285E-2</v>
      </c>
      <c r="W34" s="443">
        <v>20</v>
      </c>
      <c r="X34" s="861">
        <f t="shared" si="5"/>
        <v>0.15768000000000001</v>
      </c>
      <c r="Y34" s="443"/>
      <c r="Z34" s="443"/>
      <c r="AA34" s="443"/>
      <c r="AB34" s="444">
        <f>AC34*U34</f>
        <v>8.0371469192177522E-5</v>
      </c>
      <c r="AC34" s="445">
        <f>IF(((D32+I32)*$B$2)&lt;=0,0,((D32+I32)*T34*$B$2))</f>
        <v>8.0371469192177522E-5</v>
      </c>
      <c r="AD34" s="856">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LEFT(SETUP!B3,1)&amp;"-"&amp;RIGHT(COMM!$O$31,6)&amp;"_"&amp;RIGHT(O35,LEN(O35)-3)&amp;"_"&amp;SETUP!$B$64</f>
        <v>R-WH_Att_ETH_X0</v>
      </c>
      <c r="N35" s="332" t="str">
        <f>COMM!$P$31&amp;" "&amp;COMM!F20&amp;" "&amp;SETUP!$C$64</f>
        <v>Residential Water Heating Attached Ethanol to Residential Existing 00</v>
      </c>
      <c r="O35" s="332" t="str">
        <f>COMM!$E$20</f>
        <v>RSDETH</v>
      </c>
      <c r="P35" s="332"/>
      <c r="Q35" s="332" t="str">
        <f>COMM!$O$31</f>
        <v>RSDWH_Att</v>
      </c>
      <c r="R35" s="433">
        <f>E33/SUM($E$31:$E$49)</f>
        <v>2.4245127941540146E-6</v>
      </c>
      <c r="S35" s="434">
        <f>R35*DwellingStocks!$J$28/1000</f>
        <v>1.9107675546848855E-3</v>
      </c>
      <c r="T35" s="435">
        <f>IFERROR((S35*1000)/E33,0)</f>
        <v>1.9107675546848855</v>
      </c>
      <c r="U35" s="866">
        <v>0.9</v>
      </c>
      <c r="V35" s="863">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LEFT(SETUP!B3,1)&amp;"-"&amp;RIGHT(COMM!$O$31,6)&amp;"_"&amp;RIGHT(O36,LEN(O36)-3)&amp;"_"&amp;SETUP!$B$64</f>
        <v>R-WH_Att_LPG_X0</v>
      </c>
      <c r="N36" s="439" t="str">
        <f>COMM!$P$31&amp;" "&amp;COMM!F8&amp;" "&amp;SETUP!$C$64</f>
        <v>Residential Water Heating Attached LPG to Residential Existing 00</v>
      </c>
      <c r="O36" s="42" t="str">
        <f>COMM!$E$8</f>
        <v>RSDLPG</v>
      </c>
      <c r="P36" s="42"/>
      <c r="Q36" s="42" t="str">
        <f>COMM!$O$31</f>
        <v>RSDWH_Att</v>
      </c>
      <c r="R36" s="440">
        <f>(E34+E35)/SUM($E$31:$E$49)-($R$51/7)</f>
        <v>9.9423935760109012E-3</v>
      </c>
      <c r="S36" s="441">
        <f>(R36)*DwellingStocks!$J$28/1000</f>
        <v>7.8356373729006856</v>
      </c>
      <c r="T36" s="442">
        <f>IFERROR((S36*1000)/(E34+E35),0)+0.5284</f>
        <v>2.1991115933690164</v>
      </c>
      <c r="U36" s="865">
        <f>U10</f>
        <v>0.8070757743362833</v>
      </c>
      <c r="V36" s="865">
        <f t="shared" ref="V36:V42" si="7">AB36/S36/X36</f>
        <v>9.736280699328588E-2</v>
      </c>
      <c r="W36" s="443">
        <v>20</v>
      </c>
      <c r="X36" s="861">
        <f t="shared" si="5"/>
        <v>0.15768000000000001</v>
      </c>
      <c r="Y36" s="443"/>
      <c r="Z36" s="443"/>
      <c r="AA36" s="443"/>
      <c r="AB36" s="444">
        <f>AC36*U36</f>
        <v>0.12029401668697666</v>
      </c>
      <c r="AC36" s="445">
        <f>IF(((D34+I34+D35+I35)*$B$2)&lt;=0,0,((D34+I34+D35+I35)*T36*$B$2))</f>
        <v>0.14904922252920194</v>
      </c>
      <c r="AD36" s="856">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LEFT(SETUP!B3,1)&amp;"-"&amp;RIGHT(COMM!$O$31,6)&amp;"_"&amp;RIGHT(O38,LEN(O38)-3)&amp;"_"&amp;SETUP!$B$64</f>
        <v>R-WH_Att_ELC_X0</v>
      </c>
      <c r="N37" s="332" t="str">
        <f>COMM!$P$31&amp;" "&amp;COMM!F24&amp;" "&amp;SETUP!$C$64</f>
        <v>Residential Water Heating Attached Electricity to Residential Existing 00</v>
      </c>
      <c r="O37" s="332" t="str">
        <f>COMM!$E$24</f>
        <v>RSDELC</v>
      </c>
      <c r="P37" s="332"/>
      <c r="Q37" s="332" t="str">
        <f>COMM!$O$31</f>
        <v>RSDWH_Att</v>
      </c>
      <c r="R37" s="433">
        <f>(ArchetypeDemand!P51*SUM(E36+E49))/SUM($E$31:$E$49)-($R$51/7)</f>
        <v>5.2846571981360342E-2</v>
      </c>
      <c r="S37" s="434">
        <f>R37*DwellingStocks!$J$28/1000</f>
        <v>41.648580020604413</v>
      </c>
      <c r="T37" s="435">
        <f>IFERROR((S37*1000)/E49,0)-0.67619</f>
        <v>2.5916468003612723</v>
      </c>
      <c r="U37" s="863">
        <f>U11</f>
        <v>1</v>
      </c>
      <c r="V37" s="863">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LEFT(SETUP!B3,1)&amp;"-"&amp;RIGHT(COMM!$O$31,6)&amp;"_"&amp;RIGHT(O38,LEN(O38)-3)&amp;"_"&amp;SETUP!$B$65</f>
        <v>R-WH_Att_ELC_X1</v>
      </c>
      <c r="N38" s="439" t="str">
        <f>COMM!$P$31&amp;" "&amp;COMM!F24&amp;" "&amp;SETUP!$C$65</f>
        <v>Residential Water Heating Attached Electricity to Residential Existing 01</v>
      </c>
      <c r="O38" s="42" t="str">
        <f>COMM!$E$24</f>
        <v>RSDELC</v>
      </c>
      <c r="P38" s="42"/>
      <c r="Q38" s="42" t="str">
        <f>COMM!$O$31</f>
        <v>RSDWH_Att</v>
      </c>
      <c r="R38" s="440">
        <f>(ArchetypeDemand!Q51*SUM(E36+E49))/SUM($E$31:$E$49)-($R$51/7)</f>
        <v>4.115654109306735E-2</v>
      </c>
      <c r="S38" s="441">
        <f>R38*DwellingStocks!$J$28/1000</f>
        <v>32.435623178935778</v>
      </c>
      <c r="T38" s="442">
        <f>IFERROR((S38*1000)/E36,0)+0.392</f>
        <v>1.8870736657725642</v>
      </c>
      <c r="U38" s="865">
        <f>U12</f>
        <v>3.1157627118644071</v>
      </c>
      <c r="V38" s="865">
        <f t="shared" si="7"/>
        <v>0.60280520374939317</v>
      </c>
      <c r="W38" s="443">
        <v>20</v>
      </c>
      <c r="X38" s="861">
        <f t="shared" si="5"/>
        <v>4.7304000000000006E-2</v>
      </c>
      <c r="Y38" s="443"/>
      <c r="Z38" s="443"/>
      <c r="AA38" s="443"/>
      <c r="AB38" s="444">
        <f>AC38*U38</f>
        <v>0.92490495281998686</v>
      </c>
      <c r="AC38" s="445">
        <f>IF(((D49+I49)*$B$2)&lt;=0,0,((D49+I49)*T38*$B$2))</f>
        <v>0.2968470446411316</v>
      </c>
      <c r="AD38" s="910">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5"/>
      <c r="V39" s="865"/>
      <c r="W39" s="443"/>
      <c r="X39" s="861"/>
      <c r="Y39" s="443"/>
      <c r="Z39" s="443"/>
      <c r="AA39" s="443">
        <f>AC39/AB38</f>
        <v>0.17211667566689146</v>
      </c>
      <c r="AB39" s="444"/>
      <c r="AC39" s="445">
        <f>RSD_Balance!J22</f>
        <v>0.15919156578721921</v>
      </c>
      <c r="AD39" s="910">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LEFT(SETUP!B3,1)&amp;"-"&amp;RIGHT(COMM!$O$31,6)&amp;"_"&amp;RIGHT(O40,LEN(O40)-3)&amp;"_"&amp;SETUP!$B$64</f>
        <v>R-WH_Att_KER_X0</v>
      </c>
      <c r="N40" s="332" t="str">
        <f>COMM!$P$31&amp;" "&amp;COMM!F10&amp;" "&amp;SETUP!$C$64</f>
        <v>Residential Water Heating Attached Kerosene to Residential Existing 00</v>
      </c>
      <c r="O40" s="332" t="str">
        <f>COMM!$E$10</f>
        <v>RSDKER</v>
      </c>
      <c r="P40" s="332"/>
      <c r="Q40" s="332" t="str">
        <f>COMM!$O$31</f>
        <v>RSDWH_Att</v>
      </c>
      <c r="R40" s="433">
        <f>E37/SUM($E$31:$E$49)-($R$51/7)</f>
        <v>0.2981830216218051</v>
      </c>
      <c r="S40" s="434">
        <f>R40*DwellingStocks!$J$28/1000</f>
        <v>234.99914887916799</v>
      </c>
      <c r="T40" s="491">
        <f>IFERROR((S40*1000)/E37,0)-0.1727</f>
        <v>1.7289568660514014</v>
      </c>
      <c r="U40" s="863">
        <f>U14</f>
        <v>0.81941558441558437</v>
      </c>
      <c r="V40" s="863">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R-WH_Att_GAS_X0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LEFT(SETUP!B3,1)&amp;"-"&amp;RIGHT(COMM!$O$31,6)&amp;"_"&amp;MID(O42,4,3)&amp;"_"&amp;SETUP!$B$64</f>
        <v>R-WH_Att_GAS_X0</v>
      </c>
      <c r="N42" s="332" t="str">
        <f>COMM!$P$31&amp;" "&amp;COMM!F14&amp;" "&amp;SETUP!$C$64</f>
        <v>Residential Water Heating Attached Natural Gas to Residential Existing 00</v>
      </c>
      <c r="O42" s="332" t="str">
        <f>COMM!$E$14&amp;","&amp;COMM!$E$17</f>
        <v>RSDGAS,RSDBGS</v>
      </c>
      <c r="P42" s="332"/>
      <c r="Q42" s="332" t="str">
        <f>COMM!$O$31</f>
        <v>RSDWH_Att</v>
      </c>
      <c r="R42" s="433">
        <f>E39/SUM($E$31:$E$49)-($R$51/7)</f>
        <v>0.54301032357547752</v>
      </c>
      <c r="S42" s="434">
        <f>R42*DwellingStocks!$J$28/1000</f>
        <v>427.94845655124772</v>
      </c>
      <c r="T42" s="491">
        <f>IFERROR((S42*1000)/E39,0)-0.66693</f>
        <v>1.238823827781256</v>
      </c>
      <c r="U42" s="863">
        <f>U16</f>
        <v>0.81729411764705884</v>
      </c>
      <c r="V42" s="863">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LEFT(SETUP!B3,1)&amp;"-"&amp;RIGHT(COMM!$O$31,6)&amp;"_"&amp;RIGHT(O44,LEN(O44)-3)&amp;"_"&amp;SETUP!$B$64</f>
        <v>R-WH_Att_PEA_X0</v>
      </c>
      <c r="N44" s="332" t="str">
        <f>COMM!$P$31&amp;" "&amp;COMM!F7&amp;" "&amp;SETUP!$C$64</f>
        <v>Residential Water Heating Attached Peat to Residential Existing 00</v>
      </c>
      <c r="O44" s="332" t="str">
        <f>COMM!$E$7</f>
        <v>RSDPEA</v>
      </c>
      <c r="P44" s="332"/>
      <c r="Q44" s="332" t="str">
        <f>COMM!$O$31</f>
        <v>RSDWH_Att</v>
      </c>
      <c r="R44" s="433">
        <f>(E41+E42)/SUM($E$31:$E$49)</f>
        <v>1.5516881882585694E-3</v>
      </c>
      <c r="S44" s="434">
        <f>R44*DwellingStocks!$J$28/1000</f>
        <v>1.2228912349983267</v>
      </c>
      <c r="T44" s="435">
        <f>(S44*1000)/(E42+E41)</f>
        <v>1.9107675546848857</v>
      </c>
      <c r="U44" s="863">
        <f>U18</f>
        <v>0.5509294871794872</v>
      </c>
      <c r="V44" s="863">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LEFT(SETUP!B3,1)&amp;"-"&amp;RIGHT(COMM!$O$31,6)&amp;"_"&amp;RIGHT(COMM!E23,LEN(COMM!E23)-3)&amp;"_"&amp;SETUP!B64</f>
        <v>R-WH_Att_SMF_X0</v>
      </c>
      <c r="N46" s="42" t="str">
        <f>COMM!P31&amp;" "&amp;COMM!F23&amp;" "&amp;SETUP!C64</f>
        <v>Residential Water Heating Attached Solid Multi-Fuel Existing 00</v>
      </c>
      <c r="O46" s="42" t="str">
        <f>COMM!E6</f>
        <v>RSDCOA</v>
      </c>
      <c r="P46" s="42"/>
      <c r="Q46" s="42" t="str">
        <f>COMM!$O$31</f>
        <v>RSDWH_Att</v>
      </c>
      <c r="R46" s="440">
        <f>E43/SUM($E$31:$E$49)-($R$51/7)</f>
        <v>3.9012301977917531E-2</v>
      </c>
      <c r="S46" s="441">
        <f>R46*DwellingStocks!$J$28/1000</f>
        <v>30.745740353572458</v>
      </c>
      <c r="T46" s="442">
        <f>(S46*1000)/E43-0.19617</f>
        <v>1.6470998053700516</v>
      </c>
      <c r="U46" s="864">
        <f>U20</f>
        <v>0.57113772455089817</v>
      </c>
      <c r="V46" s="865">
        <f>SUM(AB46:AB48)/S46/X46</f>
        <v>5.7147577874974168E-2</v>
      </c>
      <c r="W46" s="443">
        <v>20</v>
      </c>
      <c r="X46" s="861">
        <f t="shared" ref="X46" si="9">31.536*(AD46/1000)</f>
        <v>0.15768000000000001</v>
      </c>
      <c r="Y46" s="566">
        <f>RSD_Balance!$H$2</f>
        <v>0.19400000000000001</v>
      </c>
      <c r="Z46" s="443">
        <v>5</v>
      </c>
      <c r="AA46" s="443"/>
      <c r="AB46" s="444">
        <f>AC46*$U$46</f>
        <v>5.3747853480614172E-2</v>
      </c>
      <c r="AC46" s="445">
        <f>IF(((D43+I43)*$B$2)&lt;=0,0,((D43+I43)*T46*$B$2))*Y46</f>
        <v>9.4106642181406658E-2</v>
      </c>
      <c r="AD46" s="856">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ref="AB48" si="10">AC48*$U$46</f>
        <v>1.7177149050505561E-2</v>
      </c>
      <c r="AC48" s="445">
        <f>IF(((D43+I43)*$B$2)&lt;=0,0,((D43+I43)*T46*$B$2))*Y48</f>
        <v>3.0075318635294911E-2</v>
      </c>
      <c r="AD48" s="856">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LEFT(SETUP!B3,1)&amp;"-"&amp;RIGHT(COMM!$O$31,6)&amp;"_"&amp;RIGHT(O49,LEN(O49)-3)&amp;"_"&amp;SETUP!B64</f>
        <v>R-WH_Att_WOO_X0</v>
      </c>
      <c r="N49" s="332" t="str">
        <f>COMM!P31&amp;" "&amp;COMM!F16&amp;" "&amp;SETUP!C64</f>
        <v>Residential Water Heating Attached Biomass to Residential Existing 00</v>
      </c>
      <c r="O49" s="332" t="str">
        <f>COMM!E16</f>
        <v>RSDWOO</v>
      </c>
      <c r="P49" s="332"/>
      <c r="Q49" s="332" t="str">
        <f>COMM!$O$31</f>
        <v>RSDWH_Att</v>
      </c>
      <c r="R49" s="433">
        <f>(E47+E44+E45+E46)/SUM($E$31:$E$49)</f>
        <v>1.1758887051646972E-3</v>
      </c>
      <c r="S49" s="434">
        <f>R49*DwellingStocks!$J$28/1000</f>
        <v>0.92672226402216951</v>
      </c>
      <c r="T49" s="435">
        <f>(S49*1000)/(E47+E44+E45+E46)+0.1866</f>
        <v>2.0973675546848853</v>
      </c>
      <c r="U49" s="863">
        <f>U23</f>
        <v>0.70400656814449913</v>
      </c>
      <c r="V49" s="863">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LEFT(SETUP!B3,1)&amp;"-"&amp;RIGHT(COMM!$O$31,6)&amp;"_"&amp;RIGHT(O50,LEN(O50)-3)&amp;"_"&amp;SETUP!B64</f>
        <v>R-WH_Att_HET_X0</v>
      </c>
      <c r="N50" s="439" t="str">
        <f>COMM!P31&amp;" "&amp;COMM!F25&amp;" "&amp;SETUP!C64</f>
        <v>Residential Water Heating Attached Heat to Residential Existing 00</v>
      </c>
      <c r="O50" s="42" t="str">
        <f>COMM!E25</f>
        <v>RSDHET</v>
      </c>
      <c r="P50" s="42"/>
      <c r="Q50" s="42" t="str">
        <f>COMM!$O$31</f>
        <v>RSDWH_Att</v>
      </c>
      <c r="R50" s="440">
        <f>E48/SUM($E$31:$E$49)</f>
        <v>2.465729511654633E-3</v>
      </c>
      <c r="S50" s="441">
        <f>R50*DwellingStocks!$J$28/1000</f>
        <v>1.9432506031145285</v>
      </c>
      <c r="T50" s="442">
        <f>(S50*1000)/E48</f>
        <v>1.9107675546848855</v>
      </c>
      <c r="U50" s="865">
        <f>U24</f>
        <v>0.60949973059968388</v>
      </c>
      <c r="V50" s="865">
        <f t="shared" ref="V50" si="14">AB50/S50/X50</f>
        <v>4.8794584261943365E-3</v>
      </c>
      <c r="W50" s="443">
        <v>20</v>
      </c>
      <c r="X50" s="861">
        <f t="shared" si="13"/>
        <v>0.15768000000000001</v>
      </c>
      <c r="Y50" s="443"/>
      <c r="Z50" s="443"/>
      <c r="AA50" s="443"/>
      <c r="AB50" s="444">
        <f>AC50*U50</f>
        <v>1.4951234203032934E-3</v>
      </c>
      <c r="AC50" s="445">
        <f>IF(((D48+I48)*$B$2)&lt;=0,0,((D48+I48)*T50*$B$2))</f>
        <v>2.4530337672704935E-3</v>
      </c>
      <c r="AD50" s="856">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LEFT(SETUP!B3,1)&amp;"-"&amp;RIGHT(COMM!$O$31,6)&amp;"_"&amp;RIGHT(O51,LEN(O51)-3)&amp;"_"&amp;SETUP!B64</f>
        <v>R-WH_Att_SOL_X0</v>
      </c>
      <c r="N51" s="332" t="str">
        <f>COMM!P31&amp;" "&amp;COMM!F15&amp;" "&amp;SETUP!C64</f>
        <v>Residential Water Heating Attached Solar Thermal to Residential Existing 00</v>
      </c>
      <c r="O51" s="332" t="str">
        <f>COMM!E15</f>
        <v>RSDSOL</v>
      </c>
      <c r="P51" s="332"/>
      <c r="Q51" s="332" t="str">
        <f>COMM!$O$31</f>
        <v>RSDWH_Att</v>
      </c>
      <c r="R51" s="433">
        <v>0.01</v>
      </c>
      <c r="S51" s="434">
        <f>R51*DwellingStocks!$J$28/1000</f>
        <v>7.8810372099999979</v>
      </c>
      <c r="T51" s="435">
        <f>MAX(T33:T50)</f>
        <v>2.7715120004009668</v>
      </c>
      <c r="U51" s="863">
        <v>1</v>
      </c>
      <c r="V51" s="863">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LEFT(SETUP!B3,1)&amp;"-"&amp;RIGHT(COMM!$O$34,6)&amp;"_"&amp;SETUP!B64</f>
        <v>R-LT_Att_X0</v>
      </c>
      <c r="N59" s="332" t="str">
        <f>COMM!$P$34&amp;" "&amp;SETUP!$C$64</f>
        <v>Residential Lighting Attached Existing 00</v>
      </c>
      <c r="O59" s="332" t="str">
        <f>COMM!E24</f>
        <v>RSDELC</v>
      </c>
      <c r="P59" s="332"/>
      <c r="Q59" s="332" t="str">
        <f>COMM!$O$34</f>
        <v>RSDLT_Att</v>
      </c>
      <c r="R59" s="332">
        <v>1</v>
      </c>
      <c r="S59" s="435">
        <f>DwellingStocks!J28/1000</f>
        <v>788.10372099999984</v>
      </c>
      <c r="T59" s="332">
        <f>(S59*1000)/SUM(G54:G62)-0.188</f>
        <v>1.7112373228133928</v>
      </c>
      <c r="U59" s="863">
        <v>0.4</v>
      </c>
      <c r="V59" s="863">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LEFT(SETUP!B3,1)&amp;"-"&amp;RIGHT(COMM!$O$37,6)&amp;"_"&amp;SETUP!$B$64</f>
        <v>R-PF_Att_X0</v>
      </c>
      <c r="N60" s="439" t="str">
        <f>COMM!$P$37&amp;" "&amp;SETUP!$C$64</f>
        <v>Residential Pumps &amp; Fans Attached Existing 00</v>
      </c>
      <c r="O60" s="439" t="str">
        <f>COMM!E24</f>
        <v>RSDELC</v>
      </c>
      <c r="P60" s="439"/>
      <c r="Q60" s="439" t="str">
        <f>COMM!$O$37</f>
        <v>RSDPF_Att</v>
      </c>
      <c r="R60" s="439">
        <v>1</v>
      </c>
      <c r="S60" s="869">
        <f>DwellingStocks!J28/1000</f>
        <v>788.10372099999984</v>
      </c>
      <c r="T60" s="439">
        <f>(S60*1000)/SUM(G54:G62)-0.188</f>
        <v>1.7112373228133928</v>
      </c>
      <c r="U60" s="870">
        <v>0.6</v>
      </c>
      <c r="V60" s="870">
        <f>AB60/S60/X60</f>
        <v>0.24175740310348173</v>
      </c>
      <c r="W60" s="871">
        <v>15</v>
      </c>
      <c r="X60" s="872">
        <f t="shared" si="15"/>
        <v>1.5768000000000002E-3</v>
      </c>
      <c r="Y60" s="871"/>
      <c r="Z60" s="871"/>
      <c r="AA60" s="871"/>
      <c r="AB60" s="873">
        <f>AC60*U60</f>
        <v>0.30042756045624991</v>
      </c>
      <c r="AC60" s="445">
        <f>(F54+F55+F56+F57+F58+F59+F60+F61+F62)*T60*$B$2</f>
        <v>0.50071260076041657</v>
      </c>
      <c r="AD60" s="855">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opLeftCell="J1" zoomScale="60" zoomScaleNormal="60" workbookViewId="0">
      <selection activeCell="M44" sqref="M44"/>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40.4257812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LEFT(SETUP!$B$3,1)&amp;"-"&amp;SETUP!$B$50&amp;"_"&amp;RIGHT(COMM!$O$32,3)&amp;"_"&amp;RIGHT(O7,LEN(O7)-3)&amp;"_"&amp;SETUP!$B$64</f>
        <v>R-SH_Det_COA_X0</v>
      </c>
      <c r="N7" s="332" t="str">
        <f>COMM!$P$26&amp;" "&amp;COMM!F6&amp;" "&amp;SETUP!$C$64</f>
        <v>Residential Space Heating Detached Coal to Residential Existing 00</v>
      </c>
      <c r="O7" s="332" t="str">
        <f>COMM!$E$6</f>
        <v>RSDCOA</v>
      </c>
      <c r="P7" s="332"/>
      <c r="Q7" s="332" t="str">
        <f>COMM!O11&amp;","&amp;COMM!O14&amp;","&amp;COMM!O17&amp;","&amp;COMM!O20&amp;","&amp;COMM!O23&amp;","&amp;COMM!O26</f>
        <v>RSDSH_Det-AB,RSDSH_Det-C,RSDSH_Det-D,RSDSH_Det-E,RSDSH_Det-F,RSDSH_Det-G</v>
      </c>
      <c r="R7" s="433">
        <f>(E7+E14+E16)/SUM($E$7:$E$25)</f>
        <v>6.0080307972788707E-3</v>
      </c>
      <c r="S7" s="434">
        <f>R7*DwellingStocks!$K$28/1000</f>
        <v>4.4185385333436287</v>
      </c>
      <c r="T7" s="435">
        <f>(S7*1000)/(E7+E14+E16)*DwellingStocks!$V$27+1.0376</f>
        <v>3.0392166833787329</v>
      </c>
      <c r="U7" s="863">
        <f>(G7+G14+G16)/300</f>
        <v>0.61986329460013678</v>
      </c>
      <c r="V7" s="863">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332" t="str">
        <f>LEFT(SETUP!$B$3,1)&amp;"-"&amp;SETUP!$B$50&amp;"_"&amp;RIGHT(COMM!$O$32,3)&amp;"_"&amp;RIGHT(O8,LEN(O8)-3)&amp;"_"&amp;SETUP!$B$64</f>
        <v>R-SH_Det_BDL_X0</v>
      </c>
      <c r="N8" s="42" t="str">
        <f>COMM!$P$26&amp;" "&amp;COMM!F21&amp;" "&amp;SETUP!$C$64</f>
        <v>Residential Space Heating Detached Biodiesel to Residential Existing 00</v>
      </c>
      <c r="O8" s="42" t="str">
        <f>COMM!$E$21</f>
        <v>RSDBDL</v>
      </c>
      <c r="P8" s="42"/>
      <c r="Q8" s="42" t="str">
        <f>COMM!O11&amp;","&amp;COMM!O14&amp;","&amp;COMM!O17&amp;","&amp;COMM!O20&amp;","&amp;COMM!O23&amp;","&amp;COMM!O26</f>
        <v>RSDSH_Det-AB,RSDSH_Det-C,RSDSH_Det-D,RSDSH_Det-E,RSDSH_Det-F,RSDSH_Det-G</v>
      </c>
      <c r="R8" s="440">
        <f>E8/SUM($E$7:$E$25)</f>
        <v>0</v>
      </c>
      <c r="S8" s="441">
        <f>R8*DwellingStocks!$K$28/1000</f>
        <v>0</v>
      </c>
      <c r="T8" s="442">
        <f>IFERROR((S8*1000)/E8*DwellingStocks!$V$27,0)</f>
        <v>0</v>
      </c>
      <c r="U8" s="864">
        <v>0.9</v>
      </c>
      <c r="V8" s="865">
        <f>IFERROR(AB8/S8/X8,0)</f>
        <v>0</v>
      </c>
      <c r="W8" s="443">
        <v>20</v>
      </c>
      <c r="X8" s="861">
        <f t="shared" ref="X8:X13" si="1">31.536*(AD8/1000)</f>
        <v>0.94608000000000003</v>
      </c>
      <c r="Y8" s="443"/>
      <c r="Z8" s="443"/>
      <c r="AA8" s="443"/>
      <c r="AB8" s="444">
        <f>IFERROR(AC8*U8,0)</f>
        <v>0</v>
      </c>
      <c r="AC8" s="445">
        <f>IF(((D8+I8)*$B$2)&lt;=0,0,((D8+I8)*T8*$B$2))</f>
        <v>0</v>
      </c>
      <c r="AD8" s="856">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LEFT(SETUP!$B$3,1)&amp;"-"&amp;SETUP!$B$50&amp;"_"&amp;RIGHT(COMM!$O$32,3)&amp;"_"&amp;RIGHT(O9,LEN(O9)-3)&amp;"_"&amp;SETUP!$B$64</f>
        <v>R-SH_Det_ETH_X0</v>
      </c>
      <c r="N9" s="332" t="str">
        <f>COMM!$P$26&amp;" "&amp;COMM!F20&amp;" "&amp;SETUP!C64</f>
        <v>Residential Space Heating Detached Ethanol to Residential Existing 00</v>
      </c>
      <c r="O9" s="332" t="str">
        <f>COMM!$E$20</f>
        <v>RSDETH</v>
      </c>
      <c r="P9" s="332"/>
      <c r="Q9" s="332" t="str">
        <f>COMM!O11&amp;","&amp;COMM!O14&amp;","&amp;COMM!O17&amp;","&amp;COMM!O20&amp;","&amp;COMM!O23&amp;","&amp;COMM!O26</f>
        <v>RSDSH_Det-AB,RSDSH_Det-C,RSDSH_Det-D,RSDSH_Det-E,RSDSH_Det-F,RSDSH_Det-G</v>
      </c>
      <c r="R9" s="433">
        <f>E9/SUM($E$7:$E$25)</f>
        <v>0</v>
      </c>
      <c r="S9" s="434">
        <f>R9*DwellingStocks!$K$28/1000</f>
        <v>0</v>
      </c>
      <c r="T9" s="435">
        <f>IFERROR((S9*1000)/E9*DwellingStocks!$V$27,0)</f>
        <v>0</v>
      </c>
      <c r="U9" s="866">
        <v>0.9</v>
      </c>
      <c r="V9" s="863">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332" t="str">
        <f>LEFT(SETUP!$B$3,1)&amp;"-"&amp;SETUP!$B$50&amp;"_"&amp;RIGHT(COMM!$O$32,3)&amp;"_"&amp;RIGHT(O10,LEN(O10)-3)&amp;"_"&amp;SETUP!$B$64</f>
        <v>R-SH_Det_LPG_X0</v>
      </c>
      <c r="N10" s="42" t="str">
        <f>COMM!$P$26&amp;" "&amp;COMM!F8&amp;" "&amp;SETUP!C64</f>
        <v>Residential Space Heating Detached LPG to Residential Existing 00</v>
      </c>
      <c r="O10" s="42" t="str">
        <f>COMM!$E$8</f>
        <v>RSDLPG</v>
      </c>
      <c r="P10" s="42"/>
      <c r="Q10" s="42" t="str">
        <f>COMM!O11&amp;","&amp;COMM!O14&amp;","&amp;COMM!O17&amp;","&amp;COMM!O20&amp;","&amp;COMM!O23&amp;","&amp;COMM!O26</f>
        <v>RSDSH_Det-AB,RSDSH_Det-C,RSDSH_Det-D,RSDSH_Det-E,RSDSH_Det-F,RSDSH_Det-G</v>
      </c>
      <c r="R10" s="440">
        <f>(E10+E11)/SUM($E$7:$E$25)</f>
        <v>2.2058324983614461E-2</v>
      </c>
      <c r="S10" s="441">
        <f>(R10)*DwellingStocks!$K$28/1000</f>
        <v>16.222546489818363</v>
      </c>
      <c r="T10" s="442">
        <f>(S10*1000)/(E10+E11)*DwellingStocks!$V$27+0.5284</f>
        <v>2.530016683378733</v>
      </c>
      <c r="U10" s="865">
        <f>(G10+G11)/200</f>
        <v>0.82661774762699336</v>
      </c>
      <c r="V10" s="865">
        <f t="shared" ref="V10:V12" si="2">AB10/S10/X10</f>
        <v>6.9796117140143249E-2</v>
      </c>
      <c r="W10" s="443">
        <v>20</v>
      </c>
      <c r="X10" s="861">
        <f t="shared" si="1"/>
        <v>0.94608000000000003</v>
      </c>
      <c r="Y10" s="443"/>
      <c r="Z10" s="443"/>
      <c r="AA10" s="443"/>
      <c r="AB10" s="444">
        <f>AC10*U10</f>
        <v>1.0712187159989932</v>
      </c>
      <c r="AC10" s="445">
        <f>IF(((D10+I10+D11+I11)*T10*$B$2)&lt;=0,0,((D10+I10+D11+I11)*T10*$B$2))</f>
        <v>1.2959057787885466</v>
      </c>
      <c r="AD10" s="856">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LEFT(SETUP!$B$3,1)&amp;"-"&amp;SETUP!$B$50&amp;"_"&amp;RIGHT(COMM!$O$32,3)&amp;"_"&amp;RIGHT(O11,LEN(O11)-3)&amp;"_"&amp;SETUP!$B$64</f>
        <v>R-SH_Det_ELC_X0</v>
      </c>
      <c r="N11" s="332" t="str">
        <f>COMM!$P$26&amp;" "&amp;COMM!F24&amp;" "&amp;SETUP!C64</f>
        <v>Residential Space Heating Detached Electricity to Residential Existing 00</v>
      </c>
      <c r="O11" s="332" t="str">
        <f>COMM!$E$24</f>
        <v>RSDELC</v>
      </c>
      <c r="P11" s="332"/>
      <c r="Q11" s="332" t="str">
        <f>COMM!O11&amp;","&amp;COMM!O14&amp;","&amp;COMM!O17&amp;","&amp;COMM!O20&amp;","&amp;COMM!O23&amp;","&amp;COMM!O26</f>
        <v>RSDSH_Det-AB,RSDSH_Det-C,RSDSH_Det-D,RSDSH_Det-E,RSDSH_Det-F,RSDSH_Det-G</v>
      </c>
      <c r="R11" s="433">
        <f>(ArchetypeDemand!P52*SUM(E12+E25))/SUM($E$7:$E$25)</f>
        <v>4.7184700803833086E-2</v>
      </c>
      <c r="S11" s="434">
        <f>(R11)*DwellingStocks!$K$28/1000</f>
        <v>34.701456387416279</v>
      </c>
      <c r="T11" s="435">
        <f>(S11*1000)/(E25)*DwellingStocks!$V$27-0.67619</f>
        <v>3.3043229995782974</v>
      </c>
      <c r="U11" s="863">
        <f>(G25)/100</f>
        <v>0.99952095808383234</v>
      </c>
      <c r="V11" s="863">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332" t="str">
        <f>LEFT(SETUP!$B$3,1)&amp;"-"&amp;SETUP!$B$50&amp;"_"&amp;RIGHT(COMM!$O$32,3)&amp;"_"&amp;RIGHT(O12,LEN(O12)-3)&amp;"_"&amp;SETUP!$B$65</f>
        <v>R-SH_Det_ELC_X1</v>
      </c>
      <c r="N12" s="42" t="str">
        <f>COMM!$P$26&amp;" "&amp;COMM!F24&amp;" "&amp;SETUP!C65</f>
        <v>Residential Space Heating Detached Electricity to Residential Existing 01</v>
      </c>
      <c r="O12" s="42" t="str">
        <f>COMM!$E$24</f>
        <v>RSDELC</v>
      </c>
      <c r="P12" s="42"/>
      <c r="Q12" s="42" t="str">
        <f>COMM!O11&amp;","&amp;COMM!O14&amp;","&amp;COMM!O17&amp;","&amp;COMM!O20&amp;","&amp;COMM!O23&amp;","&amp;COMM!O26</f>
        <v>RSDSH_Det-AB,RSDSH_Det-C,RSDSH_Det-D,RSDSH_Det-E,RSDSH_Det-F,RSDSH_Det-G</v>
      </c>
      <c r="R12" s="440">
        <f>(ArchetypeDemand!Q52*SUM(E12+E25))/SUM($E$7:$E$25)</f>
        <v>3.5725559180045052E-2</v>
      </c>
      <c r="S12" s="441">
        <f>R12*DwellingStocks!$K$28/1000</f>
        <v>26.273959836186613</v>
      </c>
      <c r="T12" s="442">
        <f>(S12*1000)/E12*DwellingStocks!$V$27+0.392</f>
        <v>2.0291191092620808</v>
      </c>
      <c r="U12" s="865">
        <f>G12/100</f>
        <v>3.0897837837837834</v>
      </c>
      <c r="V12" s="865">
        <f t="shared" si="2"/>
        <v>0.1204770526219418</v>
      </c>
      <c r="W12" s="443">
        <v>20</v>
      </c>
      <c r="X12" s="861">
        <f t="shared" si="1"/>
        <v>0.31536000000000003</v>
      </c>
      <c r="Y12" s="443"/>
      <c r="Z12" s="443"/>
      <c r="AA12" s="443"/>
      <c r="AB12" s="444">
        <f>AC12*U12</f>
        <v>0.99824345848491525</v>
      </c>
      <c r="AC12" s="445">
        <f>IF(((D12+I12)*T12*$B$2)&lt;=0,0,((D12+I12)*T12*$B$2))</f>
        <v>0.32307874218384797</v>
      </c>
      <c r="AD12" s="856">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8"/>
      <c r="V13" s="868"/>
      <c r="X13" s="862">
        <f t="shared" si="1"/>
        <v>0.63072000000000006</v>
      </c>
      <c r="AA13" s="912">
        <f>AC13/AB12</f>
        <v>0.15293368841664742</v>
      </c>
      <c r="AC13" s="853">
        <f>RSD_Balance!H22</f>
        <v>0.15266505404388855</v>
      </c>
      <c r="AD13" s="853">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LEFT(SETUP!$B$3,1)&amp;"-"&amp;SETUP!$B$50&amp;"_"&amp;RIGHT(COMM!$O$32,3)&amp;"_"&amp;RIGHT(O14,LEN(O14)-3)&amp;"_"&amp;SETUP!$B$64</f>
        <v>R-SH_Det_KER_X0</v>
      </c>
      <c r="N14" s="332" t="str">
        <f>COMM!$P$26&amp;" "&amp;COMM!F10&amp;" "&amp;SETUP!C64</f>
        <v>Residential Space Heating Detached Kerosene to Residential Existing 00</v>
      </c>
      <c r="O14" s="332" t="str">
        <f>COMM!$E$10</f>
        <v>RSDKER</v>
      </c>
      <c r="P14" s="332"/>
      <c r="Q14" s="332" t="str">
        <f>COMM!O11&amp;","&amp;COMM!O14&amp;","&amp;COMM!O17&amp;","&amp;COMM!O20&amp;","&amp;COMM!O23&amp;","&amp;COMM!O26</f>
        <v>RSDSH_Det-AB,RSDSH_Det-C,RSDSH_Det-D,RSDSH_Det-E,RSDSH_Det-F,RSDSH_Det-G</v>
      </c>
      <c r="R14" s="433">
        <f>E13/SUM($E$7:$E$25)</f>
        <v>0.69522898319258097</v>
      </c>
      <c r="S14" s="434">
        <f>R14*DwellingStocks!$K$28/1000</f>
        <v>511.29831976311408</v>
      </c>
      <c r="T14" s="435">
        <f>(S14*1000)/E13*DwellingStocks!$V$27+0.16818</f>
        <v>2.1697966833787334</v>
      </c>
      <c r="U14" s="863">
        <f>G13/100</f>
        <v>0.82280373831775711</v>
      </c>
      <c r="V14" s="863">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LEFT(SETUP!$B$3,1)&amp;"-"&amp;SETUP!$B$50&amp;"_"&amp;RIGHT(COMM!$O$32,3)&amp;"_"&amp;MID(O16,4,3)&amp;"_"&amp;SETUP!$B$64</f>
        <v>R-SH_Det_GAS_X0</v>
      </c>
      <c r="N16" s="332" t="str">
        <f>COMM!$P$26&amp;" "&amp;COMM!F14&amp;" "&amp;SETUP!C64</f>
        <v>Residential Space Heating Detached Natural Gas to Residential Existing 00</v>
      </c>
      <c r="O16" s="332" t="str">
        <f>COMM!$E$14&amp;","&amp;COMM!$E$17</f>
        <v>RSDGAS,RSDBGS</v>
      </c>
      <c r="P16" s="332"/>
      <c r="Q16" s="332" t="str">
        <f>COMM!O11&amp;","&amp;COMM!O14&amp;","&amp;COMM!O17&amp;","&amp;COMM!O20&amp;","&amp;COMM!O23&amp;","&amp;COMM!O26</f>
        <v>RSDSH_Det-AB,RSDSH_Det-C,RSDSH_Det-D,RSDSH_Det-E,RSDSH_Det-F,RSDSH_Det-G</v>
      </c>
      <c r="R16" s="433">
        <f>E15/SUM($E$7:$E$25)</f>
        <v>0.15689058980405157</v>
      </c>
      <c r="S16" s="434">
        <f>R16*DwellingStocks!$K$28/1000</f>
        <v>115.38341595755203</v>
      </c>
      <c r="T16" s="435">
        <f>(S16*1000)/E15*DwellingStocks!$V$27</f>
        <v>2.001616683378733</v>
      </c>
      <c r="U16" s="863">
        <f>G15/100</f>
        <v>0.82728758169934635</v>
      </c>
      <c r="V16" s="863">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LEFT(SETUP!$B$3,1)&amp;"-"&amp;SETUP!$B$50&amp;"_"&amp;RIGHT(COMM!$O$32,3)&amp;"_"&amp;RIGHT(O18,LEN(O18)-3)&amp;"_"&amp;SETUP!$B$64</f>
        <v>R-SH_Det_PEA_X0</v>
      </c>
      <c r="N18" s="332" t="str">
        <f>COMM!$P$26&amp;" "&amp;COMM!F7&amp;" "&amp;SETUP!C64</f>
        <v>Residential Space Heating Detached Peat to Residential Existing 00</v>
      </c>
      <c r="O18" s="332" t="str">
        <f>COMM!E7</f>
        <v>RSDPEA</v>
      </c>
      <c r="P18" s="332"/>
      <c r="Q18" s="332" t="str">
        <f>COMM!O11&amp;","&amp;COMM!O14&amp;","&amp;COMM!O17&amp;","&amp;COMM!O20&amp;","&amp;COMM!O23&amp;","&amp;COMM!O26</f>
        <v>RSDSH_Det-AB,RSDSH_Det-C,RSDSH_Det-D,RSDSH_Det-E,RSDSH_Det-F,RSDSH_Det-G</v>
      </c>
      <c r="R18" s="433">
        <f>(E17+E18)/SUM($E$7:$E$25)</f>
        <v>2.90419545122383E-3</v>
      </c>
      <c r="S18" s="434">
        <f>R18*DwellingStocks!$K$28/1000</f>
        <v>2.1358578114156348</v>
      </c>
      <c r="T18" s="435">
        <f>(S18*1000)/(E17+E18)*DwellingStocks!$V$27+0.16</f>
        <v>2.1616166833787331</v>
      </c>
      <c r="U18" s="863">
        <f>(G17+G18)/200</f>
        <v>0.5457894736842106</v>
      </c>
      <c r="V18" s="863">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LEFT(SETUP!$B$3,1)&amp;"-"&amp;SETUP!$B$50&amp;"_"&amp;RIGHT(COMM!$O$32,3)&amp;"_"&amp;RIGHT(COMM!E23,LEN(COMM!E23)-3)&amp;"_"&amp;SETUP!$B$64</f>
        <v>R-SH_Det_SMF_X0</v>
      </c>
      <c r="N20" s="42" t="str">
        <f>COMM!$P$26&amp;" "&amp;COMM!F23&amp;" "&amp;SETUP!C64</f>
        <v>Residential Space Heating Detached Solid Multi-Fuel Existing 00</v>
      </c>
      <c r="O20" s="42" t="str">
        <f>COMM!E6</f>
        <v>RSDCOA</v>
      </c>
      <c r="P20" s="42"/>
      <c r="Q20" s="42" t="str">
        <f>COMM!O11&amp;","&amp;COMM!O14&amp;","&amp;COMM!O17&amp;","&amp;COMM!O20&amp;","&amp;COMM!O23&amp;","&amp;COMM!O26</f>
        <v>RSDSH_Det-AB,RSDSH_Det-C,RSDSH_Det-D,RSDSH_Det-E,RSDSH_Det-F,RSDSH_Det-G</v>
      </c>
      <c r="R20" s="440">
        <f>E19/SUM($E$7:$E$25)</f>
        <v>4.3826607101153388E-2</v>
      </c>
      <c r="S20" s="441">
        <f>R20*DwellingStocks!$K$28/1000</f>
        <v>32.231784222854621</v>
      </c>
      <c r="T20" s="442">
        <f>(S20*1000)/E19*DwellingStocks!$V$27-0.19617</f>
        <v>1.805446683378733</v>
      </c>
      <c r="U20" s="864">
        <f>G19/100</f>
        <v>0.61474226804123711</v>
      </c>
      <c r="V20" s="865">
        <f>SUM(AB20:AB22)/S20/X20</f>
        <v>0.13496235956601291</v>
      </c>
      <c r="W20" s="443">
        <v>20</v>
      </c>
      <c r="X20" s="861">
        <f>31.536*(AD20/1000)</f>
        <v>0.94608000000000003</v>
      </c>
      <c r="Y20" s="566">
        <f>RSD_Balance!$H$2</f>
        <v>0.19400000000000001</v>
      </c>
      <c r="Z20" s="443">
        <v>5</v>
      </c>
      <c r="AA20" s="443"/>
      <c r="AB20" s="444">
        <f>AC20*$U$20</f>
        <v>0.79841116416291213</v>
      </c>
      <c r="AC20" s="445">
        <f>IF(((D19+I19)*$B$2)&lt;=0,0,((D19+I19)*T20*$B$2))*Y20</f>
        <v>1.2987738206238886</v>
      </c>
      <c r="AD20" s="856">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0.25516233081495127</v>
      </c>
      <c r="AC22" s="445">
        <f>IF(((D19+I19)*$B$2)&lt;=0,0,((D19+I19)*T20*$B$2))*Y22</f>
        <v>0.41507204576639734</v>
      </c>
      <c r="AD22" s="856">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LEFT(SETUP!$B$3,1)&amp;"-"&amp;SETUP!$B$50&amp;"_"&amp;RIGHT(COMM!$O$32,3)&amp;"_"&amp;RIGHT(O23,LEN(O23)-3)&amp;"_"&amp;SETUP!$B$64</f>
        <v>R-SH_Det_WOO_X0</v>
      </c>
      <c r="N23" s="332" t="str">
        <f>COMM!$P$26&amp;" "&amp;COMM!F16&amp;" "&amp;SETUP!C64</f>
        <v>Residential Space Heating Detached Biomass to Residential Existing 00</v>
      </c>
      <c r="O23" s="332" t="str">
        <f>COMM!E16</f>
        <v>RSDWOO</v>
      </c>
      <c r="P23" s="332"/>
      <c r="Q23" s="332" t="str">
        <f>COMM!O11&amp;","&amp;COMM!O14&amp;","&amp;COMM!O17&amp;","&amp;COMM!O20&amp;","&amp;COMM!O23&amp;","&amp;COMM!O26</f>
        <v>RSDSH_Det-AB,RSDSH_Det-C,RSDSH_Det-D,RSDSH_Det-E,RSDSH_Det-F,RSDSH_Det-G</v>
      </c>
      <c r="R23" s="433">
        <f>(E20+E21+E22+E23)/SUM($E$7:$E$25)</f>
        <v>4.9608630470321458E-3</v>
      </c>
      <c r="S23" s="434">
        <f>R23*DwellingStocks!$K$28/1000</f>
        <v>3.6484108140523883</v>
      </c>
      <c r="T23" s="435">
        <f>(S23*1000)/(E20+E21+E22+E23)*DwellingStocks!$V$27+0.1866</f>
        <v>2.1882166833787329</v>
      </c>
      <c r="U23" s="863">
        <f>(G21+G22+G23)/300</f>
        <v>0.72928609692169366</v>
      </c>
      <c r="V23" s="863">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332" t="str">
        <f>LEFT(SETUP!$B$3,1)&amp;"-"&amp;SETUP!$B$50&amp;"_"&amp;RIGHT(COMM!$O$32,3)&amp;"_"&amp;RIGHT(O24,LEN(O24)-3)&amp;"_"&amp;SETUP!$B$64</f>
        <v>R-SH_Det_HET_X0</v>
      </c>
      <c r="N24" s="439" t="str">
        <f>COMM!$P$26&amp;" "&amp;COMM!F25&amp;" "&amp;SETUP!C64</f>
        <v>Residential Space Heating Detached Heat to Residential Existing 00</v>
      </c>
      <c r="O24" s="42" t="str">
        <f>COMM!E25</f>
        <v>RSDHET</v>
      </c>
      <c r="P24" s="42"/>
      <c r="Q24" s="42" t="str">
        <f>COMM!O11&amp;","&amp;COMM!O14&amp;","&amp;COMM!O17&amp;","&amp;COMM!O20&amp;","&amp;COMM!O23&amp;","&amp;COMM!O26</f>
        <v>RSDSH_Det-AB,RSDSH_Det-C,RSDSH_Det-D,RSDSH_Det-E,RSDSH_Det-F,RSDSH_Det-G</v>
      </c>
      <c r="R24" s="440">
        <f>E24/SUM($E$7:$E$25)</f>
        <v>7.156901890175457E-4</v>
      </c>
      <c r="S24" s="441">
        <f>R24*DwellingStocks!$K$28/1000</f>
        <v>0.52634628296883357</v>
      </c>
      <c r="T24" s="442">
        <f>(S24*1000)/E24*DwellingStocks!$V$27</f>
        <v>2.001616683378733</v>
      </c>
      <c r="U24" s="865">
        <f>G24/100</f>
        <v>0.65865731206453049</v>
      </c>
      <c r="V24" s="865">
        <f>AB24/S24/X24</f>
        <v>0.20350165864455674</v>
      </c>
      <c r="W24" s="443">
        <v>20</v>
      </c>
      <c r="X24" s="861">
        <f t="shared" si="3"/>
        <v>0.94608000000000003</v>
      </c>
      <c r="Y24" s="443"/>
      <c r="Z24" s="443"/>
      <c r="AA24" s="443"/>
      <c r="AB24" s="444">
        <f>AC24*U24</f>
        <v>0.10133684414618332</v>
      </c>
      <c r="AC24" s="445">
        <f>IF(((D24+I24)*$B$2)&lt;=0,0,((D24+I24)*T24*$B$2))</f>
        <v>0.15385366910836795</v>
      </c>
      <c r="AD24" s="856">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490"/>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LEFT(SETUP!B3,1)&amp;"-"&amp;RIGHT(COMM!$O$32,6)&amp;"_"&amp;RIGHT(O33,LEN(O33)-3)&amp;"_"&amp;SETUP!$B$64</f>
        <v>R-WH_Det_COA_X0</v>
      </c>
      <c r="N33" s="332" t="str">
        <f>COMM!$P$32&amp;" "&amp;COMM!F6&amp;" "&amp;SETUP!$C$64</f>
        <v>Residential Water Heating Detached Coal to Residential Existing 00</v>
      </c>
      <c r="O33" s="332" t="str">
        <f>COMM!$E$6</f>
        <v>RSDCOA</v>
      </c>
      <c r="P33" s="332"/>
      <c r="Q33" s="332" t="str">
        <f>COMM!$O$32</f>
        <v>RSDWH_Det</v>
      </c>
      <c r="R33" s="433">
        <f>(E31+E38+E40)/SUM($E$31:$E$49)-($R$51/7)</f>
        <v>4.2750604037060293E-3</v>
      </c>
      <c r="S33" s="434">
        <f>R33*DwellingStocks!$K$28/1000</f>
        <v>3.1440449896997889</v>
      </c>
      <c r="T33" s="491">
        <f>IFERROR((S33*1000)/(E31+E38+E40),0)+1.0376</f>
        <v>3.1350282786522943</v>
      </c>
      <c r="U33" s="863">
        <f>U7</f>
        <v>0.61986329460013678</v>
      </c>
      <c r="V33" s="863">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LEFT(SETUP!B3,1)&amp;"-"&amp;RIGHT(COMM!$O$32,6)&amp;"_"&amp;RIGHT(O34,LEN(O34)-3)&amp;"_"&amp;SETUP!$B$64</f>
        <v>R-WH_Det_BDL_X0</v>
      </c>
      <c r="N34" s="439" t="str">
        <f>COMM!$P$32&amp;" "&amp;COMM!F21&amp;" "&amp;SETUP!$C$64</f>
        <v>Residential Water Heating Detached Biodiesel to Residential Existing 00</v>
      </c>
      <c r="O34" s="42" t="str">
        <f>COMM!$E$21</f>
        <v>RSDBDL</v>
      </c>
      <c r="P34" s="42"/>
      <c r="Q34" s="42" t="str">
        <f>COMM!$O$32</f>
        <v>RSDWH_Det</v>
      </c>
      <c r="R34" s="440">
        <f>E32/SUM($E$31:$E$49)</f>
        <v>7.6099157201833988E-6</v>
      </c>
      <c r="S34" s="441">
        <f>R34*DwellingStocks!$K$28/1000</f>
        <v>5.5966267450487982E-3</v>
      </c>
      <c r="T34" s="442">
        <f>IFERROR((S34*1000)/E32,0)</f>
        <v>2.7983133725243992</v>
      </c>
      <c r="U34" s="864">
        <v>0.9</v>
      </c>
      <c r="V34" s="865">
        <f>AB34/S34/X34</f>
        <v>4.2328767123287675E-2</v>
      </c>
      <c r="W34" s="443">
        <v>20</v>
      </c>
      <c r="X34" s="861">
        <f t="shared" si="4"/>
        <v>0.25228800000000001</v>
      </c>
      <c r="Y34" s="443"/>
      <c r="Z34" s="443"/>
      <c r="AA34" s="443"/>
      <c r="AB34" s="444">
        <f>AC34*U34</f>
        <v>5.9766600875445927E-5</v>
      </c>
      <c r="AC34" s="445">
        <f>IF(((D32+I32)*$B$2)&lt;=0,0,((D32+I32)*T34*$B$2))</f>
        <v>6.6407334306051025E-5</v>
      </c>
      <c r="AD34" s="856">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LEFT(SETUP!B3,1)&amp;"-"&amp;RIGHT(COMM!$O$32,6)&amp;"_"&amp;RIGHT(O35,LEN(O35)-3)&amp;"_"&amp;SETUP!$B$64</f>
        <v>R-WH_Det_ETH_X0</v>
      </c>
      <c r="N35" s="332" t="str">
        <f>COMM!$P$32&amp;" "&amp;COMM!F20&amp;" "&amp;SETUP!$C$64</f>
        <v>Residential Water Heating Detached Ethanol to Residential Existing 00</v>
      </c>
      <c r="O35" s="332" t="str">
        <f>COMM!$E$20</f>
        <v>RSDETH</v>
      </c>
      <c r="P35" s="332"/>
      <c r="Q35" s="332" t="str">
        <f>COMM!$O$32</f>
        <v>RSDWH_Det</v>
      </c>
      <c r="R35" s="433">
        <f>E33/SUM($E$31:$E$49)</f>
        <v>7.6099157201833988E-6</v>
      </c>
      <c r="S35" s="434">
        <f>R35*DwellingStocks!$K$28/1000</f>
        <v>5.5966267450487982E-3</v>
      </c>
      <c r="T35" s="435">
        <f>IFERROR((S35*1000)/E33,0)</f>
        <v>2.7983133725243992</v>
      </c>
      <c r="U35" s="866">
        <v>0.9</v>
      </c>
      <c r="V35" s="863">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LEFT(SETUP!B3,1)&amp;"-"&amp;RIGHT(COMM!$O$32,6)&amp;"_"&amp;RIGHT(O36,LEN(O36)-3)&amp;"_"&amp;SETUP!$B$64</f>
        <v>R-WH_Det_LPG_X0</v>
      </c>
      <c r="N36" s="439" t="str">
        <f>COMM!$P$32&amp;" "&amp;COMM!F8&amp;" "&amp;SETUP!$C$64</f>
        <v>Residential Water Heating Detached LPG to Residential Existing 00</v>
      </c>
      <c r="O36" s="42" t="str">
        <f>COMM!$E$8</f>
        <v>RSDLPG</v>
      </c>
      <c r="P36" s="42"/>
      <c r="Q36" s="42" t="str">
        <f>COMM!$O$32</f>
        <v>RSDWH_Det</v>
      </c>
      <c r="R36" s="440">
        <f>(E34+E35)/SUM($E$31:$E$49)-($R$51/7)</f>
        <v>2.0773357685063637E-2</v>
      </c>
      <c r="S36" s="441">
        <f>(R36)*DwellingStocks!$K$28/1000</f>
        <v>15.277531772965581</v>
      </c>
      <c r="T36" s="442">
        <f>IFERROR((S36*1000)/(E34+E35),0)+0.5284</f>
        <v>3.1466573732588827</v>
      </c>
      <c r="U36" s="865">
        <f>U10</f>
        <v>0.82661774762699336</v>
      </c>
      <c r="V36" s="865">
        <f t="shared" ref="V36:V44" si="6">AB36/S36/X36</f>
        <v>6.7402093601092422E-2</v>
      </c>
      <c r="W36" s="443">
        <v>20</v>
      </c>
      <c r="X36" s="861">
        <f t="shared" si="4"/>
        <v>0.25228800000000001</v>
      </c>
      <c r="Y36" s="443"/>
      <c r="Z36" s="443"/>
      <c r="AA36" s="443"/>
      <c r="AB36" s="444">
        <f>AC36*U36</f>
        <v>0.25979044632833048</v>
      </c>
      <c r="AC36" s="445">
        <f>IF(((D34+I34+D35+I35)*$B$2)&lt;=0,0,((D34+I34+D35+I35)*T36*$B$2))</f>
        <v>0.31428123467482028</v>
      </c>
      <c r="AD36" s="856">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LEFT(SETUP!B3,1)&amp;"-"&amp;RIGHT(COMM!$O$32,6)&amp;"_"&amp;RIGHT(O38,LEN(O38)-3)&amp;"_"&amp;SETUP!$B$64</f>
        <v>R-WH_Det_ELC_X0</v>
      </c>
      <c r="N37" s="332" t="str">
        <f>COMM!$P$32&amp;" "&amp;COMM!F24&amp;" "&amp;SETUP!$C$64</f>
        <v>Residential Water Heating Detached Electricity to Residential Existing 00</v>
      </c>
      <c r="O37" s="332" t="str">
        <f>COMM!$E$24</f>
        <v>RSDELC</v>
      </c>
      <c r="P37" s="332"/>
      <c r="Q37" s="332" t="str">
        <f>COMM!$O$32</f>
        <v>RSDWH_Det</v>
      </c>
      <c r="R37" s="433">
        <f>(ArchetypeDemand!P52*SUM(E36+E49))/SUM($E$31:$E$49)-($R$51/7)</f>
        <v>4.604512680022068E-2</v>
      </c>
      <c r="S37" s="434">
        <f>R37*DwellingStocks!$K$28/1000</f>
        <v>33.863369530598128</v>
      </c>
      <c r="T37" s="435">
        <f>IFERROR((S37*1000)/E49,0)-0.67619</f>
        <v>4.6998013526906064</v>
      </c>
      <c r="U37" s="863">
        <f>U11</f>
        <v>0.99952095808383234</v>
      </c>
      <c r="V37" s="863">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LEFT(SETUP!B3,1)&amp;"-"&amp;RIGHT(COMM!$O$32,6)&amp;"_"&amp;RIGHT(O38,LEN(O38)-3)&amp;"_"&amp;SETUP!$B$65</f>
        <v>R-WH_Det_ELC_X1</v>
      </c>
      <c r="N38" s="439" t="str">
        <f>COMM!$P$32&amp;" "&amp;COMM!F24&amp;" "&amp;SETUP!$C$65</f>
        <v>Residential Water Heating Detached Electricity to Residential Existing 01</v>
      </c>
      <c r="O38" s="42" t="str">
        <f>COMM!$E$24</f>
        <v>RSDELC</v>
      </c>
      <c r="P38" s="42"/>
      <c r="Q38" s="42" t="str">
        <f>COMM!$O$32</f>
        <v>RSDWH_Det</v>
      </c>
      <c r="R38" s="440">
        <f>(ArchetypeDemand!Q52*SUM(E36+E49)/SUM($E$31:$E$49)-($R$51/7))</f>
        <v>3.451580008751403E-2</v>
      </c>
      <c r="S38" s="441">
        <f>R38*DwellingStocks!$K$28/1000</f>
        <v>25.384256146779403</v>
      </c>
      <c r="T38" s="442">
        <f>IFERROR((S38*1000)/E36,0)+0.392</f>
        <v>2.594538494297562</v>
      </c>
      <c r="U38" s="865">
        <f>U12</f>
        <v>3.0897837837837834</v>
      </c>
      <c r="V38" s="865">
        <f t="shared" si="6"/>
        <v>0.4073777241292848</v>
      </c>
      <c r="W38" s="443">
        <v>20</v>
      </c>
      <c r="X38" s="861">
        <f t="shared" si="4"/>
        <v>6.3072000000000003E-2</v>
      </c>
      <c r="Y38" s="443"/>
      <c r="Z38" s="443"/>
      <c r="AA38" s="443"/>
      <c r="AB38" s="444">
        <f>AC38*U38</f>
        <v>0.65222632195659835</v>
      </c>
      <c r="AC38" s="445">
        <f>IF(((D49+I49)*$B$2)&lt;=0,0,((D49+I49)*T38*$B$2))</f>
        <v>0.21109125026149073</v>
      </c>
      <c r="AD38" s="856">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5"/>
      <c r="V39" s="865"/>
      <c r="W39" s="443"/>
      <c r="X39" s="861">
        <f t="shared" si="4"/>
        <v>0.18921600000000002</v>
      </c>
      <c r="Y39" s="443"/>
      <c r="Z39" s="443"/>
      <c r="AA39" s="443">
        <f>AC39/AB38</f>
        <v>0.17369552322807189</v>
      </c>
      <c r="AB39" s="444"/>
      <c r="AC39" s="445">
        <f>RSD_Balance!K22</f>
        <v>0.11328879225537222</v>
      </c>
      <c r="AD39" s="856">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LEFT(SETUP!B3,1)&amp;"-"&amp;RIGHT(COMM!$O$32,6)&amp;"_"&amp;RIGHT(O40,LEN(O40)-3)&amp;"_"&amp;SETUP!$B$64</f>
        <v>R-WH_Det_KER_X0</v>
      </c>
      <c r="N40" s="332" t="str">
        <f>COMM!$P$32&amp;" "&amp;COMM!F10&amp;" "&amp;SETUP!$C$64</f>
        <v>Residential Water Heating Detached Kerosene to Residential Existing 00</v>
      </c>
      <c r="O40" s="332" t="str">
        <f>COMM!$E$10</f>
        <v>RSDKER</v>
      </c>
      <c r="P40" s="332"/>
      <c r="Q40" s="332" t="str">
        <f>COMM!$O$32</f>
        <v>RSDWH_Det</v>
      </c>
      <c r="R40" s="433">
        <f>E37/SUM($E$31:$E$49)-($R$51/7)</f>
        <v>0.69549131518368434</v>
      </c>
      <c r="S40" s="434">
        <f>R40*DwellingStocks!$K$28/1000</f>
        <v>511.49124886922721</v>
      </c>
      <c r="T40" s="491">
        <f>IFERROR((S40*1000)/E37,0)-0.1727</f>
        <v>2.6198772892112796</v>
      </c>
      <c r="U40" s="863">
        <f>U14</f>
        <v>0.82280373831775711</v>
      </c>
      <c r="V40" s="863">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R-WH_Det_GAS_X0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LEFT(SETUP!B3,1)&amp;"-"&amp;RIGHT(COMM!$O$32,6)&amp;"_"&amp;MID(O42,4,3)&amp;"_"&amp;SETUP!$B$64</f>
        <v>R-WH_Det_GAS_X0</v>
      </c>
      <c r="N42" s="332" t="str">
        <f>COMM!$P$32&amp;" "&amp;COMM!F14&amp;" "&amp;SETUP!$C$64</f>
        <v>Residential Water Heating Detached Natural Gas to Residential Existing 00</v>
      </c>
      <c r="O42" s="332" t="str">
        <f>COMM!$E$14&amp;","&amp;COMM!$E$17</f>
        <v>RSDGAS,RSDBGS</v>
      </c>
      <c r="P42" s="332"/>
      <c r="Q42" s="332" t="str">
        <f>COMM!$O$32</f>
        <v>RSDWH_Det</v>
      </c>
      <c r="R42" s="433">
        <f>E39/SUM($E$31:$E$49)-($R$51/7)</f>
        <v>0.15662937807963778</v>
      </c>
      <c r="S42" s="434">
        <f>R42*DwellingStocks!$K$28/1000</f>
        <v>115.19131073894927</v>
      </c>
      <c r="T42" s="491">
        <f>IFERROR((S42*1000)/E39,0)-0.66693</f>
        <v>2.1060914429212634</v>
      </c>
      <c r="U42" s="863">
        <f>U16</f>
        <v>0.82728758169934635</v>
      </c>
      <c r="V42" s="863">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LEFT(SETUP!B3,1)&amp;"-"&amp;RIGHT(COMM!$O$32,6)&amp;"_"&amp;RIGHT(O44,LEN(O44)-3)&amp;"_"&amp;SETUP!$B$64</f>
        <v>R-WH_Det_PEA_X0</v>
      </c>
      <c r="N44" s="332" t="str">
        <f>COMM!$P$32&amp;" "&amp;COMM!F7&amp;" "&amp;SETUP!$C$64</f>
        <v>Residential Water Heating Detached Peat to Residential Existing 00</v>
      </c>
      <c r="O44" s="332" t="str">
        <f>COMM!$E$7</f>
        <v>RSDPEA</v>
      </c>
      <c r="P44" s="332"/>
      <c r="Q44" s="332" t="str">
        <f>COMM!$O$32</f>
        <v>RSDWH_Det</v>
      </c>
      <c r="R44" s="433">
        <f>(E41+E42)/SUM($E$31:$E$49)</f>
        <v>3.0135266251926258E-3</v>
      </c>
      <c r="S44" s="434">
        <f>R44*DwellingStocks!$K$28/1000</f>
        <v>2.2162641910393241</v>
      </c>
      <c r="T44" s="435">
        <f>IFERROR((S38*1000)/E36,0)+0.16</f>
        <v>2.3625384942975622</v>
      </c>
      <c r="U44" s="863">
        <f>U18</f>
        <v>0.5457894736842106</v>
      </c>
      <c r="V44" s="863">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LEFT(SETUP!B3,1)&amp;"-"&amp;RIGHT(COMM!$O$32,6)&amp;"_"&amp;RIGHT(COMM!E23,LEN(COMM!E23)-3)&amp;"_"&amp;SETUP!B64</f>
        <v>R-WH_Det_SMF_X0</v>
      </c>
      <c r="N46" s="42" t="str">
        <f>COMM!$P$32&amp;" "&amp;COMM!F23&amp;" "&amp;SETUP!C64</f>
        <v>Residential Water Heating Detached Solid Multi-Fuel Existing 00</v>
      </c>
      <c r="O46" s="42" t="str">
        <f>COMM!E6</f>
        <v>RSDCOA</v>
      </c>
      <c r="P46" s="42"/>
      <c r="Q46" s="42" t="str">
        <f>COMM!$O$32</f>
        <v>RSDWH_Det</v>
      </c>
      <c r="R46" s="440">
        <f>E43/SUM($E$31:$E$49)-($R$51/7)</f>
        <v>3.9265452885109291E-2</v>
      </c>
      <c r="S46" s="441">
        <f>R46*DwellingStocks!$K$28/1000</f>
        <v>28.87733476343416</v>
      </c>
      <c r="T46" s="442">
        <f>(S46*1000)/E43-0.19617</f>
        <v>2.5039080517469996</v>
      </c>
      <c r="U46" s="864">
        <f>U20</f>
        <v>0.61474226804123711</v>
      </c>
      <c r="V46" s="865">
        <f>SUM(AB46:AB48)/S46/X46</f>
        <v>4.3752456660449635E-2</v>
      </c>
      <c r="W46" s="443">
        <v>20</v>
      </c>
      <c r="X46" s="861">
        <f t="shared" ref="X46" si="9">31.536*(AD46/1000)</f>
        <v>0.25228800000000001</v>
      </c>
      <c r="Y46" s="566">
        <f>RSD_Balance!$H$2</f>
        <v>0.19400000000000001</v>
      </c>
      <c r="Z46" s="443">
        <v>5</v>
      </c>
      <c r="AA46" s="443"/>
      <c r="AB46" s="444">
        <f>AC46*$U$46</f>
        <v>6.1838347382549202E-2</v>
      </c>
      <c r="AC46" s="445">
        <f>IF(((D43+I43)*$B$2)&lt;=0,0,((D43+I43)*T46*$B$2))*Y46</f>
        <v>0.10059231420605858</v>
      </c>
      <c r="AD46" s="856">
        <v>8</v>
      </c>
      <c r="AE46" s="568"/>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0"/>
        <v>1.9762770812979641E-2</v>
      </c>
      <c r="AC48" s="445">
        <f>IF(((D43+I43)*$B$2)&lt;=0,0,((D43+I43)*T46*$B$2))*Y48</f>
        <v>3.2148059179255832E-2</v>
      </c>
      <c r="AD48" s="856">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LEFT(SETUP!B3,1)&amp;"-"&amp;RIGHT(COMM!$O$32,6)&amp;"_"&amp;RIGHT(O49,LEN(O49)-3)&amp;"_"&amp;SETUP!B64</f>
        <v>R-WH_Det_WOO_X0</v>
      </c>
      <c r="N49" s="332" t="str">
        <f>COMM!$P$32&amp;" "&amp;COMM!F16&amp;" "&amp;SETUP!C64</f>
        <v>Residential Water Heating Detached Biomass to Residential Existing 00</v>
      </c>
      <c r="O49" s="332" t="str">
        <f>COMM!E16</f>
        <v>RSDWOO</v>
      </c>
      <c r="P49" s="332"/>
      <c r="Q49" s="332" t="str">
        <f>COMM!$O$32</f>
        <v>RSDWH_Det</v>
      </c>
      <c r="R49" s="433">
        <f>(E47+E44+E45+E46)/SUM($E$31:$E$49)</f>
        <v>4.8513212716169169E-3</v>
      </c>
      <c r="S49" s="434">
        <f>R49*DwellingStocks!$K$28/1000</f>
        <v>3.5678495499686087</v>
      </c>
      <c r="T49" s="435">
        <f>(S49*1000)/(E47+E44+E45+E46)+0.1866</f>
        <v>2.984913372524399</v>
      </c>
      <c r="U49" s="863">
        <f>U23</f>
        <v>0.72928609692169366</v>
      </c>
      <c r="V49" s="863">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LEFT(SETUP!B3,1)&amp;"-"&amp;RIGHT(COMM!$O$32,6)&amp;"_"&amp;RIGHT(O50,LEN(O50)-3)&amp;"_"&amp;SETUP!B64</f>
        <v>R-WH_Det_HET_X0</v>
      </c>
      <c r="N50" s="439" t="str">
        <f>COMM!$P$32&amp;" "&amp;COMM!F25&amp;" "&amp;SETUP!C64</f>
        <v>Residential Water Heating Detached Heat to Residential Existing 00</v>
      </c>
      <c r="O50" s="42" t="str">
        <f>COMM!E25</f>
        <v>RSDHET</v>
      </c>
      <c r="P50" s="42"/>
      <c r="Q50" s="42" t="str">
        <f>COMM!$O$32</f>
        <v>RSDWH_Det</v>
      </c>
      <c r="R50" s="440">
        <f>E48/SUM($E$31:$E$49)</f>
        <v>7.2294199341742292E-4</v>
      </c>
      <c r="S50" s="441">
        <f>R50*DwellingStocks!$K$28/1000</f>
        <v>0.53167954077963586</v>
      </c>
      <c r="T50" s="442">
        <f>(S50*1000)/E48</f>
        <v>2.7983133725243996</v>
      </c>
      <c r="U50" s="865">
        <f>U24</f>
        <v>0.65865731206453049</v>
      </c>
      <c r="V50" s="865">
        <f t="shared" si="13"/>
        <v>5.103232936455919E-3</v>
      </c>
      <c r="W50" s="443">
        <v>20</v>
      </c>
      <c r="X50" s="861">
        <f t="shared" si="14"/>
        <v>0.25228800000000001</v>
      </c>
      <c r="Y50" s="443"/>
      <c r="Z50" s="443"/>
      <c r="AA50" s="443"/>
      <c r="AB50" s="444">
        <f>AC50*U50</f>
        <v>6.8452913107360598E-4</v>
      </c>
      <c r="AC50" s="445">
        <f>IF(((D48+I48)*$B$2)&lt;=0,0,((D48+I48)*T50*$B$2))</f>
        <v>1.0392796353053176E-3</v>
      </c>
      <c r="AD50" s="856">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LEFT(SETUP!B3,1)&amp;"-"&amp;RIGHT(COMM!$O$32,6)&amp;"_"&amp;RIGHT(O51,LEN(O51)-3)&amp;"_"&amp;SETUP!B64</f>
        <v>R-WH_Det_SOL_X0</v>
      </c>
      <c r="N51" s="332" t="str">
        <f>COMM!$P$32&amp;" "&amp;COMM!F15&amp;" "&amp;SETUP!C64</f>
        <v>Residential Water Heating Detached Solar Thermal to Residential Existing 00</v>
      </c>
      <c r="O51" s="332" t="str">
        <f>COMM!E15</f>
        <v>RSDSOL</v>
      </c>
      <c r="P51" s="332"/>
      <c r="Q51" s="332" t="str">
        <f>COMM!$O$32</f>
        <v>RSDWH_Det</v>
      </c>
      <c r="R51" s="433">
        <v>0.01</v>
      </c>
      <c r="S51" s="434">
        <f>R51*DwellingStocks!$K$28/1000</f>
        <v>7.35438729</v>
      </c>
      <c r="T51" s="435">
        <f>MAX(T33:T50)</f>
        <v>4.6998013526906064</v>
      </c>
      <c r="U51" s="863">
        <v>1</v>
      </c>
      <c r="V51" s="863">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LEFT(SETUP!B3,1)&amp;"-"&amp;RIGHT(COMM!$O$35,6)&amp;"_"&amp;SETUP!B64</f>
        <v>R-LT_Det_X0</v>
      </c>
      <c r="N59" s="332" t="str">
        <f>COMM!$P$35&amp;" "&amp;SETUP!$C$64</f>
        <v>Residential Lighting Detached Existing 00</v>
      </c>
      <c r="O59" s="332" t="str">
        <f>COMM!E24</f>
        <v>RSDELC</v>
      </c>
      <c r="P59" s="332"/>
      <c r="Q59" s="332" t="str">
        <f>COMM!$O$35</f>
        <v>RSDLT_Det</v>
      </c>
      <c r="R59" s="332">
        <v>1</v>
      </c>
      <c r="S59" s="435">
        <f>DwellingStocks!K28/1000</f>
        <v>735.43872899999997</v>
      </c>
      <c r="T59" s="332">
        <f>(S59*1000)/SUM(G54:G62)-0.188</f>
        <v>2.5821079471620503</v>
      </c>
      <c r="U59" s="863">
        <v>0.4</v>
      </c>
      <c r="V59" s="863">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LEFT(SETUP!B3,1)&amp;"-"&amp;RIGHT(COMM!$O$38,6)&amp;"_"&amp;SETUP!$B$64</f>
        <v>R-PF_Det_X0</v>
      </c>
      <c r="N60" s="439" t="str">
        <f>COMM!$P$38&amp;" "&amp;SETUP!$C$64</f>
        <v>Residential Pumps &amp; Fans Detached Existing 00</v>
      </c>
      <c r="O60" s="439" t="str">
        <f>COMM!E24</f>
        <v>RSDELC</v>
      </c>
      <c r="P60" s="439"/>
      <c r="Q60" s="439" t="str">
        <f>COMM!$O$38</f>
        <v>RSDPF_Det</v>
      </c>
      <c r="R60" s="439">
        <v>1</v>
      </c>
      <c r="S60" s="869">
        <f>DwellingStocks!K28/1000</f>
        <v>735.43872899999997</v>
      </c>
      <c r="T60" s="439">
        <f>(S60*1000)/SUM(G54:G62)-0.188</f>
        <v>2.5821079471620503</v>
      </c>
      <c r="U60" s="870">
        <v>0.6</v>
      </c>
      <c r="V60" s="870">
        <f t="shared" ref="V60" si="16">AB60/S60/X60</f>
        <v>0.29872217446465249</v>
      </c>
      <c r="W60" s="871">
        <v>15</v>
      </c>
      <c r="X60" s="872">
        <f t="shared" si="15"/>
        <v>1.5768000000000002E-3</v>
      </c>
      <c r="Y60" s="871"/>
      <c r="Z60" s="871"/>
      <c r="AA60" s="871"/>
      <c r="AB60" s="873">
        <f>AC60*U60</f>
        <v>0.34641011903339275</v>
      </c>
      <c r="AC60" s="445">
        <f>IF(((F54+F55+F56+F57+F58+F59+F60+F61+F62)*$B$2)&lt;=0,0,((F54+F55+F56+F57+F58+F59+F60+F61+F62)*T60*$B$2))</f>
        <v>0.57735019838898793</v>
      </c>
      <c r="AD60" s="855">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0" t="s">
        <v>413</v>
      </c>
      <c r="B1" s="1150"/>
      <c r="C1" s="1150"/>
      <c r="D1" s="1150"/>
      <c r="E1" s="1150"/>
      <c r="F1" s="1150"/>
      <c r="G1" s="1150"/>
      <c r="H1" s="1150"/>
      <c r="I1" s="115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480</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482</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Intro</vt:lpstr>
      <vt:lpstr>Regions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2022-04-01T14:18:36Z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312871277332305</vt:r8>
  </property>
</Properties>
</file>