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F844E0F-4398-4D0C-A9FB-F4AEEAB51BF2}" xr6:coauthVersionLast="45" xr6:coauthVersionMax="47" xr10:uidLastSave="{00000000-0000-0000-0000-000000000000}"/>
  <bookViews>
    <workbookView xWindow="-120" yWindow="-16320" windowWidth="29040" windowHeight="15840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15" i="55" l="1"/>
  <c r="Z114" i="55"/>
  <c r="Z113" i="55"/>
  <c r="Z112" i="55"/>
  <c r="Z111" i="55"/>
  <c r="Z110" i="55"/>
  <c r="W111" i="55"/>
  <c r="X111" i="55"/>
  <c r="Y111" i="55"/>
  <c r="W112" i="55"/>
  <c r="X112" i="55"/>
  <c r="Y112" i="55"/>
  <c r="W113" i="55"/>
  <c r="X113" i="55"/>
  <c r="Y113" i="55"/>
  <c r="W114" i="55"/>
  <c r="X114" i="55"/>
  <c r="Y114" i="55"/>
  <c r="W115" i="55"/>
  <c r="X115" i="55"/>
  <c r="Y115" i="55"/>
  <c r="V112" i="55"/>
  <c r="V113" i="55"/>
  <c r="V114" i="55"/>
  <c r="V115" i="55"/>
  <c r="V111" i="55"/>
  <c r="V105" i="55"/>
  <c r="Z109" i="55"/>
  <c r="Z108" i="55"/>
  <c r="Z107" i="55"/>
  <c r="Z106" i="55"/>
  <c r="Z105" i="55"/>
  <c r="Z104" i="55"/>
  <c r="W105" i="55"/>
  <c r="X105" i="55"/>
  <c r="Y105" i="55"/>
  <c r="W106" i="55"/>
  <c r="X106" i="55"/>
  <c r="Y106" i="55"/>
  <c r="W107" i="55"/>
  <c r="X107" i="55"/>
  <c r="Y107" i="55"/>
  <c r="W108" i="55"/>
  <c r="X108" i="55"/>
  <c r="Y108" i="55"/>
  <c r="W109" i="55"/>
  <c r="X109" i="55"/>
  <c r="Y109" i="55"/>
  <c r="V106" i="55"/>
  <c r="V107" i="55"/>
  <c r="V108" i="55"/>
  <c r="V109" i="55"/>
  <c r="V99" i="55"/>
  <c r="W99" i="55"/>
  <c r="X99" i="55"/>
  <c r="Y99" i="55"/>
  <c r="W100" i="55"/>
  <c r="X100" i="55"/>
  <c r="Y100" i="55"/>
  <c r="W101" i="55"/>
  <c r="X101" i="55"/>
  <c r="Y101" i="55"/>
  <c r="W102" i="55"/>
  <c r="X102" i="55"/>
  <c r="Y102" i="55"/>
  <c r="W103" i="55"/>
  <c r="X103" i="55"/>
  <c r="Y103" i="55"/>
  <c r="V100" i="55"/>
  <c r="V101" i="55"/>
  <c r="V102" i="55"/>
  <c r="V103" i="55"/>
  <c r="V87" i="55"/>
  <c r="Z103" i="55"/>
  <c r="Z102" i="55"/>
  <c r="Z101" i="55"/>
  <c r="Z100" i="55"/>
  <c r="Z99" i="55"/>
  <c r="Z98" i="55"/>
  <c r="Y91" i="55"/>
  <c r="W87" i="55"/>
  <c r="X87" i="55"/>
  <c r="Y87" i="55"/>
  <c r="W88" i="55"/>
  <c r="X88" i="55"/>
  <c r="Y88" i="55"/>
  <c r="W89" i="55"/>
  <c r="X89" i="55"/>
  <c r="Y89" i="55"/>
  <c r="W90" i="55"/>
  <c r="X90" i="55"/>
  <c r="Y90" i="55"/>
  <c r="W91" i="55"/>
  <c r="X91" i="55"/>
  <c r="V88" i="55"/>
  <c r="V89" i="55"/>
  <c r="V90" i="55"/>
  <c r="V91" i="55"/>
  <c r="V27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S93" i="55"/>
  <c r="S94" i="55"/>
  <c r="S95" i="55"/>
  <c r="S96" i="55"/>
  <c r="S97" i="55"/>
  <c r="R93" i="55"/>
  <c r="R94" i="55"/>
  <c r="R95" i="55"/>
  <c r="R96" i="55"/>
  <c r="R97" i="55"/>
  <c r="Q93" i="55"/>
  <c r="Q94" i="55"/>
  <c r="Q95" i="55"/>
  <c r="Q96" i="55"/>
  <c r="Q97" i="55"/>
  <c r="P93" i="55"/>
  <c r="P94" i="55"/>
  <c r="P95" i="55"/>
  <c r="P96" i="55"/>
  <c r="P97" i="55"/>
  <c r="K97" i="55"/>
  <c r="K96" i="55"/>
  <c r="K95" i="55"/>
  <c r="K94" i="55"/>
  <c r="K93" i="55"/>
  <c r="K92" i="55"/>
  <c r="J97" i="55"/>
  <c r="J96" i="55"/>
  <c r="J95" i="55"/>
  <c r="J94" i="55"/>
  <c r="J93" i="55"/>
  <c r="J92" i="55"/>
  <c r="I97" i="55"/>
  <c r="I96" i="55"/>
  <c r="I95" i="55"/>
  <c r="I94" i="55"/>
  <c r="I93" i="55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3" i="55"/>
  <c r="O42" i="55"/>
  <c r="O41" i="55"/>
  <c r="O40" i="55"/>
  <c r="O39" i="55"/>
  <c r="O38" i="55"/>
  <c r="K43" i="55"/>
  <c r="K42" i="55"/>
  <c r="K41" i="55"/>
  <c r="K40" i="55"/>
  <c r="K39" i="55"/>
  <c r="K38" i="55"/>
  <c r="J43" i="55"/>
  <c r="J42" i="55"/>
  <c r="J41" i="55"/>
  <c r="J40" i="55"/>
  <c r="J39" i="55"/>
  <c r="J38" i="55"/>
  <c r="I43" i="55"/>
  <c r="I42" i="55"/>
  <c r="I41" i="55"/>
  <c r="I40" i="55"/>
  <c r="I39" i="55"/>
  <c r="I38" i="55"/>
  <c r="K37" i="55"/>
  <c r="K36" i="55"/>
  <c r="K35" i="55"/>
  <c r="K34" i="55"/>
  <c r="K33" i="55"/>
  <c r="K32" i="55"/>
  <c r="J37" i="55"/>
  <c r="J36" i="55"/>
  <c r="J35" i="55"/>
  <c r="J34" i="55"/>
  <c r="J33" i="55"/>
  <c r="J32" i="55"/>
  <c r="I37" i="55"/>
  <c r="I36" i="55"/>
  <c r="I35" i="55"/>
  <c r="I34" i="55"/>
  <c r="I33" i="55"/>
  <c r="I32" i="55"/>
  <c r="H37" i="55"/>
  <c r="H36" i="55"/>
  <c r="H35" i="55"/>
  <c r="H34" i="55"/>
  <c r="H33" i="55"/>
  <c r="H32" i="55"/>
  <c r="H43" i="55"/>
  <c r="H42" i="55"/>
  <c r="H41" i="55"/>
  <c r="H40" i="55"/>
  <c r="H39" i="55"/>
  <c r="H38" i="55"/>
  <c r="N43" i="55"/>
  <c r="N42" i="55"/>
  <c r="N41" i="55"/>
  <c r="N40" i="55"/>
  <c r="N39" i="55"/>
  <c r="N38" i="55"/>
  <c r="M43" i="55"/>
  <c r="M42" i="55"/>
  <c r="M41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H31" i="55"/>
  <c r="P31" i="55" s="1"/>
  <c r="I31" i="55"/>
  <c r="Q31" i="55" s="1"/>
  <c r="J31" i="55"/>
  <c r="R31" i="55" s="1"/>
  <c r="K31" i="55"/>
  <c r="S31" i="55" s="1"/>
  <c r="C31" i="55"/>
  <c r="AM29" i="55" s="1"/>
  <c r="C30" i="55"/>
  <c r="AN23" i="55"/>
  <c r="AG25" i="55"/>
  <c r="V25" i="55"/>
  <c r="H25" i="55"/>
  <c r="I25" i="55"/>
  <c r="J25" i="55"/>
  <c r="K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68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68" i="55" l="1"/>
  <c r="AG151" i="55"/>
  <c r="AG150" i="55"/>
  <c r="AG68" i="55"/>
  <c r="AJ120" i="55"/>
  <c r="AJ48" i="55"/>
  <c r="AG118" i="55"/>
  <c r="AG78" i="55"/>
  <c r="AG77" i="55"/>
  <c r="AN144" i="55"/>
  <c r="AN143" i="55"/>
  <c r="AN77" i="55"/>
  <c r="AN78" i="55"/>
  <c r="I168" i="55"/>
  <c r="J168" i="55"/>
  <c r="K168" i="55"/>
  <c r="H168" i="55"/>
  <c r="I120" i="55"/>
  <c r="J120" i="55"/>
  <c r="K120" i="55"/>
  <c r="H120" i="55"/>
  <c r="H48" i="55"/>
  <c r="I48" i="55"/>
  <c r="J48" i="55"/>
  <c r="K48" i="55"/>
  <c r="I166" i="55" l="1"/>
  <c r="J166" i="55"/>
  <c r="K166" i="55"/>
  <c r="H166" i="55"/>
  <c r="H118" i="55"/>
  <c r="I165" i="55"/>
  <c r="J165" i="55"/>
  <c r="K165" i="55"/>
  <c r="H165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76" i="55"/>
  <c r="AG174" i="55"/>
  <c r="AG173" i="55"/>
  <c r="AG171" i="55"/>
  <c r="AG170" i="55"/>
  <c r="AG168" i="55"/>
  <c r="AG166" i="55"/>
  <c r="AG165" i="55"/>
  <c r="AG163" i="55"/>
  <c r="AG162" i="55"/>
  <c r="AG161" i="55"/>
  <c r="AG160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20" i="55"/>
  <c r="Y25" i="55" s="1"/>
  <c r="W20" i="55"/>
  <c r="W25" i="55" s="1"/>
  <c r="X20" i="55" l="1"/>
  <c r="X25" i="55" s="1"/>
  <c r="W22" i="55"/>
  <c r="W21" i="55"/>
  <c r="W23" i="55"/>
  <c r="W24" i="55"/>
  <c r="Y24" i="55"/>
  <c r="Y21" i="55"/>
  <c r="Y22" i="55"/>
  <c r="Y23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X22" i="55" l="1"/>
  <c r="X21" i="55"/>
  <c r="X23" i="55"/>
  <c r="X24" i="55"/>
  <c r="W9" i="55"/>
  <c r="W7" i="55" s="1"/>
  <c r="X9" i="55"/>
  <c r="X7" i="55" s="1"/>
  <c r="Y9" i="55"/>
  <c r="Y7" i="55" s="1"/>
  <c r="Z176" i="55" l="1"/>
  <c r="Z128" i="55"/>
  <c r="Z174" i="55"/>
  <c r="Z173" i="55"/>
  <c r="Z125" i="55"/>
  <c r="Z171" i="55"/>
  <c r="Z170" i="55"/>
  <c r="Z122" i="55"/>
  <c r="Z168" i="55"/>
  <c r="Z120" i="55"/>
  <c r="Z166" i="55"/>
  <c r="Z165" i="55"/>
  <c r="Z117" i="55"/>
  <c r="Z163" i="55"/>
  <c r="Z162" i="55"/>
  <c r="Z161" i="55"/>
  <c r="Z158" i="55"/>
  <c r="Z157" i="55"/>
  <c r="Z84" i="55"/>
  <c r="Z155" i="55"/>
  <c r="Z82" i="55"/>
  <c r="Z145" i="55"/>
  <c r="Z141" i="55"/>
  <c r="Z140" i="55"/>
  <c r="S166" i="55"/>
  <c r="R165" i="55"/>
  <c r="R160" i="55"/>
  <c r="AN131" i="55"/>
  <c r="P139" i="55"/>
  <c r="Q139" i="55"/>
  <c r="R139" i="55"/>
  <c r="S139" i="55"/>
  <c r="AN132" i="55"/>
  <c r="P140" i="55"/>
  <c r="Q140" i="55"/>
  <c r="R140" i="55"/>
  <c r="S140" i="55"/>
  <c r="AN133" i="55"/>
  <c r="P141" i="55"/>
  <c r="Q141" i="55"/>
  <c r="R141" i="55"/>
  <c r="S141" i="55"/>
  <c r="AN134" i="55"/>
  <c r="Q165" i="55"/>
  <c r="S160" i="55"/>
  <c r="S165" i="55"/>
  <c r="P166" i="55"/>
  <c r="C176" i="55"/>
  <c r="AM162" i="55" s="1"/>
  <c r="C174" i="55"/>
  <c r="AM161" i="55" s="1"/>
  <c r="C173" i="55"/>
  <c r="AM160" i="55" s="1"/>
  <c r="C171" i="55"/>
  <c r="AM159" i="55" s="1"/>
  <c r="C170" i="55"/>
  <c r="AM158" i="55" s="1"/>
  <c r="C168" i="55"/>
  <c r="AM157" i="55" s="1"/>
  <c r="C166" i="55"/>
  <c r="AM156" i="55" s="1"/>
  <c r="C165" i="55"/>
  <c r="AM155" i="55" s="1"/>
  <c r="C163" i="55"/>
  <c r="AM154" i="55" s="1"/>
  <c r="C162" i="55"/>
  <c r="C161" i="55"/>
  <c r="AM152" i="55" s="1"/>
  <c r="C160" i="55"/>
  <c r="AM151" i="55" s="1"/>
  <c r="C159" i="55"/>
  <c r="AM150" i="55" s="1"/>
  <c r="C158" i="55"/>
  <c r="AM149" i="55" s="1"/>
  <c r="C157" i="55"/>
  <c r="AM148" i="55" s="1"/>
  <c r="C155" i="55"/>
  <c r="AM147" i="55" s="1"/>
  <c r="C149" i="55"/>
  <c r="AM142" i="55" s="1"/>
  <c r="C148" i="55"/>
  <c r="C147" i="55"/>
  <c r="AM140" i="55" s="1"/>
  <c r="C146" i="55"/>
  <c r="AM139" i="55" s="1"/>
  <c r="C145" i="55"/>
  <c r="AM138" i="55" s="1"/>
  <c r="C144" i="55"/>
  <c r="AM137" i="55" s="1"/>
  <c r="C143" i="55"/>
  <c r="AM136" i="55" s="1"/>
  <c r="C142" i="55"/>
  <c r="AM135" i="55" s="1"/>
  <c r="C141" i="55"/>
  <c r="AM134" i="55" s="1"/>
  <c r="C140" i="55"/>
  <c r="AM133" i="55" s="1"/>
  <c r="C139" i="55"/>
  <c r="AM132" i="55" s="1"/>
  <c r="C138" i="55"/>
  <c r="AM131" i="55" s="1"/>
  <c r="AN162" i="55"/>
  <c r="AN161" i="55"/>
  <c r="S168" i="55"/>
  <c r="R168" i="55"/>
  <c r="Q168" i="55"/>
  <c r="P168" i="55"/>
  <c r="AN160" i="55"/>
  <c r="AN159" i="55"/>
  <c r="R166" i="55"/>
  <c r="Q166" i="55"/>
  <c r="AN158" i="55"/>
  <c r="P165" i="55"/>
  <c r="AN157" i="55"/>
  <c r="AN156" i="55"/>
  <c r="AN155" i="55"/>
  <c r="AN154" i="55"/>
  <c r="S161" i="55"/>
  <c r="R161" i="55"/>
  <c r="Q161" i="55"/>
  <c r="P161" i="55"/>
  <c r="AN153" i="55"/>
  <c r="AM153" i="55"/>
  <c r="P160" i="55"/>
  <c r="Q160" i="55"/>
  <c r="AN152" i="55"/>
  <c r="AN151" i="55"/>
  <c r="AN150" i="55"/>
  <c r="AN149" i="55"/>
  <c r="AN148" i="55"/>
  <c r="AN147" i="55"/>
  <c r="AN146" i="55"/>
  <c r="AM146" i="55"/>
  <c r="AN145" i="55"/>
  <c r="AM145" i="55"/>
  <c r="AN142" i="55"/>
  <c r="S149" i="55"/>
  <c r="R149" i="55"/>
  <c r="Q149" i="55"/>
  <c r="P149" i="55"/>
  <c r="AN141" i="55"/>
  <c r="AM141" i="55"/>
  <c r="AN140" i="55"/>
  <c r="S147" i="55"/>
  <c r="R147" i="55"/>
  <c r="Q147" i="55"/>
  <c r="P147" i="55"/>
  <c r="AN139" i="55"/>
  <c r="AN138" i="55"/>
  <c r="S145" i="55"/>
  <c r="R145" i="55"/>
  <c r="Q145" i="55"/>
  <c r="P145" i="55"/>
  <c r="AN137" i="55"/>
  <c r="S144" i="55"/>
  <c r="R144" i="55"/>
  <c r="Q144" i="55"/>
  <c r="P144" i="55"/>
  <c r="AN136" i="55"/>
  <c r="S143" i="55"/>
  <c r="R143" i="55"/>
  <c r="Q143" i="55"/>
  <c r="P143" i="55"/>
  <c r="AN135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196" i="55"/>
  <c r="U196" i="55" s="1"/>
  <c r="U195" i="55"/>
  <c r="U197" i="55"/>
  <c r="U198" i="55"/>
  <c r="U199" i="55"/>
  <c r="U194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0" i="55"/>
  <c r="V92" i="55"/>
  <c r="V26" i="55"/>
  <c r="V10" i="55"/>
  <c r="X160" i="55"/>
  <c r="W26" i="55"/>
  <c r="X26" i="55"/>
  <c r="Y92" i="55"/>
  <c r="W92" i="55"/>
  <c r="W160" i="55"/>
  <c r="Y26" i="55"/>
  <c r="Y160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62" i="55"/>
  <c r="X162" i="55"/>
  <c r="V157" i="55"/>
  <c r="Y162" i="55"/>
  <c r="W157" i="55"/>
  <c r="X157" i="55"/>
  <c r="Y157" i="55"/>
  <c r="W155" i="55"/>
  <c r="X155" i="55"/>
  <c r="V162" i="55"/>
  <c r="Y155" i="55"/>
  <c r="Y165" i="55"/>
  <c r="V158" i="55"/>
  <c r="X141" i="55"/>
  <c r="W140" i="55"/>
  <c r="W166" i="55"/>
  <c r="Y141" i="55"/>
  <c r="X140" i="55"/>
  <c r="X166" i="55"/>
  <c r="V141" i="55"/>
  <c r="Y140" i="55"/>
  <c r="Y145" i="55"/>
  <c r="Y166" i="55"/>
  <c r="W163" i="55"/>
  <c r="V140" i="55"/>
  <c r="V166" i="55"/>
  <c r="X163" i="55"/>
  <c r="W161" i="55"/>
  <c r="V145" i="55"/>
  <c r="W145" i="55"/>
  <c r="Y163" i="55"/>
  <c r="X161" i="55"/>
  <c r="W158" i="55"/>
  <c r="X145" i="55"/>
  <c r="W165" i="55"/>
  <c r="V165" i="55"/>
  <c r="V163" i="55"/>
  <c r="Y161" i="55"/>
  <c r="X158" i="55"/>
  <c r="X165" i="55"/>
  <c r="V16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32" i="55"/>
  <c r="V16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193" i="55"/>
  <c r="W45" i="55"/>
  <c r="X19" i="55"/>
  <c r="V38" i="55"/>
  <c r="W19" i="55"/>
  <c r="Y38" i="55"/>
  <c r="X38" i="55"/>
  <c r="Y46" i="55"/>
  <c r="Y19" i="55"/>
  <c r="Y18" i="55"/>
  <c r="W38" i="55"/>
  <c r="X46" i="55"/>
  <c r="X18" i="55"/>
  <c r="Y32" i="55"/>
  <c r="Y45" i="55"/>
  <c r="W46" i="55"/>
  <c r="W18" i="55"/>
  <c r="X32" i="55"/>
  <c r="X45" i="55"/>
  <c r="W32" i="55"/>
  <c r="V14" i="55"/>
  <c r="Y16" i="55"/>
  <c r="X16" i="55"/>
  <c r="W16" i="55"/>
  <c r="W14" i="55"/>
  <c r="Y14" i="55"/>
  <c r="X14" i="55"/>
  <c r="V93" i="55" l="1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V37" i="55"/>
  <c r="V34" i="55"/>
  <c r="V35" i="55"/>
  <c r="V36" i="55"/>
  <c r="V33" i="55"/>
  <c r="W37" i="55"/>
  <c r="Y37" i="55"/>
  <c r="W36" i="55"/>
  <c r="W33" i="55"/>
  <c r="Y34" i="55"/>
  <c r="W34" i="55"/>
  <c r="Y35" i="55"/>
  <c r="Y36" i="55"/>
  <c r="Y33" i="55"/>
  <c r="X37" i="55"/>
  <c r="W35" i="55"/>
  <c r="X33" i="55"/>
  <c r="X35" i="55"/>
  <c r="X36" i="55"/>
  <c r="X34" i="55"/>
  <c r="V39" i="55"/>
  <c r="W27" i="55"/>
  <c r="W39" i="55" s="1"/>
  <c r="Y168" i="55"/>
  <c r="V31" i="55"/>
  <c r="V43" i="55" s="1"/>
  <c r="W31" i="55"/>
  <c r="W43" i="55" s="1"/>
  <c r="Y31" i="55"/>
  <c r="Y43" i="55" s="1"/>
  <c r="X31" i="55"/>
  <c r="X43" i="55" s="1"/>
  <c r="Y48" i="55"/>
  <c r="V28" i="55"/>
  <c r="V40" i="55" s="1"/>
  <c r="V30" i="55"/>
  <c r="V42" i="55" s="1"/>
  <c r="V29" i="55"/>
  <c r="V41" i="55" s="1"/>
  <c r="Y30" i="55"/>
  <c r="Y42" i="55" s="1"/>
  <c r="Y29" i="55"/>
  <c r="Y41" i="55" s="1"/>
  <c r="W30" i="55"/>
  <c r="W42" i="55" s="1"/>
  <c r="W28" i="55"/>
  <c r="W40" i="55" s="1"/>
  <c r="W29" i="55"/>
  <c r="W41" i="55" s="1"/>
  <c r="Y27" i="55"/>
  <c r="Y39" i="55" s="1"/>
  <c r="Y28" i="55"/>
  <c r="Y40" i="55" s="1"/>
  <c r="X30" i="55"/>
  <c r="X42" i="55" s="1"/>
  <c r="X27" i="55"/>
  <c r="X39" i="55" s="1"/>
  <c r="X29" i="55"/>
  <c r="X41" i="55" s="1"/>
  <c r="X28" i="55"/>
  <c r="X40" i="55" s="1"/>
  <c r="V8" i="55"/>
  <c r="V12" i="55"/>
  <c r="W8" i="55"/>
  <c r="W12" i="55"/>
  <c r="Y120" i="55"/>
  <c r="X8" i="55"/>
  <c r="X12" i="55"/>
  <c r="Y8" i="55"/>
  <c r="Y12" i="55"/>
  <c r="V48" i="55"/>
  <c r="W168" i="55"/>
  <c r="V120" i="55"/>
  <c r="W120" i="55"/>
  <c r="V168" i="55"/>
  <c r="X48" i="55"/>
  <c r="W48" i="55"/>
  <c r="X120" i="55"/>
  <c r="X168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192" i="55"/>
  <c r="U193" i="55"/>
  <c r="V170" i="55" l="1"/>
  <c r="Y170" i="55"/>
  <c r="V171" i="55"/>
  <c r="X170" i="55"/>
  <c r="W170" i="55"/>
  <c r="W171" i="55"/>
  <c r="X171" i="55"/>
  <c r="Y171" i="55"/>
  <c r="W176" i="55"/>
  <c r="X176" i="55"/>
  <c r="Y176" i="55"/>
  <c r="V176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192" i="55"/>
  <c r="V191" i="55"/>
  <c r="V128" i="55" l="1"/>
  <c r="W128" i="55"/>
  <c r="Y128" i="55"/>
  <c r="X128" i="55"/>
  <c r="V190" i="55"/>
  <c r="U190" i="55" s="1"/>
  <c r="U191" i="55"/>
  <c r="X174" i="55" s="1"/>
  <c r="V126" i="55" l="1"/>
  <c r="V125" i="55"/>
  <c r="W174" i="55"/>
  <c r="Y173" i="55"/>
  <c r="X173" i="55"/>
  <c r="V173" i="55"/>
  <c r="W173" i="55"/>
  <c r="Y174" i="55"/>
  <c r="V174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196" i="55" l="1"/>
  <c r="P196" i="55"/>
  <c r="P197" i="55"/>
  <c r="Q197" i="55"/>
  <c r="P198" i="55"/>
  <c r="Q198" i="55"/>
  <c r="P199" i="55"/>
  <c r="Q199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65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8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8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70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70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73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<sst xmlns="http://schemas.openxmlformats.org/spreadsheetml/2006/main" count="2412" uniqueCount="767">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</sst>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6" formatCode="_(* #,##0_);_(* \(#,##0\);_(* &quot;-&quot;??_);_(@_)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60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9" xfId="0" applyNumberFormat="1" applyFont="1" applyFill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2" fontId="15" fillId="30" borderId="0" xfId="0" applyNumberFormat="1" applyFont="1" applyFill="1" applyBorder="1"/>
    <xf numFmtId="2" fontId="15" fillId="31" borderId="3" xfId="0" applyNumberFormat="1" applyFont="1" applyFill="1" applyBorder="1"/>
    <xf numFmtId="2" fontId="15" fillId="31" borderId="5" xfId="0" applyNumberFormat="1" applyFont="1" applyFill="1" applyBorder="1"/>
    <xf numFmtId="1" fontId="15" fillId="0" borderId="5" xfId="0" applyNumberFormat="1" applyFont="1" applyBorder="1"/>
    <xf numFmtId="2" fontId="15" fillId="30" borderId="3" xfId="0" applyNumberFormat="1" applyFont="1" applyFill="1" applyBorder="1"/>
    <xf numFmtId="2" fontId="15" fillId="30" borderId="16" xfId="0" applyNumberFormat="1" applyFont="1" applyFill="1" applyBorder="1"/>
    <xf numFmtId="2" fontId="15" fillId="31" borderId="10" xfId="0" applyNumberFormat="1" applyFont="1" applyFill="1" applyBorder="1"/>
    <xf numFmtId="2" fontId="15" fillId="30" borderId="10" xfId="0" applyNumberFormat="1" applyFont="1" applyFill="1" applyBorder="1"/>
    <xf numFmtId="2" fontId="15" fillId="31" borderId="14" xfId="0" applyNumberFormat="1" applyFont="1" applyFill="1" applyBorder="1"/>
    <xf numFmtId="2" fontId="15" fillId="31" borderId="16" xfId="0" applyNumberFormat="1" applyFont="1" applyFill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2" fontId="15" fillId="30" borderId="7" xfId="0" applyNumberFormat="1" applyFont="1" applyFill="1" applyBorder="1"/>
    <xf numFmtId="2" fontId="15" fillId="31" borderId="6" xfId="0" applyNumberFormat="1" applyFont="1" applyFill="1" applyBorder="1"/>
    <xf numFmtId="2" fontId="15" fillId="30" borderId="6" xfId="0" applyNumberFormat="1" applyFont="1" applyFill="1" applyBorder="1"/>
    <xf numFmtId="2" fontId="15" fillId="31" borderId="15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176" fontId="15" fillId="19" borderId="9" xfId="2" applyNumberFormat="1" applyFont="1" applyFill="1" applyBorder="1"/>
    <xf numFmtId="176" fontId="15" fillId="0" borderId="25" xfId="2" applyNumberFormat="1" applyFont="1" applyBorder="1"/>
    <xf numFmtId="176" fontId="15" fillId="19" borderId="25" xfId="2" applyNumberFormat="1" applyFont="1" applyFill="1" applyBorder="1"/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177</xdr:row>
      <xdr:rowOff>87313</xdr:rowOff>
    </xdr:from>
    <xdr:to>
      <xdr:col>36</xdr:col>
      <xdr:colOff>462225</xdr:colOff>
      <xdr:row>187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0" customWidth="1"/>
    <col min="5" max="6" width="14.140625" style="500" customWidth="1"/>
    <col min="7" max="7" width="12.140625" style="500" customWidth="1"/>
    <col min="8" max="10" width="8.140625" style="500" customWidth="1"/>
    <col min="11" max="11" width="9.7109375" style="500" customWidth="1"/>
    <col min="12" max="12" width="8.140625" style="500" customWidth="1"/>
    <col min="13" max="13" width="10" style="500" customWidth="1"/>
    <col min="14" max="14" width="11.42578125" style="500" customWidth="1"/>
    <col min="15" max="15" width="13.42578125" style="500" customWidth="1"/>
    <col min="16" max="16384" width="8.85546875" style="500"/>
  </cols>
  <sheetData>
    <row r="1" spans="1:26" x14ac:dyDescent="0.25">
      <c r="A1" s="498"/>
      <c r="B1" s="498"/>
      <c r="C1" s="498"/>
      <c r="D1" s="498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499"/>
      <c r="X1" s="499"/>
      <c r="Y1" s="499"/>
      <c r="Z1" s="499"/>
    </row>
    <row r="2" spans="1:26" x14ac:dyDescent="0.25">
      <c r="A2" s="498"/>
      <c r="B2" s="498"/>
      <c r="C2" s="498"/>
      <c r="D2" s="498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</row>
    <row r="3" spans="1:26" x14ac:dyDescent="0.25">
      <c r="A3" s="498"/>
      <c r="B3" s="498"/>
      <c r="C3" s="498"/>
      <c r="D3" s="498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</row>
    <row r="4" spans="1:26" x14ac:dyDescent="0.25">
      <c r="A4" s="498"/>
      <c r="B4" s="498"/>
      <c r="C4" s="498"/>
      <c r="D4" s="498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</row>
    <row r="5" spans="1:26" x14ac:dyDescent="0.25">
      <c r="A5" s="498"/>
      <c r="B5" s="498"/>
      <c r="C5" s="498"/>
      <c r="D5" s="498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</row>
    <row r="6" spans="1:26" x14ac:dyDescent="0.25">
      <c r="A6" s="498"/>
      <c r="B6" s="498"/>
      <c r="C6" s="498"/>
      <c r="D6" s="498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</row>
    <row r="7" spans="1:26" x14ac:dyDescent="0.25">
      <c r="A7" s="498"/>
      <c r="B7" s="498"/>
      <c r="C7" s="498"/>
      <c r="D7" s="498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499"/>
      <c r="T7" s="499"/>
      <c r="U7" s="499"/>
      <c r="V7" s="499"/>
      <c r="W7" s="499"/>
      <c r="X7" s="499"/>
      <c r="Y7" s="499"/>
      <c r="Z7" s="499"/>
    </row>
    <row r="8" spans="1:26" x14ac:dyDescent="0.25">
      <c r="A8" s="498"/>
      <c r="B8" s="498"/>
      <c r="C8" s="498"/>
      <c r="D8" s="498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499"/>
      <c r="T8" s="499"/>
      <c r="U8" s="499"/>
      <c r="V8" s="499"/>
      <c r="W8" s="499"/>
      <c r="X8" s="499"/>
      <c r="Y8" s="499"/>
      <c r="Z8" s="499"/>
    </row>
    <row r="9" spans="1:26" x14ac:dyDescent="0.25">
      <c r="A9" s="498"/>
      <c r="B9" s="498"/>
      <c r="C9" s="498"/>
      <c r="D9" s="498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</row>
    <row r="10" spans="1:26" x14ac:dyDescent="0.25">
      <c r="A10" s="498"/>
      <c r="B10" s="498"/>
      <c r="C10" s="498"/>
      <c r="D10" s="498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</row>
    <row r="11" spans="1:26" x14ac:dyDescent="0.25">
      <c r="A11" s="498"/>
      <c r="B11" s="498"/>
      <c r="C11" s="498"/>
      <c r="D11" s="498"/>
      <c r="E11" s="499"/>
      <c r="F11" s="499"/>
      <c r="G11" s="499"/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499"/>
      <c r="X11" s="499"/>
      <c r="Y11" s="499"/>
      <c r="Z11" s="499"/>
    </row>
    <row r="12" spans="1:26" x14ac:dyDescent="0.25">
      <c r="A12" s="498"/>
      <c r="B12" s="498"/>
      <c r="C12" s="498"/>
      <c r="D12" s="498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  <c r="S12" s="499"/>
      <c r="T12" s="499"/>
      <c r="U12" s="499"/>
      <c r="V12" s="499"/>
      <c r="W12" s="499"/>
      <c r="X12" s="499"/>
      <c r="Y12" s="499"/>
      <c r="Z12" s="499"/>
    </row>
    <row r="13" spans="1:26" x14ac:dyDescent="0.25">
      <c r="A13" s="498"/>
      <c r="B13" s="498"/>
      <c r="C13" s="498"/>
      <c r="D13" s="498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</row>
    <row r="14" spans="1:26" x14ac:dyDescent="0.25">
      <c r="A14" s="498"/>
      <c r="B14" s="498"/>
      <c r="C14" s="498"/>
      <c r="D14" s="498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</row>
    <row r="15" spans="1:26" x14ac:dyDescent="0.25">
      <c r="A15" s="498"/>
      <c r="B15" s="498"/>
      <c r="C15" s="498"/>
      <c r="D15" s="498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499"/>
      <c r="Q15" s="499"/>
      <c r="R15" s="499"/>
      <c r="S15" s="499"/>
      <c r="T15" s="499"/>
      <c r="U15" s="499"/>
      <c r="V15" s="499"/>
      <c r="W15" s="499"/>
      <c r="X15" s="499"/>
      <c r="Y15" s="499"/>
      <c r="Z15" s="499"/>
    </row>
    <row r="16" spans="1:26" ht="102.75" customHeight="1" x14ac:dyDescent="0.25">
      <c r="A16" s="555" t="s">
        <v>681</v>
      </c>
      <c r="B16" s="555"/>
      <c r="C16" s="555"/>
      <c r="D16" s="555"/>
      <c r="E16" s="501"/>
      <c r="F16" s="501"/>
      <c r="G16" s="502"/>
      <c r="H16" s="502"/>
      <c r="I16" s="502"/>
      <c r="J16" s="502"/>
      <c r="K16" s="502"/>
      <c r="L16" s="502"/>
      <c r="M16" s="499"/>
      <c r="N16" s="499"/>
      <c r="O16" s="499"/>
      <c r="P16" s="499"/>
      <c r="Q16" s="499"/>
      <c r="R16" s="499"/>
      <c r="S16" s="499"/>
      <c r="T16" s="499"/>
      <c r="U16" s="499"/>
      <c r="V16" s="499"/>
      <c r="W16" s="499"/>
      <c r="X16" s="499"/>
      <c r="Y16" s="499"/>
      <c r="Z16" s="499"/>
    </row>
    <row r="17" spans="1:26" ht="17.25" customHeight="1" x14ac:dyDescent="0.25">
      <c r="A17" s="503"/>
      <c r="B17" s="503"/>
      <c r="C17" s="503"/>
      <c r="D17" s="503"/>
      <c r="E17" s="499"/>
      <c r="F17" s="499"/>
      <c r="G17" s="499"/>
      <c r="H17" s="499"/>
      <c r="I17" s="499"/>
      <c r="J17" s="499"/>
      <c r="K17" s="499"/>
      <c r="L17" s="499"/>
      <c r="M17" s="499"/>
      <c r="N17" s="499"/>
      <c r="O17" s="499"/>
      <c r="P17" s="499"/>
      <c r="Q17" s="499"/>
      <c r="R17" s="499"/>
      <c r="S17" s="499"/>
      <c r="T17" s="499"/>
      <c r="U17" s="499"/>
      <c r="V17" s="499"/>
      <c r="W17" s="499"/>
      <c r="X17" s="499"/>
      <c r="Y17" s="499"/>
      <c r="Z17" s="499"/>
    </row>
    <row r="18" spans="1:26" ht="17.25" customHeight="1" x14ac:dyDescent="0.25">
      <c r="A18" s="503"/>
      <c r="B18" s="503"/>
      <c r="C18" s="503"/>
      <c r="D18" s="503"/>
      <c r="E18" s="504"/>
      <c r="F18" s="504"/>
      <c r="G18" s="505"/>
      <c r="H18" s="505"/>
      <c r="I18" s="505"/>
      <c r="J18" s="505"/>
      <c r="K18" s="505"/>
      <c r="L18" s="505"/>
      <c r="M18" s="499"/>
      <c r="N18" s="499"/>
      <c r="O18" s="499"/>
      <c r="P18" s="499"/>
      <c r="Q18" s="499"/>
      <c r="R18" s="499"/>
      <c r="S18" s="499"/>
      <c r="T18" s="499"/>
      <c r="U18" s="499"/>
      <c r="V18" s="499"/>
      <c r="W18" s="499"/>
      <c r="X18" s="499"/>
      <c r="Y18" s="499"/>
      <c r="Z18" s="499"/>
    </row>
    <row r="19" spans="1:26" ht="17.25" customHeight="1" x14ac:dyDescent="0.25">
      <c r="A19" s="506" t="s">
        <v>0</v>
      </c>
      <c r="B19" s="554" t="s">
        <v>697</v>
      </c>
      <c r="C19" s="554"/>
      <c r="D19" s="554"/>
      <c r="E19" s="507"/>
      <c r="F19" s="507"/>
      <c r="G19" s="508"/>
      <c r="H19" s="508"/>
      <c r="I19" s="508"/>
      <c r="J19" s="508"/>
      <c r="K19" s="508"/>
      <c r="L19" s="508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</row>
    <row r="20" spans="1:26" ht="17.25" customHeight="1" x14ac:dyDescent="0.25">
      <c r="A20" s="506" t="s">
        <v>682</v>
      </c>
      <c r="B20" s="554" t="s">
        <v>692</v>
      </c>
      <c r="C20" s="554"/>
      <c r="D20" s="554"/>
      <c r="E20" s="507"/>
      <c r="F20" s="507"/>
      <c r="G20" s="508"/>
      <c r="H20" s="508"/>
      <c r="I20" s="508"/>
      <c r="J20" s="508"/>
      <c r="K20" s="508"/>
      <c r="L20" s="508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</row>
    <row r="21" spans="1:26" ht="17.25" customHeight="1" x14ac:dyDescent="0.25">
      <c r="A21" s="506" t="s">
        <v>683</v>
      </c>
      <c r="B21" s="509" t="s">
        <v>693</v>
      </c>
      <c r="C21" s="509"/>
      <c r="D21" s="509"/>
      <c r="E21" s="507"/>
      <c r="F21" s="507"/>
      <c r="G21" s="508"/>
      <c r="H21" s="508"/>
      <c r="I21" s="508"/>
      <c r="J21" s="508"/>
      <c r="K21" s="508"/>
      <c r="L21" s="508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</row>
    <row r="22" spans="1:26" ht="17.25" customHeight="1" x14ac:dyDescent="0.25">
      <c r="A22" s="506"/>
      <c r="B22" s="509"/>
      <c r="C22" s="509"/>
      <c r="D22" s="509"/>
      <c r="E22" s="507"/>
      <c r="F22" s="507"/>
      <c r="G22" s="508"/>
      <c r="H22" s="508"/>
      <c r="I22" s="508"/>
      <c r="J22" s="508"/>
      <c r="K22" s="508"/>
      <c r="L22" s="508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499"/>
      <c r="Z22" s="499"/>
    </row>
    <row r="23" spans="1:26" ht="17.25" customHeight="1" x14ac:dyDescent="0.25">
      <c r="A23" s="506" t="s">
        <v>684</v>
      </c>
      <c r="B23" s="554" t="s">
        <v>694</v>
      </c>
      <c r="C23" s="554"/>
      <c r="D23" s="554"/>
      <c r="E23" s="499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</row>
    <row r="24" spans="1:26" ht="17.25" customHeight="1" x14ac:dyDescent="0.25">
      <c r="A24" s="506"/>
      <c r="B24" s="554" t="s">
        <v>695</v>
      </c>
      <c r="C24" s="554"/>
      <c r="D24" s="554"/>
      <c r="E24" s="499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499"/>
      <c r="Q24" s="499"/>
      <c r="R24" s="499"/>
      <c r="S24" s="499"/>
      <c r="T24" s="499"/>
      <c r="U24" s="499"/>
      <c r="V24" s="499"/>
      <c r="W24" s="499"/>
      <c r="X24" s="499"/>
      <c r="Y24" s="499"/>
      <c r="Z24" s="499"/>
    </row>
    <row r="25" spans="1:26" ht="17.25" customHeight="1" x14ac:dyDescent="0.25">
      <c r="A25" s="506"/>
      <c r="B25" s="554" t="s">
        <v>696</v>
      </c>
      <c r="C25" s="554"/>
      <c r="D25" s="554"/>
      <c r="E25" s="499"/>
      <c r="F25" s="499"/>
      <c r="G25" s="499"/>
      <c r="H25" s="499"/>
      <c r="I25" s="499"/>
      <c r="J25" s="499"/>
      <c r="K25" s="499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499"/>
      <c r="X25" s="499"/>
      <c r="Y25" s="499"/>
      <c r="Z25" s="499"/>
    </row>
    <row r="26" spans="1:26" ht="17.25" customHeight="1" x14ac:dyDescent="0.25">
      <c r="A26" s="506" t="s">
        <v>685</v>
      </c>
      <c r="B26" s="554" t="s">
        <v>694</v>
      </c>
      <c r="C26" s="554"/>
      <c r="D26" s="554"/>
      <c r="E26" s="499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</row>
    <row r="27" spans="1:26" ht="17.25" customHeight="1" x14ac:dyDescent="0.25">
      <c r="A27" s="506"/>
      <c r="B27" s="554" t="s">
        <v>696</v>
      </c>
      <c r="C27" s="554"/>
      <c r="D27" s="554"/>
      <c r="E27" s="499"/>
      <c r="F27" s="499"/>
      <c r="G27" s="499"/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</row>
    <row r="28" spans="1:26" ht="17.25" customHeight="1" x14ac:dyDescent="0.25">
      <c r="A28" s="506"/>
      <c r="B28" s="509"/>
      <c r="C28" s="509"/>
      <c r="D28" s="509"/>
      <c r="E28" s="499"/>
      <c r="F28" s="499"/>
      <c r="G28" s="499"/>
      <c r="H28" s="499"/>
      <c r="I28" s="499"/>
      <c r="J28" s="499"/>
      <c r="K28" s="499"/>
      <c r="L28" s="499"/>
      <c r="M28" s="499"/>
      <c r="N28" s="499"/>
      <c r="O28" s="499"/>
      <c r="P28" s="499"/>
      <c r="Q28" s="499"/>
      <c r="R28" s="499"/>
      <c r="S28" s="499"/>
      <c r="T28" s="499"/>
      <c r="U28" s="499"/>
      <c r="V28" s="499"/>
      <c r="W28" s="499"/>
      <c r="X28" s="499"/>
      <c r="Y28" s="499"/>
      <c r="Z28" s="499"/>
    </row>
    <row r="29" spans="1:26" ht="17.25" customHeight="1" x14ac:dyDescent="0.25">
      <c r="A29" s="506" t="s">
        <v>686</v>
      </c>
      <c r="B29" s="510">
        <v>1</v>
      </c>
      <c r="C29" s="509"/>
      <c r="D29" s="509"/>
      <c r="E29" s="499"/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</row>
    <row r="30" spans="1:26" ht="17.25" customHeight="1" x14ac:dyDescent="0.25">
      <c r="A30" s="506" t="s">
        <v>687</v>
      </c>
      <c r="B30" s="556" t="s">
        <v>688</v>
      </c>
      <c r="C30" s="554"/>
      <c r="D30" s="554"/>
      <c r="E30" s="511"/>
      <c r="F30" s="511"/>
      <c r="G30" s="499"/>
      <c r="H30" s="499"/>
      <c r="I30" s="499"/>
      <c r="J30" s="499"/>
      <c r="K30" s="499"/>
      <c r="L30" s="499"/>
      <c r="M30" s="499"/>
      <c r="N30" s="499"/>
      <c r="O30" s="499"/>
      <c r="P30" s="499"/>
      <c r="Q30" s="499"/>
      <c r="R30" s="499"/>
      <c r="S30" s="499"/>
      <c r="T30" s="499"/>
      <c r="U30" s="499"/>
      <c r="V30" s="499"/>
      <c r="W30" s="499"/>
      <c r="X30" s="499"/>
      <c r="Y30" s="499"/>
      <c r="Z30" s="499"/>
    </row>
    <row r="31" spans="1:26" ht="17.25" customHeight="1" x14ac:dyDescent="0.25">
      <c r="A31" s="506" t="s">
        <v>689</v>
      </c>
      <c r="B31" s="554" t="s">
        <v>690</v>
      </c>
      <c r="C31" s="554"/>
      <c r="D31" s="554"/>
      <c r="E31" s="511"/>
      <c r="F31" s="511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499"/>
      <c r="X31" s="499"/>
      <c r="Y31" s="499"/>
      <c r="Z31" s="499"/>
    </row>
    <row r="32" spans="1:26" ht="17.25" customHeight="1" x14ac:dyDescent="0.25">
      <c r="A32" s="512"/>
      <c r="B32" s="513" t="s">
        <v>691</v>
      </c>
      <c r="C32" s="512"/>
      <c r="D32" s="512"/>
      <c r="E32" s="499"/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</row>
    <row r="33" spans="1:26" x14ac:dyDescent="0.25">
      <c r="A33" s="498"/>
      <c r="B33" s="498"/>
      <c r="C33" s="498"/>
      <c r="D33" s="498"/>
      <c r="E33" s="499"/>
      <c r="F33" s="499"/>
      <c r="G33" s="499"/>
      <c r="H33" s="499"/>
      <c r="I33" s="499"/>
      <c r="J33" s="499"/>
      <c r="K33" s="499"/>
      <c r="L33" s="499"/>
      <c r="M33" s="499"/>
      <c r="N33" s="499"/>
      <c r="O33" s="499"/>
      <c r="P33" s="499"/>
      <c r="Q33" s="499"/>
      <c r="R33" s="499"/>
      <c r="S33" s="499"/>
      <c r="T33" s="499"/>
      <c r="U33" s="499"/>
      <c r="V33" s="499"/>
      <c r="W33" s="499"/>
      <c r="X33" s="499"/>
      <c r="Y33" s="499"/>
      <c r="Z33" s="499"/>
    </row>
    <row r="34" spans="1:26" x14ac:dyDescent="0.25">
      <c r="A34" s="498"/>
      <c r="B34" s="498"/>
      <c r="C34" s="498"/>
      <c r="D34" s="498"/>
      <c r="E34" s="499"/>
      <c r="F34" s="499"/>
      <c r="G34" s="499"/>
      <c r="H34" s="499"/>
      <c r="I34" s="499"/>
      <c r="J34" s="499"/>
      <c r="K34" s="499"/>
      <c r="L34" s="499"/>
      <c r="M34" s="499"/>
      <c r="N34" s="499"/>
      <c r="O34" s="499"/>
      <c r="P34" s="499"/>
      <c r="Q34" s="499"/>
      <c r="R34" s="499"/>
      <c r="S34" s="499"/>
      <c r="T34" s="499"/>
      <c r="U34" s="499"/>
      <c r="V34" s="499"/>
      <c r="W34" s="499"/>
      <c r="X34" s="499"/>
      <c r="Y34" s="499"/>
      <c r="Z34" s="499"/>
    </row>
    <row r="35" spans="1:26" x14ac:dyDescent="0.25">
      <c r="A35" s="498"/>
      <c r="B35" s="498"/>
      <c r="C35" s="498"/>
      <c r="D35" s="498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</row>
    <row r="36" spans="1:26" x14ac:dyDescent="0.25">
      <c r="A36" s="498"/>
      <c r="B36" s="498"/>
      <c r="C36" s="498"/>
      <c r="D36" s="498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499"/>
      <c r="X36" s="499"/>
      <c r="Y36" s="499"/>
      <c r="Z36" s="499"/>
    </row>
    <row r="37" spans="1:26" x14ac:dyDescent="0.25">
      <c r="A37" s="498"/>
      <c r="B37" s="498"/>
      <c r="C37" s="498"/>
      <c r="D37" s="498"/>
      <c r="E37" s="499"/>
      <c r="F37" s="499"/>
      <c r="G37" s="499"/>
      <c r="H37" s="499"/>
      <c r="I37" s="499"/>
      <c r="J37" s="499"/>
      <c r="K37" s="499"/>
      <c r="L37" s="499"/>
      <c r="M37" s="499"/>
      <c r="N37" s="499"/>
      <c r="O37" s="499"/>
      <c r="P37" s="499"/>
      <c r="Q37" s="499"/>
      <c r="R37" s="499"/>
      <c r="S37" s="499"/>
      <c r="T37" s="499"/>
      <c r="U37" s="499"/>
      <c r="V37" s="499"/>
      <c r="W37" s="499"/>
      <c r="X37" s="499"/>
      <c r="Y37" s="499"/>
      <c r="Z37" s="499"/>
    </row>
    <row r="38" spans="1:26" x14ac:dyDescent="0.25">
      <c r="A38" s="498"/>
      <c r="B38" s="498"/>
      <c r="C38" s="498"/>
      <c r="D38" s="498"/>
      <c r="E38" s="499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499"/>
      <c r="X38" s="499"/>
      <c r="Y38" s="499"/>
      <c r="Z38" s="499"/>
    </row>
    <row r="39" spans="1:26" x14ac:dyDescent="0.25">
      <c r="A39" s="498"/>
      <c r="B39" s="498"/>
      <c r="C39" s="498"/>
      <c r="D39" s="498"/>
      <c r="E39" s="499"/>
      <c r="F39" s="499"/>
      <c r="G39" s="499"/>
      <c r="H39" s="499"/>
      <c r="I39" s="499"/>
      <c r="J39" s="499"/>
      <c r="K39" s="499"/>
      <c r="L39" s="499"/>
      <c r="M39" s="499"/>
      <c r="N39" s="499"/>
      <c r="O39" s="499"/>
      <c r="P39" s="499"/>
      <c r="Q39" s="499"/>
      <c r="R39" s="499"/>
      <c r="S39" s="499"/>
      <c r="T39" s="499"/>
      <c r="U39" s="499"/>
      <c r="V39" s="499"/>
      <c r="W39" s="499"/>
      <c r="X39" s="499"/>
      <c r="Y39" s="499"/>
      <c r="Z39" s="499"/>
    </row>
    <row r="40" spans="1:26" x14ac:dyDescent="0.25">
      <c r="A40" s="498"/>
      <c r="B40" s="498"/>
      <c r="C40" s="498"/>
      <c r="D40" s="498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499"/>
      <c r="X40" s="499"/>
      <c r="Y40" s="499"/>
      <c r="Z40" s="499"/>
    </row>
    <row r="41" spans="1:26" x14ac:dyDescent="0.25">
      <c r="A41" s="498"/>
      <c r="B41" s="498"/>
      <c r="C41" s="498"/>
      <c r="D41" s="498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499"/>
      <c r="U41" s="499"/>
      <c r="V41" s="499"/>
      <c r="W41" s="499"/>
      <c r="X41" s="499"/>
      <c r="Y41" s="499"/>
      <c r="Z41" s="499"/>
    </row>
    <row r="42" spans="1:26" x14ac:dyDescent="0.25">
      <c r="A42" s="498"/>
      <c r="B42" s="498"/>
      <c r="C42" s="498"/>
      <c r="D42" s="498"/>
      <c r="E42" s="499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</row>
    <row r="43" spans="1:26" x14ac:dyDescent="0.25">
      <c r="A43" s="499"/>
      <c r="B43" s="499"/>
      <c r="C43" s="499"/>
      <c r="D43" s="499"/>
      <c r="E43" s="499"/>
      <c r="F43" s="499"/>
      <c r="G43" s="499"/>
      <c r="H43" s="499"/>
      <c r="I43" s="499"/>
      <c r="J43" s="499"/>
      <c r="K43" s="499"/>
      <c r="L43" s="499"/>
      <c r="M43" s="499"/>
      <c r="N43" s="499"/>
      <c r="O43" s="499"/>
      <c r="P43" s="499"/>
      <c r="Q43" s="499"/>
      <c r="R43" s="499"/>
      <c r="S43" s="499"/>
      <c r="T43" s="499"/>
      <c r="U43" s="499"/>
      <c r="V43" s="499"/>
      <c r="W43" s="499"/>
      <c r="X43" s="499"/>
      <c r="Y43" s="499"/>
      <c r="Z43" s="499"/>
    </row>
    <row r="44" spans="1:26" x14ac:dyDescent="0.25">
      <c r="A44" s="499"/>
      <c r="B44" s="499"/>
      <c r="C44" s="499"/>
      <c r="D44" s="499"/>
      <c r="E44" s="499"/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499"/>
      <c r="Q44" s="499"/>
      <c r="R44" s="499"/>
      <c r="S44" s="499"/>
      <c r="T44" s="499"/>
      <c r="U44" s="499"/>
      <c r="V44" s="499"/>
      <c r="W44" s="499"/>
      <c r="X44" s="499"/>
      <c r="Y44" s="499"/>
      <c r="Z44" s="499"/>
    </row>
    <row r="45" spans="1:26" x14ac:dyDescent="0.25">
      <c r="A45" s="499"/>
      <c r="B45" s="499"/>
      <c r="C45" s="499"/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499"/>
      <c r="Q45" s="499"/>
      <c r="R45" s="499"/>
      <c r="S45" s="499"/>
      <c r="T45" s="499"/>
      <c r="U45" s="499"/>
      <c r="V45" s="499"/>
      <c r="W45" s="499"/>
      <c r="X45" s="499"/>
      <c r="Y45" s="499"/>
      <c r="Z45" s="499"/>
    </row>
    <row r="46" spans="1:26" x14ac:dyDescent="0.25">
      <c r="A46" s="499"/>
      <c r="B46" s="499"/>
      <c r="C46" s="499"/>
      <c r="D46" s="499"/>
      <c r="E46" s="499"/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499"/>
      <c r="W46" s="499"/>
      <c r="X46" s="499"/>
      <c r="Y46" s="499"/>
      <c r="Z46" s="499"/>
    </row>
    <row r="47" spans="1:26" x14ac:dyDescent="0.25">
      <c r="A47" s="499"/>
      <c r="B47" s="499"/>
      <c r="C47" s="499"/>
      <c r="D47" s="499"/>
      <c r="E47" s="499"/>
      <c r="F47" s="499"/>
      <c r="G47" s="499"/>
      <c r="H47" s="499"/>
      <c r="I47" s="499"/>
      <c r="J47" s="499"/>
      <c r="K47" s="499"/>
      <c r="L47" s="499"/>
      <c r="M47" s="499"/>
      <c r="N47" s="499"/>
      <c r="O47" s="499"/>
      <c r="P47" s="499"/>
      <c r="Q47" s="499"/>
      <c r="R47" s="499"/>
      <c r="S47" s="499"/>
      <c r="T47" s="499"/>
      <c r="U47" s="499"/>
      <c r="V47" s="499"/>
      <c r="W47" s="499"/>
      <c r="X47" s="499"/>
      <c r="Y47" s="499"/>
      <c r="Z47" s="499"/>
    </row>
    <row r="48" spans="1:26" x14ac:dyDescent="0.25">
      <c r="A48" s="499"/>
      <c r="B48" s="499"/>
      <c r="C48" s="499"/>
      <c r="D48" s="499"/>
      <c r="E48" s="499"/>
      <c r="F48" s="499"/>
      <c r="G48" s="499"/>
      <c r="H48" s="499"/>
      <c r="I48" s="499"/>
      <c r="J48" s="499"/>
      <c r="K48" s="499"/>
      <c r="L48" s="499"/>
      <c r="M48" s="499"/>
      <c r="N48" s="499"/>
      <c r="O48" s="499"/>
      <c r="P48" s="499"/>
      <c r="Q48" s="499"/>
      <c r="R48" s="499"/>
      <c r="S48" s="499"/>
      <c r="T48" s="499"/>
      <c r="U48" s="499"/>
      <c r="V48" s="499"/>
      <c r="W48" s="499"/>
      <c r="X48" s="499"/>
      <c r="Y48" s="499"/>
      <c r="Z48" s="499"/>
    </row>
    <row r="49" spans="1:26" x14ac:dyDescent="0.25">
      <c r="A49" s="499"/>
      <c r="B49" s="499"/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</row>
    <row r="50" spans="1:26" x14ac:dyDescent="0.25">
      <c r="A50" s="499"/>
      <c r="B50" s="499"/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99"/>
    </row>
    <row r="51" spans="1:26" x14ac:dyDescent="0.25">
      <c r="A51" s="499"/>
      <c r="B51" s="499"/>
      <c r="C51" s="499"/>
      <c r="D51" s="499"/>
      <c r="E51" s="499"/>
      <c r="F51" s="499"/>
      <c r="G51" s="499"/>
      <c r="H51" s="499"/>
      <c r="I51" s="499"/>
      <c r="J51" s="499"/>
      <c r="K51" s="499"/>
      <c r="L51" s="499"/>
      <c r="M51" s="499"/>
      <c r="N51" s="499"/>
      <c r="O51" s="499"/>
      <c r="P51" s="499"/>
      <c r="Q51" s="499"/>
      <c r="R51" s="499"/>
      <c r="S51" s="499"/>
      <c r="T51" s="499"/>
      <c r="U51" s="499"/>
      <c r="V51" s="499"/>
      <c r="W51" s="499"/>
      <c r="X51" s="499"/>
      <c r="Y51" s="499"/>
      <c r="Z51" s="499"/>
    </row>
    <row r="52" spans="1:26" x14ac:dyDescent="0.25">
      <c r="A52" s="499"/>
      <c r="B52" s="499"/>
      <c r="C52" s="499"/>
      <c r="D52" s="499"/>
      <c r="E52" s="499"/>
      <c r="F52" s="499"/>
      <c r="G52" s="499"/>
      <c r="H52" s="499"/>
      <c r="I52" s="499"/>
      <c r="J52" s="499"/>
      <c r="K52" s="499"/>
      <c r="L52" s="499"/>
      <c r="M52" s="499"/>
      <c r="N52" s="499"/>
      <c r="O52" s="499"/>
      <c r="P52" s="499"/>
      <c r="Q52" s="499"/>
      <c r="R52" s="499"/>
      <c r="S52" s="499"/>
      <c r="T52" s="499"/>
      <c r="U52" s="499"/>
      <c r="V52" s="499"/>
      <c r="W52" s="499"/>
      <c r="X52" s="499"/>
      <c r="Y52" s="499"/>
      <c r="Z52" s="499"/>
    </row>
    <row r="53" spans="1:26" x14ac:dyDescent="0.25">
      <c r="A53" s="499"/>
      <c r="B53" s="499"/>
      <c r="C53" s="499"/>
      <c r="D53" s="499"/>
      <c r="E53" s="499"/>
      <c r="F53" s="499"/>
      <c r="G53" s="499"/>
      <c r="H53" s="499"/>
      <c r="I53" s="499"/>
      <c r="J53" s="499"/>
      <c r="K53" s="499"/>
      <c r="L53" s="499"/>
      <c r="M53" s="499"/>
      <c r="N53" s="499"/>
      <c r="O53" s="499"/>
      <c r="P53" s="499"/>
      <c r="Q53" s="499"/>
      <c r="R53" s="499"/>
      <c r="S53" s="499"/>
      <c r="T53" s="499"/>
      <c r="U53" s="499"/>
      <c r="V53" s="499"/>
      <c r="W53" s="499"/>
      <c r="X53" s="499"/>
      <c r="Y53" s="499"/>
      <c r="Z53" s="499"/>
    </row>
    <row r="54" spans="1:26" x14ac:dyDescent="0.25">
      <c r="A54" s="499"/>
      <c r="B54" s="499"/>
      <c r="C54" s="499"/>
      <c r="D54" s="499"/>
      <c r="E54" s="499"/>
      <c r="F54" s="499"/>
      <c r="G54" s="499"/>
      <c r="H54" s="499"/>
      <c r="I54" s="499"/>
      <c r="J54" s="499"/>
      <c r="K54" s="499"/>
      <c r="L54" s="499"/>
      <c r="M54" s="499"/>
      <c r="N54" s="499"/>
      <c r="O54" s="499"/>
      <c r="P54" s="499"/>
      <c r="Q54" s="499"/>
      <c r="R54" s="499"/>
      <c r="S54" s="499"/>
      <c r="T54" s="499"/>
      <c r="U54" s="499"/>
      <c r="V54" s="499"/>
      <c r="W54" s="499"/>
      <c r="X54" s="499"/>
      <c r="Y54" s="499"/>
      <c r="Z54" s="499"/>
    </row>
    <row r="55" spans="1:26" x14ac:dyDescent="0.25">
      <c r="A55" s="499"/>
      <c r="B55" s="499"/>
      <c r="C55" s="499"/>
      <c r="D55" s="499"/>
      <c r="E55" s="499"/>
      <c r="F55" s="499"/>
      <c r="G55" s="499"/>
      <c r="H55" s="499"/>
      <c r="I55" s="499"/>
      <c r="J55" s="499"/>
      <c r="K55" s="499"/>
      <c r="L55" s="499"/>
      <c r="M55" s="499"/>
      <c r="N55" s="499"/>
      <c r="O55" s="499"/>
      <c r="P55" s="499"/>
      <c r="Q55" s="499"/>
      <c r="R55" s="499"/>
      <c r="S55" s="499"/>
      <c r="T55" s="499"/>
      <c r="U55" s="499"/>
      <c r="V55" s="499"/>
      <c r="W55" s="499"/>
      <c r="X55" s="499"/>
      <c r="Y55" s="499"/>
      <c r="Z55" s="499"/>
    </row>
    <row r="56" spans="1:26" x14ac:dyDescent="0.25">
      <c r="A56" s="499"/>
      <c r="B56" s="499"/>
      <c r="C56" s="499"/>
      <c r="D56" s="499"/>
      <c r="E56" s="499"/>
      <c r="F56" s="499"/>
      <c r="G56" s="499"/>
      <c r="H56" s="499"/>
      <c r="I56" s="499"/>
      <c r="J56" s="499"/>
      <c r="K56" s="499"/>
      <c r="L56" s="499"/>
      <c r="M56" s="499"/>
      <c r="N56" s="499"/>
      <c r="O56" s="499"/>
      <c r="P56" s="499"/>
      <c r="Q56" s="499"/>
      <c r="R56" s="499"/>
      <c r="S56" s="499"/>
      <c r="T56" s="499"/>
      <c r="U56" s="499"/>
      <c r="V56" s="499"/>
      <c r="W56" s="499"/>
      <c r="X56" s="499"/>
      <c r="Y56" s="499"/>
      <c r="Z56" s="499"/>
    </row>
    <row r="57" spans="1:26" x14ac:dyDescent="0.25">
      <c r="A57" s="499"/>
      <c r="B57" s="499"/>
      <c r="C57" s="499"/>
      <c r="D57" s="499"/>
      <c r="E57" s="499"/>
      <c r="F57" s="499"/>
      <c r="G57" s="499"/>
      <c r="H57" s="499"/>
      <c r="I57" s="499"/>
      <c r="J57" s="499"/>
      <c r="K57" s="499"/>
      <c r="L57" s="499"/>
      <c r="M57" s="499"/>
      <c r="N57" s="499"/>
      <c r="O57" s="499"/>
      <c r="P57" s="499"/>
      <c r="Q57" s="499"/>
      <c r="R57" s="499"/>
      <c r="S57" s="499"/>
      <c r="T57" s="499"/>
      <c r="U57" s="499"/>
      <c r="V57" s="499"/>
      <c r="W57" s="499"/>
      <c r="X57" s="499"/>
      <c r="Y57" s="499"/>
      <c r="Z57" s="499"/>
    </row>
    <row r="58" spans="1:26" x14ac:dyDescent="0.25">
      <c r="A58" s="499"/>
      <c r="B58" s="499"/>
      <c r="C58" s="499"/>
      <c r="D58" s="499"/>
      <c r="E58" s="499"/>
      <c r="F58" s="499"/>
      <c r="G58" s="499"/>
      <c r="H58" s="499"/>
      <c r="I58" s="499"/>
      <c r="J58" s="499"/>
      <c r="K58" s="499"/>
      <c r="L58" s="499"/>
      <c r="M58" s="499"/>
      <c r="N58" s="499"/>
      <c r="O58" s="499"/>
      <c r="P58" s="499"/>
      <c r="Q58" s="499"/>
      <c r="R58" s="499"/>
      <c r="S58" s="499"/>
      <c r="T58" s="499"/>
      <c r="U58" s="499"/>
      <c r="V58" s="499"/>
      <c r="W58" s="499"/>
      <c r="X58" s="499"/>
      <c r="Y58" s="499"/>
      <c r="Z58" s="499"/>
    </row>
    <row r="59" spans="1:26" x14ac:dyDescent="0.25">
      <c r="A59" s="499"/>
      <c r="B59" s="499"/>
      <c r="C59" s="499"/>
      <c r="D59" s="499"/>
      <c r="E59" s="499"/>
      <c r="F59" s="499"/>
      <c r="G59" s="499"/>
      <c r="H59" s="499"/>
      <c r="I59" s="499"/>
      <c r="J59" s="499"/>
      <c r="K59" s="499"/>
      <c r="L59" s="499"/>
      <c r="M59" s="499"/>
      <c r="N59" s="499"/>
      <c r="O59" s="499"/>
      <c r="P59" s="499"/>
      <c r="Q59" s="499"/>
      <c r="R59" s="499"/>
      <c r="S59" s="499"/>
      <c r="T59" s="499"/>
      <c r="U59" s="499"/>
      <c r="V59" s="499"/>
      <c r="W59" s="499"/>
      <c r="X59" s="499"/>
      <c r="Y59" s="499"/>
      <c r="Z59" s="499"/>
    </row>
    <row r="60" spans="1:26" x14ac:dyDescent="0.25">
      <c r="A60" s="499"/>
      <c r="B60" s="499"/>
      <c r="C60" s="499"/>
      <c r="D60" s="499"/>
      <c r="E60" s="499"/>
      <c r="F60" s="499"/>
      <c r="G60" s="499"/>
      <c r="H60" s="499"/>
      <c r="I60" s="499"/>
      <c r="J60" s="499"/>
      <c r="K60" s="499"/>
      <c r="L60" s="499"/>
      <c r="M60" s="499"/>
      <c r="N60" s="499"/>
      <c r="O60" s="499"/>
      <c r="P60" s="499"/>
      <c r="Q60" s="499"/>
      <c r="R60" s="499"/>
      <c r="S60" s="499"/>
      <c r="T60" s="499"/>
      <c r="U60" s="499"/>
      <c r="V60" s="499"/>
      <c r="W60" s="499"/>
      <c r="X60" s="499"/>
      <c r="Y60" s="499"/>
      <c r="Z60" s="499"/>
    </row>
    <row r="61" spans="1:26" x14ac:dyDescent="0.25">
      <c r="A61" s="499"/>
      <c r="B61" s="499"/>
      <c r="C61" s="499"/>
      <c r="D61" s="499"/>
      <c r="E61" s="499"/>
      <c r="F61" s="499"/>
      <c r="G61" s="499"/>
      <c r="H61" s="499"/>
      <c r="I61" s="499"/>
      <c r="J61" s="499"/>
      <c r="K61" s="499"/>
      <c r="L61" s="499"/>
      <c r="M61" s="499"/>
      <c r="N61" s="499"/>
      <c r="O61" s="499"/>
      <c r="P61" s="499"/>
      <c r="Q61" s="499"/>
      <c r="R61" s="499"/>
      <c r="S61" s="499"/>
      <c r="T61" s="499"/>
      <c r="U61" s="499"/>
      <c r="V61" s="499"/>
      <c r="W61" s="499"/>
      <c r="X61" s="499"/>
      <c r="Y61" s="499"/>
      <c r="Z61" s="499"/>
    </row>
    <row r="62" spans="1:26" x14ac:dyDescent="0.25">
      <c r="A62" s="499"/>
      <c r="B62" s="499"/>
      <c r="C62" s="499"/>
      <c r="D62" s="499"/>
      <c r="E62" s="499"/>
      <c r="F62" s="499"/>
      <c r="G62" s="499"/>
      <c r="H62" s="499"/>
      <c r="I62" s="499"/>
      <c r="J62" s="499"/>
      <c r="K62" s="499"/>
      <c r="L62" s="499"/>
      <c r="M62" s="499"/>
      <c r="N62" s="499"/>
      <c r="O62" s="499"/>
      <c r="P62" s="499"/>
      <c r="Q62" s="499"/>
      <c r="R62" s="499"/>
      <c r="S62" s="499"/>
      <c r="T62" s="499"/>
      <c r="U62" s="499"/>
      <c r="V62" s="499"/>
      <c r="W62" s="499"/>
      <c r="X62" s="499"/>
      <c r="Y62" s="499"/>
      <c r="Z62" s="499"/>
    </row>
    <row r="63" spans="1:26" x14ac:dyDescent="0.25">
      <c r="A63" s="499"/>
      <c r="B63" s="499"/>
      <c r="C63" s="499"/>
      <c r="D63" s="499"/>
      <c r="E63" s="499"/>
      <c r="F63" s="499"/>
      <c r="G63" s="499"/>
      <c r="H63" s="499"/>
      <c r="I63" s="499"/>
      <c r="J63" s="499"/>
      <c r="K63" s="499"/>
      <c r="L63" s="499"/>
      <c r="M63" s="499"/>
      <c r="N63" s="499"/>
      <c r="O63" s="499"/>
      <c r="P63" s="499"/>
      <c r="Q63" s="499"/>
      <c r="R63" s="499"/>
      <c r="S63" s="499"/>
      <c r="T63" s="499"/>
      <c r="U63" s="499"/>
      <c r="V63" s="499"/>
      <c r="W63" s="499"/>
      <c r="X63" s="499"/>
      <c r="Y63" s="499"/>
      <c r="Z63" s="499"/>
    </row>
    <row r="64" spans="1:26" x14ac:dyDescent="0.25">
      <c r="A64" s="499"/>
      <c r="B64" s="499"/>
      <c r="C64" s="499"/>
      <c r="D64" s="499"/>
      <c r="E64" s="499"/>
      <c r="F64" s="499"/>
      <c r="G64" s="499"/>
      <c r="H64" s="499"/>
      <c r="I64" s="499"/>
      <c r="J64" s="499"/>
      <c r="K64" s="499"/>
      <c r="L64" s="499"/>
      <c r="M64" s="499"/>
      <c r="N64" s="499"/>
      <c r="O64" s="499"/>
      <c r="P64" s="499"/>
      <c r="Q64" s="499"/>
      <c r="R64" s="499"/>
      <c r="S64" s="499"/>
      <c r="T64" s="499"/>
      <c r="U64" s="499"/>
      <c r="V64" s="499"/>
      <c r="W64" s="499"/>
      <c r="X64" s="499"/>
      <c r="Y64" s="499"/>
      <c r="Z64" s="499"/>
    </row>
    <row r="65" spans="1:26" x14ac:dyDescent="0.25">
      <c r="A65" s="499"/>
      <c r="B65" s="499"/>
      <c r="C65" s="499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</row>
    <row r="66" spans="1:26" x14ac:dyDescent="0.25">
      <c r="A66" s="499"/>
      <c r="B66" s="499"/>
      <c r="C66" s="499"/>
      <c r="D66" s="499"/>
      <c r="E66" s="499"/>
      <c r="F66" s="499"/>
      <c r="G66" s="499"/>
      <c r="H66" s="499"/>
      <c r="I66" s="499"/>
      <c r="J66" s="499"/>
      <c r="K66" s="499"/>
      <c r="L66" s="499"/>
      <c r="M66" s="499"/>
      <c r="N66" s="499"/>
      <c r="O66" s="499"/>
      <c r="P66" s="499"/>
      <c r="Q66" s="499"/>
      <c r="R66" s="499"/>
      <c r="S66" s="499"/>
      <c r="T66" s="499"/>
      <c r="U66" s="499"/>
      <c r="V66" s="499"/>
      <c r="W66" s="499"/>
      <c r="X66" s="499"/>
      <c r="Y66" s="499"/>
      <c r="Z66" s="499"/>
    </row>
    <row r="67" spans="1:26" x14ac:dyDescent="0.25">
      <c r="A67" s="499"/>
      <c r="B67" s="499"/>
      <c r="C67" s="499"/>
      <c r="D67" s="499"/>
      <c r="E67" s="499"/>
      <c r="F67" s="499"/>
      <c r="G67" s="499"/>
      <c r="H67" s="499"/>
      <c r="I67" s="499"/>
      <c r="J67" s="499"/>
      <c r="K67" s="499"/>
      <c r="L67" s="499"/>
      <c r="M67" s="499"/>
      <c r="N67" s="499"/>
      <c r="O67" s="499"/>
      <c r="P67" s="499"/>
      <c r="Q67" s="499"/>
      <c r="R67" s="499"/>
      <c r="S67" s="499"/>
      <c r="T67" s="499"/>
      <c r="U67" s="499"/>
      <c r="V67" s="499"/>
      <c r="W67" s="499"/>
      <c r="X67" s="499"/>
      <c r="Y67" s="499"/>
      <c r="Z67" s="499"/>
    </row>
    <row r="68" spans="1:26" x14ac:dyDescent="0.25">
      <c r="A68" s="499"/>
      <c r="B68" s="499"/>
      <c r="C68" s="499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</row>
    <row r="69" spans="1:26" x14ac:dyDescent="0.25">
      <c r="A69" s="499"/>
      <c r="B69" s="499"/>
      <c r="C69" s="499"/>
      <c r="D69" s="499"/>
      <c r="E69" s="499"/>
      <c r="F69" s="499"/>
      <c r="G69" s="499"/>
      <c r="H69" s="499"/>
      <c r="I69" s="499"/>
      <c r="J69" s="499"/>
      <c r="K69" s="499"/>
      <c r="L69" s="499"/>
      <c r="M69" s="499"/>
      <c r="N69" s="499"/>
      <c r="O69" s="499"/>
      <c r="P69" s="499"/>
      <c r="Q69" s="499"/>
      <c r="R69" s="499"/>
      <c r="S69" s="499"/>
      <c r="T69" s="499"/>
      <c r="U69" s="499"/>
      <c r="V69" s="499"/>
      <c r="W69" s="499"/>
      <c r="X69" s="499"/>
      <c r="Y69" s="499"/>
      <c r="Z69" s="499"/>
    </row>
    <row r="70" spans="1:26" x14ac:dyDescent="0.25">
      <c r="A70" s="499"/>
      <c r="B70" s="499"/>
      <c r="C70" s="499"/>
      <c r="D70" s="499"/>
      <c r="E70" s="499"/>
      <c r="F70" s="499"/>
      <c r="G70" s="499"/>
      <c r="H70" s="499"/>
      <c r="I70" s="499"/>
      <c r="J70" s="499"/>
      <c r="K70" s="499"/>
      <c r="L70" s="499"/>
      <c r="M70" s="499"/>
      <c r="N70" s="499"/>
      <c r="O70" s="499"/>
      <c r="P70" s="499"/>
      <c r="Q70" s="499"/>
      <c r="R70" s="499"/>
      <c r="S70" s="499"/>
      <c r="T70" s="499"/>
      <c r="U70" s="499"/>
      <c r="V70" s="499"/>
      <c r="W70" s="499"/>
      <c r="X70" s="499"/>
      <c r="Y70" s="499"/>
      <c r="Z70" s="499"/>
    </row>
    <row r="71" spans="1:26" x14ac:dyDescent="0.25">
      <c r="A71" s="499"/>
      <c r="B71" s="499"/>
      <c r="C71" s="499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</row>
    <row r="72" spans="1:26" x14ac:dyDescent="0.25">
      <c r="A72" s="499"/>
      <c r="B72" s="499"/>
      <c r="C72" s="499"/>
      <c r="D72" s="499"/>
      <c r="E72" s="499"/>
      <c r="F72" s="499"/>
      <c r="G72" s="499"/>
      <c r="H72" s="499"/>
      <c r="I72" s="499"/>
      <c r="J72" s="499"/>
      <c r="K72" s="499"/>
      <c r="L72" s="499"/>
      <c r="M72" s="499"/>
      <c r="N72" s="499"/>
      <c r="O72" s="499"/>
      <c r="P72" s="499"/>
      <c r="Q72" s="499"/>
      <c r="R72" s="499"/>
      <c r="S72" s="499"/>
      <c r="T72" s="499"/>
      <c r="U72" s="499"/>
      <c r="V72" s="499"/>
      <c r="W72" s="499"/>
      <c r="X72" s="499"/>
      <c r="Y72" s="499"/>
      <c r="Z72" s="499"/>
    </row>
    <row r="73" spans="1:26" x14ac:dyDescent="0.25">
      <c r="A73" s="499"/>
      <c r="B73" s="499"/>
      <c r="C73" s="499"/>
      <c r="D73" s="499"/>
      <c r="E73" s="499"/>
      <c r="F73" s="499"/>
      <c r="G73" s="499"/>
      <c r="H73" s="499"/>
      <c r="I73" s="499"/>
      <c r="J73" s="499"/>
      <c r="K73" s="499"/>
      <c r="L73" s="499"/>
      <c r="M73" s="499"/>
      <c r="N73" s="499"/>
      <c r="O73" s="499"/>
      <c r="P73" s="499"/>
      <c r="Q73" s="499"/>
      <c r="R73" s="499"/>
      <c r="S73" s="499"/>
      <c r="T73" s="499"/>
      <c r="U73" s="499"/>
      <c r="V73" s="499"/>
      <c r="W73" s="499"/>
      <c r="X73" s="499"/>
      <c r="Y73" s="499"/>
      <c r="Z73" s="499"/>
    </row>
    <row r="74" spans="1:26" x14ac:dyDescent="0.25">
      <c r="A74" s="499"/>
      <c r="B74" s="499"/>
      <c r="C74" s="499"/>
      <c r="D74" s="499"/>
      <c r="E74" s="499"/>
      <c r="F74" s="499"/>
      <c r="G74" s="499"/>
      <c r="H74" s="499"/>
      <c r="I74" s="499"/>
      <c r="J74" s="499"/>
      <c r="K74" s="499"/>
      <c r="L74" s="499"/>
      <c r="M74" s="499"/>
      <c r="N74" s="499"/>
      <c r="O74" s="499"/>
      <c r="P74" s="499"/>
      <c r="Q74" s="499"/>
      <c r="R74" s="499"/>
      <c r="S74" s="499"/>
      <c r="T74" s="499"/>
      <c r="U74" s="499"/>
      <c r="V74" s="499"/>
      <c r="W74" s="499"/>
      <c r="X74" s="499"/>
      <c r="Y74" s="499"/>
      <c r="Z74" s="499"/>
    </row>
    <row r="75" spans="1:26" x14ac:dyDescent="0.25">
      <c r="A75" s="499"/>
      <c r="B75" s="499"/>
      <c r="C75" s="499"/>
      <c r="D75" s="499"/>
      <c r="E75" s="499"/>
      <c r="F75" s="499"/>
      <c r="G75" s="499"/>
      <c r="H75" s="499"/>
      <c r="I75" s="499"/>
      <c r="J75" s="499"/>
      <c r="K75" s="499"/>
      <c r="L75" s="499"/>
      <c r="M75" s="499"/>
      <c r="N75" s="499"/>
      <c r="O75" s="499"/>
      <c r="P75" s="499"/>
      <c r="Q75" s="499"/>
      <c r="R75" s="499"/>
      <c r="S75" s="499"/>
      <c r="T75" s="499"/>
      <c r="U75" s="499"/>
      <c r="V75" s="499"/>
      <c r="W75" s="499"/>
      <c r="X75" s="499"/>
      <c r="Y75" s="499"/>
      <c r="Z75" s="499"/>
    </row>
    <row r="76" spans="1:26" x14ac:dyDescent="0.25">
      <c r="A76" s="499"/>
      <c r="B76" s="499"/>
      <c r="C76" s="499"/>
      <c r="D76" s="499"/>
      <c r="E76" s="499"/>
      <c r="F76" s="499"/>
      <c r="G76" s="499"/>
      <c r="H76" s="499"/>
      <c r="I76" s="499"/>
      <c r="J76" s="499"/>
      <c r="K76" s="499"/>
      <c r="L76" s="499"/>
      <c r="M76" s="499"/>
      <c r="N76" s="499"/>
      <c r="O76" s="499"/>
      <c r="P76" s="499"/>
      <c r="Q76" s="499"/>
      <c r="R76" s="499"/>
      <c r="S76" s="499"/>
      <c r="T76" s="499"/>
      <c r="U76" s="499"/>
      <c r="V76" s="499"/>
      <c r="W76" s="499"/>
      <c r="X76" s="499"/>
      <c r="Y76" s="499"/>
      <c r="Z76" s="499"/>
    </row>
    <row r="77" spans="1:26" x14ac:dyDescent="0.25">
      <c r="A77" s="499"/>
      <c r="B77" s="499"/>
      <c r="C77" s="499"/>
      <c r="D77" s="499"/>
      <c r="E77" s="499"/>
      <c r="F77" s="499"/>
      <c r="G77" s="499"/>
      <c r="H77" s="499"/>
      <c r="I77" s="499"/>
      <c r="J77" s="499"/>
      <c r="K77" s="499"/>
      <c r="L77" s="499"/>
      <c r="M77" s="499"/>
      <c r="N77" s="499"/>
      <c r="O77" s="499"/>
      <c r="P77" s="499"/>
      <c r="Q77" s="499"/>
      <c r="R77" s="499"/>
      <c r="S77" s="499"/>
      <c r="T77" s="499"/>
      <c r="U77" s="499"/>
      <c r="V77" s="499"/>
      <c r="W77" s="499"/>
      <c r="X77" s="499"/>
      <c r="Y77" s="499"/>
      <c r="Z77" s="499"/>
    </row>
    <row r="78" spans="1:26" x14ac:dyDescent="0.25">
      <c r="A78" s="499"/>
      <c r="B78" s="499"/>
      <c r="C78" s="499"/>
      <c r="D78" s="499"/>
      <c r="E78" s="499"/>
      <c r="F78" s="499"/>
      <c r="G78" s="499"/>
      <c r="H78" s="499"/>
      <c r="I78" s="499"/>
      <c r="J78" s="499"/>
      <c r="K78" s="499"/>
      <c r="L78" s="499"/>
      <c r="M78" s="499"/>
      <c r="N78" s="499"/>
      <c r="O78" s="499"/>
      <c r="P78" s="499"/>
      <c r="Q78" s="499"/>
      <c r="R78" s="499"/>
      <c r="S78" s="499"/>
      <c r="T78" s="499"/>
      <c r="U78" s="499"/>
      <c r="V78" s="499"/>
      <c r="W78" s="499"/>
      <c r="X78" s="499"/>
      <c r="Y78" s="499"/>
      <c r="Z78" s="499"/>
    </row>
    <row r="79" spans="1:26" x14ac:dyDescent="0.25">
      <c r="A79" s="499"/>
      <c r="B79" s="499"/>
      <c r="C79" s="499"/>
      <c r="D79" s="499"/>
      <c r="E79" s="499"/>
      <c r="F79" s="499"/>
      <c r="G79" s="499"/>
      <c r="H79" s="499"/>
      <c r="I79" s="499"/>
      <c r="J79" s="499"/>
      <c r="K79" s="499"/>
      <c r="L79" s="499"/>
      <c r="M79" s="499"/>
      <c r="N79" s="499"/>
      <c r="O79" s="499"/>
      <c r="P79" s="499"/>
      <c r="Q79" s="499"/>
      <c r="R79" s="499"/>
      <c r="S79" s="499"/>
      <c r="T79" s="499"/>
      <c r="U79" s="499"/>
      <c r="V79" s="499"/>
      <c r="W79" s="499"/>
      <c r="X79" s="499"/>
      <c r="Y79" s="499"/>
      <c r="Z79" s="499"/>
    </row>
    <row r="80" spans="1:26" x14ac:dyDescent="0.25">
      <c r="A80" s="499"/>
      <c r="B80" s="499"/>
      <c r="C80" s="499"/>
      <c r="D80" s="499"/>
      <c r="E80" s="499"/>
      <c r="F80" s="499"/>
      <c r="G80" s="499"/>
      <c r="H80" s="499"/>
      <c r="I80" s="499"/>
      <c r="J80" s="499"/>
      <c r="K80" s="499"/>
      <c r="L80" s="499"/>
      <c r="M80" s="499"/>
      <c r="N80" s="499"/>
      <c r="O80" s="499"/>
      <c r="P80" s="499"/>
      <c r="Q80" s="499"/>
      <c r="R80" s="499"/>
      <c r="S80" s="499"/>
      <c r="T80" s="499"/>
      <c r="U80" s="499"/>
      <c r="V80" s="499"/>
      <c r="W80" s="499"/>
      <c r="X80" s="499"/>
      <c r="Y80" s="499"/>
      <c r="Z80" s="499"/>
    </row>
    <row r="81" spans="1:26" x14ac:dyDescent="0.25">
      <c r="A81" s="499"/>
      <c r="B81" s="499"/>
      <c r="C81" s="499"/>
      <c r="D81" s="499"/>
      <c r="E81" s="499"/>
      <c r="F81" s="499"/>
      <c r="G81" s="499"/>
      <c r="H81" s="499"/>
      <c r="I81" s="499"/>
      <c r="J81" s="499"/>
      <c r="K81" s="499"/>
      <c r="L81" s="499"/>
      <c r="M81" s="499"/>
      <c r="N81" s="499"/>
      <c r="O81" s="499"/>
      <c r="P81" s="499"/>
      <c r="Q81" s="499"/>
      <c r="R81" s="499"/>
      <c r="S81" s="499"/>
      <c r="T81" s="499"/>
      <c r="U81" s="499"/>
      <c r="V81" s="499"/>
      <c r="W81" s="499"/>
      <c r="X81" s="499"/>
      <c r="Y81" s="499"/>
      <c r="Z81" s="499"/>
    </row>
    <row r="82" spans="1:26" x14ac:dyDescent="0.25">
      <c r="A82" s="499"/>
      <c r="B82" s="499"/>
      <c r="C82" s="499"/>
      <c r="D82" s="499"/>
      <c r="E82" s="499"/>
      <c r="F82" s="499"/>
      <c r="G82" s="499"/>
      <c r="H82" s="499"/>
      <c r="I82" s="499"/>
      <c r="J82" s="499"/>
      <c r="K82" s="499"/>
      <c r="L82" s="499"/>
      <c r="M82" s="499"/>
      <c r="N82" s="499"/>
      <c r="O82" s="499"/>
      <c r="P82" s="499"/>
      <c r="Q82" s="499"/>
      <c r="R82" s="499"/>
      <c r="S82" s="499"/>
      <c r="T82" s="499"/>
      <c r="U82" s="499"/>
      <c r="V82" s="499"/>
      <c r="W82" s="499"/>
      <c r="X82" s="499"/>
      <c r="Y82" s="499"/>
      <c r="Z82" s="499"/>
    </row>
    <row r="83" spans="1:26" x14ac:dyDescent="0.25">
      <c r="A83" s="499"/>
      <c r="B83" s="499"/>
      <c r="C83" s="499"/>
      <c r="D83" s="499"/>
      <c r="E83" s="499"/>
      <c r="F83" s="499"/>
      <c r="G83" s="499"/>
      <c r="H83" s="499"/>
      <c r="I83" s="499"/>
      <c r="J83" s="499"/>
      <c r="K83" s="499"/>
      <c r="L83" s="499"/>
      <c r="M83" s="499"/>
      <c r="N83" s="499"/>
      <c r="O83" s="499"/>
      <c r="P83" s="499"/>
      <c r="Q83" s="499"/>
      <c r="R83" s="499"/>
      <c r="S83" s="499"/>
      <c r="T83" s="499"/>
      <c r="U83" s="499"/>
      <c r="V83" s="499"/>
      <c r="W83" s="499"/>
      <c r="X83" s="499"/>
      <c r="Y83" s="499"/>
      <c r="Z83" s="499"/>
    </row>
    <row r="84" spans="1:26" x14ac:dyDescent="0.25">
      <c r="A84" s="499"/>
      <c r="B84" s="499"/>
      <c r="C84" s="499"/>
      <c r="D84" s="499"/>
      <c r="E84" s="499"/>
      <c r="F84" s="499"/>
      <c r="G84" s="499"/>
      <c r="H84" s="499"/>
      <c r="I84" s="499"/>
      <c r="J84" s="499"/>
      <c r="K84" s="499"/>
      <c r="L84" s="499"/>
      <c r="M84" s="499"/>
      <c r="N84" s="499"/>
      <c r="O84" s="499"/>
      <c r="P84" s="499"/>
      <c r="Q84" s="499"/>
      <c r="R84" s="499"/>
      <c r="S84" s="499"/>
      <c r="T84" s="499"/>
      <c r="U84" s="499"/>
      <c r="V84" s="499"/>
      <c r="W84" s="499"/>
      <c r="X84" s="499"/>
      <c r="Y84" s="499"/>
      <c r="Z84" s="499"/>
    </row>
    <row r="85" spans="1:26" x14ac:dyDescent="0.25">
      <c r="A85" s="499"/>
      <c r="B85" s="499"/>
      <c r="C85" s="499"/>
      <c r="D85" s="499"/>
      <c r="E85" s="499"/>
      <c r="F85" s="499"/>
      <c r="G85" s="499"/>
      <c r="H85" s="499"/>
      <c r="I85" s="499"/>
      <c r="J85" s="499"/>
      <c r="K85" s="499"/>
      <c r="L85" s="499"/>
      <c r="M85" s="499"/>
      <c r="N85" s="499"/>
      <c r="O85" s="499"/>
      <c r="P85" s="499"/>
      <c r="Q85" s="499"/>
      <c r="R85" s="499"/>
      <c r="S85" s="499"/>
      <c r="T85" s="499"/>
      <c r="U85" s="499"/>
      <c r="V85" s="499"/>
      <c r="W85" s="499"/>
      <c r="X85" s="499"/>
      <c r="Y85" s="499"/>
      <c r="Z85" s="499"/>
    </row>
    <row r="86" spans="1:26" x14ac:dyDescent="0.25">
      <c r="A86" s="499"/>
      <c r="B86" s="499"/>
      <c r="C86" s="499"/>
      <c r="D86" s="499"/>
      <c r="E86" s="499"/>
      <c r="F86" s="499"/>
      <c r="G86" s="499"/>
      <c r="H86" s="499"/>
      <c r="I86" s="499"/>
      <c r="J86" s="499"/>
      <c r="K86" s="499"/>
      <c r="L86" s="499"/>
      <c r="M86" s="499"/>
      <c r="N86" s="499"/>
      <c r="O86" s="499"/>
      <c r="P86" s="499"/>
      <c r="Q86" s="499"/>
      <c r="R86" s="499"/>
      <c r="S86" s="499"/>
      <c r="T86" s="499"/>
      <c r="U86" s="499"/>
      <c r="V86" s="499"/>
      <c r="W86" s="499"/>
      <c r="X86" s="499"/>
      <c r="Y86" s="499"/>
      <c r="Z86" s="499"/>
    </row>
    <row r="87" spans="1:26" x14ac:dyDescent="0.25">
      <c r="A87" s="499"/>
      <c r="B87" s="499"/>
      <c r="C87" s="499"/>
      <c r="D87" s="499"/>
      <c r="E87" s="499"/>
      <c r="F87" s="499"/>
      <c r="G87" s="499"/>
      <c r="H87" s="499"/>
      <c r="I87" s="499"/>
      <c r="J87" s="499"/>
      <c r="K87" s="499"/>
      <c r="L87" s="499"/>
      <c r="M87" s="499"/>
      <c r="N87" s="499"/>
      <c r="O87" s="499"/>
      <c r="P87" s="499"/>
      <c r="Q87" s="499"/>
      <c r="R87" s="499"/>
      <c r="S87" s="499"/>
      <c r="T87" s="499"/>
      <c r="U87" s="499"/>
      <c r="V87" s="499"/>
      <c r="W87" s="499"/>
      <c r="X87" s="499"/>
      <c r="Y87" s="499"/>
      <c r="Z87" s="499"/>
    </row>
    <row r="88" spans="1:26" x14ac:dyDescent="0.25">
      <c r="A88" s="499"/>
      <c r="B88" s="499"/>
      <c r="C88" s="499"/>
      <c r="D88" s="499"/>
      <c r="E88" s="499"/>
      <c r="F88" s="499"/>
      <c r="G88" s="499"/>
      <c r="H88" s="499"/>
      <c r="I88" s="499"/>
      <c r="J88" s="499"/>
      <c r="K88" s="499"/>
      <c r="L88" s="499"/>
      <c r="M88" s="499"/>
      <c r="N88" s="499"/>
      <c r="O88" s="499"/>
      <c r="P88" s="499"/>
      <c r="Q88" s="499"/>
      <c r="R88" s="499"/>
      <c r="S88" s="499"/>
      <c r="T88" s="499"/>
      <c r="U88" s="499"/>
      <c r="V88" s="499"/>
      <c r="W88" s="499"/>
      <c r="X88" s="499"/>
      <c r="Y88" s="499"/>
      <c r="Z88" s="499"/>
    </row>
    <row r="89" spans="1:26" x14ac:dyDescent="0.25">
      <c r="A89" s="499"/>
      <c r="B89" s="499"/>
      <c r="C89" s="499"/>
      <c r="D89" s="499"/>
      <c r="E89" s="499"/>
      <c r="F89" s="499"/>
      <c r="G89" s="499"/>
      <c r="H89" s="499"/>
      <c r="I89" s="499"/>
      <c r="J89" s="499"/>
      <c r="K89" s="499"/>
      <c r="L89" s="499"/>
      <c r="M89" s="499"/>
      <c r="N89" s="499"/>
      <c r="O89" s="499"/>
      <c r="P89" s="499"/>
      <c r="Q89" s="499"/>
      <c r="R89" s="499"/>
      <c r="S89" s="499"/>
      <c r="T89" s="499"/>
      <c r="U89" s="499"/>
      <c r="V89" s="499"/>
      <c r="W89" s="499"/>
      <c r="X89" s="499"/>
      <c r="Y89" s="499"/>
      <c r="Z89" s="499"/>
    </row>
    <row r="90" spans="1:26" x14ac:dyDescent="0.25">
      <c r="A90" s="499"/>
      <c r="B90" s="499"/>
      <c r="C90" s="499"/>
      <c r="D90" s="499"/>
      <c r="E90" s="499"/>
      <c r="F90" s="499"/>
      <c r="G90" s="499"/>
      <c r="H90" s="499"/>
      <c r="I90" s="499"/>
      <c r="J90" s="499"/>
      <c r="K90" s="499"/>
      <c r="L90" s="499"/>
      <c r="M90" s="499"/>
      <c r="N90" s="499"/>
      <c r="O90" s="499"/>
      <c r="P90" s="499"/>
      <c r="Q90" s="499"/>
      <c r="R90" s="499"/>
      <c r="S90" s="499"/>
      <c r="T90" s="499"/>
      <c r="U90" s="499"/>
      <c r="V90" s="499"/>
      <c r="W90" s="499"/>
      <c r="X90" s="499"/>
      <c r="Y90" s="499"/>
      <c r="Z90" s="499"/>
    </row>
    <row r="91" spans="1:26" x14ac:dyDescent="0.25">
      <c r="A91" s="499"/>
      <c r="B91" s="499"/>
      <c r="C91" s="499"/>
      <c r="D91" s="499"/>
      <c r="E91" s="499"/>
      <c r="F91" s="499"/>
      <c r="G91" s="499"/>
      <c r="H91" s="499"/>
      <c r="I91" s="499"/>
      <c r="J91" s="499"/>
      <c r="K91" s="499"/>
      <c r="L91" s="499"/>
      <c r="M91" s="499"/>
      <c r="N91" s="499"/>
      <c r="O91" s="499"/>
      <c r="P91" s="499"/>
      <c r="Q91" s="499"/>
      <c r="R91" s="499"/>
      <c r="S91" s="499"/>
      <c r="T91" s="499"/>
      <c r="U91" s="499"/>
      <c r="V91" s="499"/>
      <c r="W91" s="499"/>
      <c r="X91" s="499"/>
      <c r="Y91" s="499"/>
      <c r="Z91" s="499"/>
    </row>
    <row r="92" spans="1:26" x14ac:dyDescent="0.25">
      <c r="A92" s="499"/>
      <c r="B92" s="499"/>
      <c r="C92" s="499"/>
      <c r="D92" s="499"/>
      <c r="E92" s="499"/>
      <c r="F92" s="499"/>
      <c r="G92" s="499"/>
      <c r="H92" s="499"/>
      <c r="I92" s="499"/>
      <c r="J92" s="499"/>
      <c r="K92" s="499"/>
      <c r="L92" s="499"/>
      <c r="M92" s="499"/>
      <c r="N92" s="499"/>
      <c r="O92" s="499"/>
      <c r="P92" s="499"/>
      <c r="Q92" s="499"/>
      <c r="R92" s="499"/>
      <c r="S92" s="499"/>
      <c r="T92" s="499"/>
      <c r="U92" s="499"/>
      <c r="V92" s="499"/>
      <c r="W92" s="499"/>
      <c r="X92" s="499"/>
      <c r="Y92" s="499"/>
      <c r="Z92" s="499"/>
    </row>
    <row r="93" spans="1:26" x14ac:dyDescent="0.25">
      <c r="A93" s="499"/>
      <c r="B93" s="499"/>
      <c r="C93" s="499"/>
      <c r="D93" s="499"/>
      <c r="E93" s="499"/>
      <c r="F93" s="499"/>
      <c r="G93" s="499"/>
      <c r="H93" s="499"/>
      <c r="I93" s="499"/>
      <c r="J93" s="499"/>
      <c r="K93" s="499"/>
      <c r="L93" s="499"/>
      <c r="M93" s="499"/>
      <c r="N93" s="499"/>
      <c r="O93" s="499"/>
      <c r="P93" s="499"/>
      <c r="Q93" s="499"/>
      <c r="R93" s="499"/>
      <c r="S93" s="499"/>
      <c r="T93" s="499"/>
      <c r="U93" s="499"/>
      <c r="V93" s="499"/>
      <c r="W93" s="499"/>
      <c r="X93" s="499"/>
      <c r="Y93" s="499"/>
      <c r="Z93" s="499"/>
    </row>
    <row r="94" spans="1:26" x14ac:dyDescent="0.25">
      <c r="A94" s="499"/>
      <c r="B94" s="499"/>
      <c r="C94" s="499"/>
      <c r="D94" s="499"/>
      <c r="E94" s="499"/>
      <c r="F94" s="499"/>
      <c r="G94" s="499"/>
      <c r="H94" s="499"/>
      <c r="I94" s="499"/>
      <c r="J94" s="499"/>
      <c r="K94" s="499"/>
      <c r="L94" s="499"/>
      <c r="M94" s="499"/>
      <c r="N94" s="499"/>
      <c r="O94" s="499"/>
      <c r="P94" s="499"/>
      <c r="Q94" s="499"/>
      <c r="R94" s="499"/>
      <c r="S94" s="499"/>
      <c r="T94" s="499"/>
      <c r="U94" s="499"/>
      <c r="V94" s="499"/>
      <c r="W94" s="499"/>
      <c r="X94" s="499"/>
      <c r="Y94" s="499"/>
      <c r="Z94" s="499"/>
    </row>
    <row r="95" spans="1:26" x14ac:dyDescent="0.25">
      <c r="A95" s="499"/>
      <c r="B95" s="499"/>
      <c r="C95" s="499"/>
      <c r="D95" s="499"/>
      <c r="E95" s="499"/>
      <c r="F95" s="499"/>
      <c r="G95" s="499"/>
      <c r="H95" s="499"/>
      <c r="I95" s="499"/>
      <c r="J95" s="499"/>
      <c r="K95" s="499"/>
      <c r="L95" s="499"/>
      <c r="M95" s="499"/>
      <c r="N95" s="499"/>
      <c r="O95" s="499"/>
      <c r="P95" s="499"/>
      <c r="Q95" s="499"/>
      <c r="R95" s="499"/>
      <c r="S95" s="499"/>
      <c r="T95" s="499"/>
      <c r="U95" s="499"/>
      <c r="V95" s="499"/>
      <c r="W95" s="499"/>
      <c r="X95" s="499"/>
      <c r="Y95" s="499"/>
      <c r="Z95" s="499"/>
    </row>
    <row r="96" spans="1:26" x14ac:dyDescent="0.25">
      <c r="A96" s="499"/>
      <c r="B96" s="499"/>
      <c r="C96" s="499"/>
      <c r="D96" s="499"/>
      <c r="E96" s="499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</row>
    <row r="97" spans="1:26" x14ac:dyDescent="0.25">
      <c r="A97" s="499"/>
      <c r="B97" s="499"/>
      <c r="C97" s="499"/>
      <c r="D97" s="499"/>
      <c r="E97" s="499"/>
      <c r="F97" s="499"/>
      <c r="G97" s="499"/>
      <c r="H97" s="499"/>
      <c r="I97" s="499"/>
      <c r="J97" s="499"/>
      <c r="K97" s="499"/>
      <c r="L97" s="499"/>
      <c r="M97" s="499"/>
      <c r="N97" s="499"/>
      <c r="O97" s="499"/>
      <c r="P97" s="499"/>
      <c r="Q97" s="499"/>
      <c r="R97" s="499"/>
      <c r="S97" s="499"/>
      <c r="T97" s="499"/>
      <c r="U97" s="499"/>
      <c r="V97" s="499"/>
      <c r="W97" s="499"/>
      <c r="X97" s="499"/>
      <c r="Y97" s="499"/>
      <c r="Z97" s="499"/>
    </row>
    <row r="98" spans="1:26" x14ac:dyDescent="0.25">
      <c r="A98" s="499"/>
      <c r="B98" s="499"/>
      <c r="C98" s="499"/>
      <c r="D98" s="499"/>
      <c r="E98" s="499"/>
      <c r="F98" s="499"/>
      <c r="G98" s="499"/>
      <c r="H98" s="499"/>
      <c r="I98" s="499"/>
      <c r="J98" s="499"/>
      <c r="K98" s="499"/>
      <c r="L98" s="499"/>
      <c r="M98" s="499"/>
      <c r="N98" s="499"/>
      <c r="O98" s="499"/>
      <c r="P98" s="499"/>
      <c r="Q98" s="499"/>
      <c r="R98" s="499"/>
      <c r="S98" s="499"/>
      <c r="T98" s="499"/>
      <c r="U98" s="499"/>
      <c r="V98" s="499"/>
      <c r="W98" s="499"/>
      <c r="X98" s="499"/>
      <c r="Y98" s="499"/>
      <c r="Z98" s="499"/>
    </row>
    <row r="99" spans="1:26" x14ac:dyDescent="0.25">
      <c r="A99" s="499"/>
      <c r="B99" s="499"/>
      <c r="C99" s="499"/>
      <c r="D99" s="499"/>
      <c r="E99" s="499"/>
      <c r="F99" s="499"/>
      <c r="G99" s="499"/>
      <c r="H99" s="499"/>
      <c r="I99" s="499"/>
      <c r="J99" s="499"/>
      <c r="K99" s="499"/>
      <c r="L99" s="499"/>
      <c r="M99" s="499"/>
      <c r="N99" s="499"/>
      <c r="O99" s="499"/>
      <c r="P99" s="499"/>
      <c r="Q99" s="499"/>
      <c r="R99" s="499"/>
      <c r="S99" s="499"/>
      <c r="T99" s="499"/>
      <c r="U99" s="499"/>
      <c r="V99" s="499"/>
      <c r="W99" s="499"/>
      <c r="X99" s="499"/>
      <c r="Y99" s="499"/>
      <c r="Z99" s="499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1" customWidth="1"/>
    <col min="2" max="2" width="19.5703125" style="151" customWidth="1"/>
    <col min="3" max="3" width="93.5703125" style="151" bestFit="1" customWidth="1"/>
    <col min="4" max="4" width="11.28515625" style="151" customWidth="1"/>
    <col min="5" max="5" width="11.42578125" style="151" customWidth="1"/>
    <col min="6" max="6" width="14.5703125" style="151" bestFit="1" customWidth="1"/>
    <col min="7" max="7" width="18.5703125" style="151" customWidth="1"/>
    <col min="8" max="8" width="96.5703125" style="151" customWidth="1"/>
    <col min="9" max="16384" width="9.140625" style="151"/>
  </cols>
  <sheetData>
    <row r="1" spans="2:20" ht="15" thickBot="1" x14ac:dyDescent="0.25"/>
    <row r="2" spans="2:20" ht="19.5" thickBot="1" x14ac:dyDescent="0.25">
      <c r="B2" s="557" t="s">
        <v>1</v>
      </c>
      <c r="C2" s="558"/>
      <c r="D2" s="558"/>
      <c r="E2" s="559"/>
      <c r="G2" s="557" t="s">
        <v>2</v>
      </c>
      <c r="H2" s="559"/>
      <c r="I2" s="152"/>
      <c r="J2" s="152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2:20" ht="15.75" thickBot="1" x14ac:dyDescent="0.25">
      <c r="B3" s="154" t="s">
        <v>35</v>
      </c>
      <c r="C3" s="155" t="s">
        <v>3</v>
      </c>
      <c r="D3" s="155" t="s">
        <v>4</v>
      </c>
      <c r="E3" s="156" t="s">
        <v>181</v>
      </c>
      <c r="G3" s="157"/>
      <c r="H3" s="158" t="s">
        <v>36</v>
      </c>
      <c r="I3" s="152"/>
      <c r="J3" s="152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2:20" x14ac:dyDescent="0.2">
      <c r="B4" s="159" t="s">
        <v>182</v>
      </c>
      <c r="C4" s="160" t="s">
        <v>183</v>
      </c>
      <c r="D4" s="161">
        <v>44136</v>
      </c>
      <c r="E4" s="162" t="s">
        <v>184</v>
      </c>
      <c r="G4" s="163"/>
      <c r="H4" s="164" t="s">
        <v>38</v>
      </c>
      <c r="I4" s="152"/>
      <c r="J4" s="152"/>
      <c r="K4" s="153"/>
      <c r="L4" s="153"/>
      <c r="M4" s="153"/>
      <c r="N4" s="153"/>
      <c r="O4" s="153"/>
      <c r="P4" s="153"/>
      <c r="Q4" s="153"/>
      <c r="R4" s="153"/>
      <c r="S4" s="153"/>
      <c r="T4" s="153"/>
    </row>
    <row r="5" spans="2:20" x14ac:dyDescent="0.2">
      <c r="B5" s="165" t="s">
        <v>5</v>
      </c>
      <c r="C5" s="166" t="s">
        <v>37</v>
      </c>
      <c r="D5" s="167">
        <v>44169</v>
      </c>
      <c r="E5" s="168" t="s">
        <v>185</v>
      </c>
      <c r="G5" s="169"/>
      <c r="H5" s="164" t="s">
        <v>39</v>
      </c>
      <c r="I5" s="152"/>
      <c r="J5" s="152"/>
      <c r="K5" s="153"/>
      <c r="L5" s="153"/>
      <c r="M5" s="153"/>
      <c r="N5" s="153"/>
      <c r="O5" s="153"/>
      <c r="P5" s="153"/>
      <c r="Q5" s="153"/>
      <c r="R5" s="153"/>
      <c r="S5" s="153"/>
      <c r="T5" s="153"/>
    </row>
    <row r="6" spans="2:20" x14ac:dyDescent="0.2">
      <c r="B6" s="165" t="s">
        <v>186</v>
      </c>
      <c r="C6" s="166" t="s">
        <v>187</v>
      </c>
      <c r="D6" s="167">
        <v>44166</v>
      </c>
      <c r="E6" s="168" t="s">
        <v>185</v>
      </c>
      <c r="G6" s="170" t="s">
        <v>6</v>
      </c>
      <c r="H6" s="164" t="s">
        <v>41</v>
      </c>
      <c r="I6" s="152"/>
      <c r="J6" s="152"/>
      <c r="K6" s="153"/>
      <c r="L6" s="153"/>
      <c r="M6" s="153"/>
      <c r="N6" s="153"/>
      <c r="O6" s="153"/>
      <c r="P6" s="153"/>
      <c r="Q6" s="153"/>
      <c r="R6" s="153"/>
      <c r="S6" s="153"/>
      <c r="T6" s="153"/>
    </row>
    <row r="7" spans="2:20" x14ac:dyDescent="0.2">
      <c r="B7" s="165" t="s">
        <v>188</v>
      </c>
      <c r="C7" s="166" t="s">
        <v>189</v>
      </c>
      <c r="D7" s="171">
        <v>43862</v>
      </c>
      <c r="E7" s="168" t="s">
        <v>185</v>
      </c>
      <c r="G7" s="172"/>
      <c r="H7" s="164" t="s">
        <v>43</v>
      </c>
      <c r="I7" s="152"/>
      <c r="J7" s="152"/>
      <c r="K7" s="153"/>
      <c r="L7" s="153"/>
      <c r="M7" s="153"/>
      <c r="N7" s="153"/>
      <c r="O7" s="153"/>
      <c r="P7" s="153"/>
      <c r="Q7" s="153"/>
      <c r="R7" s="153"/>
      <c r="S7" s="153"/>
      <c r="T7" s="153"/>
    </row>
    <row r="8" spans="2:20" x14ac:dyDescent="0.2">
      <c r="B8" s="165" t="s">
        <v>40</v>
      </c>
      <c r="C8" s="166" t="s">
        <v>190</v>
      </c>
      <c r="D8" s="171">
        <v>44166</v>
      </c>
      <c r="E8" s="168" t="s">
        <v>185</v>
      </c>
      <c r="G8" s="173"/>
      <c r="H8" s="164" t="s">
        <v>191</v>
      </c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</row>
    <row r="9" spans="2:20" ht="15" thickBot="1" x14ac:dyDescent="0.25">
      <c r="B9" s="165" t="s">
        <v>192</v>
      </c>
      <c r="C9" s="166" t="s">
        <v>193</v>
      </c>
      <c r="D9" s="171">
        <v>44044</v>
      </c>
      <c r="E9" s="168" t="s">
        <v>185</v>
      </c>
      <c r="G9" s="174"/>
      <c r="H9" s="175" t="s">
        <v>7</v>
      </c>
    </row>
    <row r="10" spans="2:20" x14ac:dyDescent="0.2">
      <c r="B10" s="165" t="s">
        <v>194</v>
      </c>
      <c r="C10" s="166" t="s">
        <v>42</v>
      </c>
      <c r="D10" s="171">
        <v>44136</v>
      </c>
      <c r="E10" s="168" t="s">
        <v>185</v>
      </c>
    </row>
    <row r="11" spans="2:20" x14ac:dyDescent="0.2">
      <c r="B11" s="165" t="s">
        <v>195</v>
      </c>
      <c r="C11" s="166" t="s">
        <v>44</v>
      </c>
      <c r="D11" s="171">
        <v>44013</v>
      </c>
      <c r="E11" s="168" t="s">
        <v>185</v>
      </c>
    </row>
    <row r="12" spans="2:20" x14ac:dyDescent="0.2">
      <c r="B12" s="165" t="s">
        <v>196</v>
      </c>
      <c r="C12" s="166" t="s">
        <v>45</v>
      </c>
      <c r="D12" s="171">
        <v>44136</v>
      </c>
      <c r="E12" s="168" t="s">
        <v>184</v>
      </c>
    </row>
    <row r="13" spans="2:20" ht="15" thickBot="1" x14ac:dyDescent="0.25">
      <c r="B13" s="165" t="s">
        <v>197</v>
      </c>
      <c r="C13" s="166" t="s">
        <v>198</v>
      </c>
      <c r="D13" s="171">
        <v>44136</v>
      </c>
      <c r="E13" s="168" t="s">
        <v>185</v>
      </c>
    </row>
    <row r="14" spans="2:20" ht="19.5" thickBot="1" x14ac:dyDescent="0.25">
      <c r="B14" s="165" t="s">
        <v>199</v>
      </c>
      <c r="C14" s="166" t="s">
        <v>200</v>
      </c>
      <c r="D14" s="171">
        <v>44105</v>
      </c>
      <c r="E14" s="168" t="s">
        <v>185</v>
      </c>
      <c r="G14" s="557" t="s">
        <v>11</v>
      </c>
      <c r="H14" s="559"/>
    </row>
    <row r="15" spans="2:20" ht="15" x14ac:dyDescent="0.25">
      <c r="B15" s="165" t="s">
        <v>46</v>
      </c>
      <c r="C15" s="166" t="s">
        <v>47</v>
      </c>
      <c r="D15" s="171">
        <v>44105</v>
      </c>
      <c r="E15" s="168" t="s">
        <v>185</v>
      </c>
      <c r="G15" s="184" t="s">
        <v>12</v>
      </c>
      <c r="H15" s="185" t="s">
        <v>51</v>
      </c>
    </row>
    <row r="16" spans="2:20" ht="15" x14ac:dyDescent="0.25">
      <c r="B16" s="165" t="s">
        <v>8</v>
      </c>
      <c r="C16" s="166" t="s">
        <v>48</v>
      </c>
      <c r="D16" s="171">
        <v>44166</v>
      </c>
      <c r="E16" s="168" t="s">
        <v>185</v>
      </c>
      <c r="G16" s="188" t="s">
        <v>52</v>
      </c>
      <c r="H16" s="189" t="s">
        <v>13</v>
      </c>
    </row>
    <row r="17" spans="2:8" ht="15" x14ac:dyDescent="0.25">
      <c r="B17" s="165" t="s">
        <v>9</v>
      </c>
      <c r="C17" s="166" t="s">
        <v>49</v>
      </c>
      <c r="D17" s="171">
        <v>44166</v>
      </c>
      <c r="E17" s="168" t="s">
        <v>185</v>
      </c>
      <c r="G17" s="188" t="s">
        <v>14</v>
      </c>
      <c r="H17" s="189" t="s">
        <v>201</v>
      </c>
    </row>
    <row r="18" spans="2:8" ht="15.75" thickBot="1" x14ac:dyDescent="0.3">
      <c r="B18" s="176" t="s">
        <v>10</v>
      </c>
      <c r="C18" s="177" t="s">
        <v>50</v>
      </c>
      <c r="D18" s="178">
        <v>44166</v>
      </c>
      <c r="E18" s="179" t="s">
        <v>185</v>
      </c>
      <c r="G18" s="192" t="s">
        <v>53</v>
      </c>
      <c r="H18" s="193">
        <v>2018</v>
      </c>
    </row>
    <row r="19" spans="2:8" ht="15" thickBot="1" x14ac:dyDescent="0.25"/>
    <row r="20" spans="2:8" ht="19.5" thickBot="1" x14ac:dyDescent="0.25">
      <c r="B20" s="560" t="s">
        <v>54</v>
      </c>
      <c r="C20" s="561"/>
      <c r="D20" s="561"/>
      <c r="E20" s="562"/>
    </row>
    <row r="21" spans="2:8" ht="15" customHeight="1" x14ac:dyDescent="0.2">
      <c r="B21" s="180" t="s">
        <v>35</v>
      </c>
      <c r="C21" s="181" t="s">
        <v>3</v>
      </c>
      <c r="D21" s="182" t="s">
        <v>4</v>
      </c>
      <c r="E21" s="183" t="s">
        <v>181</v>
      </c>
      <c r="F21" s="183" t="s">
        <v>666</v>
      </c>
    </row>
    <row r="22" spans="2:8" ht="15" customHeight="1" x14ac:dyDescent="0.25">
      <c r="B22" s="186" t="s">
        <v>16</v>
      </c>
      <c r="C22" s="190" t="s">
        <v>17</v>
      </c>
      <c r="D22" s="191" t="s">
        <v>18</v>
      </c>
      <c r="E22" s="168" t="s">
        <v>185</v>
      </c>
      <c r="F22" s="490" t="s">
        <v>667</v>
      </c>
    </row>
    <row r="23" spans="2:8" ht="15" customHeight="1" x14ac:dyDescent="0.25">
      <c r="B23" s="491" t="s">
        <v>668</v>
      </c>
      <c r="C23" s="494" t="s">
        <v>669</v>
      </c>
      <c r="D23" s="492">
        <v>43952</v>
      </c>
      <c r="E23" s="493" t="s">
        <v>185</v>
      </c>
      <c r="F23" s="497" t="s">
        <v>670</v>
      </c>
      <c r="G23" s="151" t="s">
        <v>680</v>
      </c>
    </row>
    <row r="24" spans="2:8" ht="15" customHeight="1" x14ac:dyDescent="0.25">
      <c r="B24" s="186" t="s">
        <v>56</v>
      </c>
      <c r="C24" s="195" t="s">
        <v>57</v>
      </c>
      <c r="D24" s="194">
        <v>43952</v>
      </c>
      <c r="E24" s="168" t="s">
        <v>185</v>
      </c>
      <c r="F24" s="495" t="s">
        <v>667</v>
      </c>
    </row>
    <row r="25" spans="2:8" ht="15" customHeight="1" x14ac:dyDescent="0.25">
      <c r="B25" s="186" t="s">
        <v>202</v>
      </c>
      <c r="C25" s="195" t="s">
        <v>58</v>
      </c>
      <c r="D25" s="194">
        <v>43952</v>
      </c>
      <c r="E25" s="168" t="s">
        <v>185</v>
      </c>
      <c r="F25" s="495" t="s">
        <v>667</v>
      </c>
    </row>
    <row r="26" spans="2:8" ht="15" customHeight="1" x14ac:dyDescent="0.25">
      <c r="B26" s="186" t="s">
        <v>203</v>
      </c>
      <c r="C26" s="195" t="s">
        <v>204</v>
      </c>
      <c r="D26" s="194">
        <v>43983</v>
      </c>
      <c r="E26" s="168" t="s">
        <v>185</v>
      </c>
      <c r="F26" s="490" t="s">
        <v>667</v>
      </c>
    </row>
    <row r="27" spans="2:8" ht="15" customHeight="1" x14ac:dyDescent="0.25">
      <c r="B27" s="186" t="s">
        <v>205</v>
      </c>
      <c r="C27" s="195" t="s">
        <v>671</v>
      </c>
      <c r="D27" s="194">
        <v>43983</v>
      </c>
      <c r="E27" s="168" t="s">
        <v>185</v>
      </c>
      <c r="F27" s="495" t="s">
        <v>667</v>
      </c>
    </row>
    <row r="28" spans="2:8" ht="15" x14ac:dyDescent="0.25">
      <c r="B28" s="186" t="s">
        <v>673</v>
      </c>
      <c r="C28" s="206" t="s">
        <v>672</v>
      </c>
      <c r="D28" s="194">
        <v>43983</v>
      </c>
      <c r="E28" s="168" t="s">
        <v>185</v>
      </c>
      <c r="F28" s="490" t="s">
        <v>667</v>
      </c>
    </row>
    <row r="29" spans="2:8" x14ac:dyDescent="0.2">
      <c r="B29" s="151" t="s">
        <v>675</v>
      </c>
      <c r="C29" s="206" t="s">
        <v>674</v>
      </c>
      <c r="D29" s="194">
        <v>44013</v>
      </c>
      <c r="E29" s="168" t="s">
        <v>185</v>
      </c>
      <c r="F29" s="497" t="s">
        <v>670</v>
      </c>
      <c r="G29" s="151" t="s">
        <v>676</v>
      </c>
    </row>
    <row r="30" spans="2:8" x14ac:dyDescent="0.2">
      <c r="B30" s="151" t="s">
        <v>677</v>
      </c>
      <c r="C30" s="151" t="s">
        <v>678</v>
      </c>
      <c r="D30" s="496">
        <v>44287</v>
      </c>
      <c r="E30" s="168" t="s">
        <v>185</v>
      </c>
      <c r="F30" s="490" t="s">
        <v>667</v>
      </c>
      <c r="G30" s="151" t="s">
        <v>679</v>
      </c>
    </row>
    <row r="35" spans="2:8" ht="15" thickBot="1" x14ac:dyDescent="0.25"/>
    <row r="36" spans="2:8" ht="19.5" thickBot="1" x14ac:dyDescent="0.25">
      <c r="B36" s="557" t="s">
        <v>59</v>
      </c>
      <c r="C36" s="558"/>
      <c r="D36" s="558"/>
      <c r="E36" s="559"/>
      <c r="G36" s="563" t="s">
        <v>55</v>
      </c>
      <c r="H36" s="564"/>
    </row>
    <row r="37" spans="2:8" ht="15" x14ac:dyDescent="0.25">
      <c r="B37" s="196" t="s">
        <v>60</v>
      </c>
      <c r="C37" s="197" t="s">
        <v>3</v>
      </c>
      <c r="D37" s="198" t="s">
        <v>4</v>
      </c>
      <c r="E37" s="198" t="s">
        <v>181</v>
      </c>
      <c r="G37" s="199" t="s">
        <v>15</v>
      </c>
      <c r="H37" s="199" t="s">
        <v>206</v>
      </c>
    </row>
    <row r="38" spans="2:8" ht="15" x14ac:dyDescent="0.25">
      <c r="B38" s="199">
        <v>1</v>
      </c>
      <c r="C38" s="187" t="s">
        <v>207</v>
      </c>
      <c r="D38" s="200">
        <v>44166</v>
      </c>
      <c r="E38" s="201" t="s">
        <v>185</v>
      </c>
      <c r="G38" s="190"/>
      <c r="H38" s="190"/>
    </row>
    <row r="39" spans="2:8" ht="15" x14ac:dyDescent="0.25">
      <c r="B39" s="199"/>
      <c r="C39" s="190"/>
      <c r="D39" s="190"/>
      <c r="E39" s="191"/>
      <c r="G39" s="190"/>
      <c r="H39" s="190"/>
    </row>
    <row r="40" spans="2:8" ht="15" x14ac:dyDescent="0.25">
      <c r="B40" s="202"/>
      <c r="E40" s="203"/>
      <c r="G40" s="190"/>
      <c r="H40" s="190"/>
    </row>
    <row r="41" spans="2:8" ht="15" x14ac:dyDescent="0.25">
      <c r="B41" s="202"/>
      <c r="C41" s="204"/>
      <c r="D41" s="204"/>
      <c r="E41" s="205"/>
      <c r="G41" s="190"/>
      <c r="H41" s="190"/>
    </row>
    <row r="42" spans="2:8" ht="15" x14ac:dyDescent="0.25">
      <c r="B42" s="202"/>
      <c r="C42" s="204"/>
      <c r="D42" s="204"/>
      <c r="E42" s="205"/>
      <c r="G42" s="190"/>
      <c r="H42" s="190"/>
    </row>
    <row r="43" spans="2:8" x14ac:dyDescent="0.2">
      <c r="G43" s="190"/>
      <c r="H43" s="190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9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1" t="s">
        <v>543</v>
      </c>
      <c r="H3" s="18" t="s">
        <v>26</v>
      </c>
      <c r="I3" s="17" t="s">
        <v>240</v>
      </c>
      <c r="J3" s="17" t="s">
        <v>78</v>
      </c>
      <c r="S3" s="565" t="s">
        <v>253</v>
      </c>
      <c r="T3" s="565"/>
      <c r="U3" s="565"/>
      <c r="V3" s="565"/>
      <c r="W3" s="565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6" t="s">
        <v>85</v>
      </c>
      <c r="I4" s="60"/>
      <c r="J4" s="60"/>
      <c r="S4" s="216" t="s">
        <v>254</v>
      </c>
      <c r="T4" s="217" t="s">
        <v>255</v>
      </c>
      <c r="U4" s="217" t="s">
        <v>256</v>
      </c>
      <c r="V4" s="217" t="s">
        <v>257</v>
      </c>
      <c r="W4" s="218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19" t="s">
        <v>244</v>
      </c>
      <c r="T5" s="220">
        <v>9418.8988568067343</v>
      </c>
      <c r="U5" s="220">
        <v>15472.073727176739</v>
      </c>
      <c r="V5" s="220">
        <v>20378.706337556119</v>
      </c>
      <c r="W5" s="221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703</v>
      </c>
      <c r="F6" s="21" t="s">
        <v>137</v>
      </c>
      <c r="G6" s="21">
        <v>1</v>
      </c>
      <c r="H6" s="130">
        <v>100</v>
      </c>
      <c r="I6" s="235">
        <f>[1]ArchetypeDemand!$L$51</f>
        <v>1.3249013578385519E-4</v>
      </c>
      <c r="J6" s="128">
        <v>2019</v>
      </c>
      <c r="L6" s="3">
        <f>I6/0.0000036</f>
        <v>36.802815495515333</v>
      </c>
      <c r="S6" s="222" t="s">
        <v>245</v>
      </c>
      <c r="T6" s="223">
        <v>7459.2913438514906</v>
      </c>
      <c r="U6" s="223">
        <v>9537.7783975583752</v>
      </c>
      <c r="V6" s="223">
        <v>9433.9012004747347</v>
      </c>
      <c r="W6" s="224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6">
        <f>0.000214944231847928*0.9</f>
        <v>1.934498086631352E-4</v>
      </c>
      <c r="J7" s="57"/>
      <c r="L7" s="4">
        <f t="shared" ref="L7:L10" si="0">I7/0.0000036</f>
        <v>53.736057961982006</v>
      </c>
      <c r="S7" s="225" t="s">
        <v>246</v>
      </c>
      <c r="T7" s="226">
        <v>14041.847426430093</v>
      </c>
      <c r="U7" s="226">
        <v>17545.09295382088</v>
      </c>
      <c r="V7" s="226">
        <v>20090.949195825138</v>
      </c>
      <c r="W7" s="227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7">
        <f>[1]ArchetypeDemand!$L$53</f>
        <v>2.6993348022525303E-3</v>
      </c>
      <c r="J8" s="58"/>
      <c r="L8" s="4">
        <f t="shared" si="0"/>
        <v>749.81522284792516</v>
      </c>
      <c r="S8" s="222" t="s">
        <v>247</v>
      </c>
      <c r="T8" s="223">
        <v>19924.480375055824</v>
      </c>
      <c r="U8" s="223">
        <v>49768.849685929476</v>
      </c>
      <c r="V8" s="223">
        <v>53466.210043981671</v>
      </c>
      <c r="W8" s="224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6">
        <f>[1]ArchetypeDemand!$L$54</f>
        <v>3.2505870170077217E-4</v>
      </c>
      <c r="J9" s="57"/>
      <c r="L9" s="4">
        <f t="shared" si="0"/>
        <v>90.294083805770057</v>
      </c>
      <c r="S9" s="225" t="s">
        <v>248</v>
      </c>
      <c r="T9" s="226">
        <v>58904.8034364337</v>
      </c>
      <c r="U9" s="226">
        <v>282151.52747564798</v>
      </c>
      <c r="V9" s="226">
        <v>251318.93361374349</v>
      </c>
      <c r="W9" s="227">
        <v>592375.26452582516</v>
      </c>
    </row>
    <row r="10" spans="3:23" ht="15" x14ac:dyDescent="0.2">
      <c r="C10" s="85"/>
      <c r="D10" s="85"/>
      <c r="E10" s="118" t="s">
        <v>136</v>
      </c>
      <c r="F10" s="119"/>
      <c r="G10" s="119"/>
      <c r="H10" s="85"/>
      <c r="I10" s="238">
        <f>[1]ArchetypeDemand!$L$55</f>
        <v>2.4641622412260611E-4</v>
      </c>
      <c r="J10" s="94"/>
      <c r="L10" s="4">
        <f t="shared" si="0"/>
        <v>68.448951145168365</v>
      </c>
      <c r="S10" s="222" t="s">
        <v>249</v>
      </c>
      <c r="T10" s="223">
        <v>43739.341649106158</v>
      </c>
      <c r="U10" s="223">
        <v>187627.02237661046</v>
      </c>
      <c r="V10" s="223">
        <v>166667.79141279124</v>
      </c>
      <c r="W10" s="224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6"/>
      <c r="J11" s="61" t="s">
        <v>94</v>
      </c>
      <c r="S11" s="225" t="s">
        <v>250</v>
      </c>
      <c r="T11" s="226">
        <v>25767.876472761334</v>
      </c>
      <c r="U11" s="226">
        <v>101418.89596184672</v>
      </c>
      <c r="V11" s="226">
        <v>81396.697989555512</v>
      </c>
      <c r="W11" s="227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732</v>
      </c>
      <c r="F12" s="21" t="s">
        <v>141</v>
      </c>
      <c r="G12" s="21">
        <v>1</v>
      </c>
      <c r="H12" s="130">
        <v>100</v>
      </c>
      <c r="I12" s="235">
        <f>[1]ArchetypeDemand!$L$6</f>
        <v>3.1499640433377643E-4</v>
      </c>
      <c r="J12" s="128">
        <v>2019</v>
      </c>
      <c r="L12" s="4">
        <f>I12/0.0000036</f>
        <v>87.499001203826793</v>
      </c>
      <c r="S12" s="222" t="s">
        <v>251</v>
      </c>
      <c r="T12" s="223">
        <v>12331.173226884033</v>
      </c>
      <c r="U12" s="223">
        <v>50123.806027321167</v>
      </c>
      <c r="V12" s="223">
        <v>43241.005762967114</v>
      </c>
      <c r="W12" s="224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6">
        <f>0.000214944231847928*1</f>
        <v>2.1494423184792799E-4</v>
      </c>
      <c r="J13" s="57"/>
      <c r="L13" s="4">
        <f t="shared" ref="L13:L16" si="1">I13/0.0000036</f>
        <v>59.706731068868891</v>
      </c>
      <c r="S13" s="228" t="s">
        <v>252</v>
      </c>
      <c r="T13" s="229">
        <v>15211.172212670604</v>
      </c>
      <c r="U13" s="229">
        <v>52706.674394088106</v>
      </c>
      <c r="V13" s="229">
        <v>78435.533443104825</v>
      </c>
      <c r="W13" s="227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7">
        <f>[1]ArchetypeDemand!$L$8</f>
        <v>2.5141244794864483E-3</v>
      </c>
      <c r="J14" s="58"/>
      <c r="L14" s="4">
        <f t="shared" si="1"/>
        <v>698.36791096845786</v>
      </c>
      <c r="S14" s="230" t="s">
        <v>259</v>
      </c>
      <c r="T14" s="231">
        <v>206798.88499999998</v>
      </c>
      <c r="U14" s="231">
        <v>766351.72099999979</v>
      </c>
      <c r="V14" s="231">
        <v>724429.72899999993</v>
      </c>
      <c r="W14" s="232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6">
        <f>[1]ArchetypeDemand!$L$9</f>
        <v>3.0596592500527567E-4</v>
      </c>
      <c r="J15" s="57"/>
      <c r="L15" s="4">
        <f t="shared" si="1"/>
        <v>84.990534723687688</v>
      </c>
      <c r="S15" s="234" t="s">
        <v>260</v>
      </c>
      <c r="T15" s="233">
        <v>0.74286208971025169</v>
      </c>
      <c r="U15" s="233">
        <v>0.69963472197389465</v>
      </c>
      <c r="V15" s="233">
        <v>0.71303848954914961</v>
      </c>
    </row>
    <row r="16" spans="3:23" x14ac:dyDescent="0.2">
      <c r="C16" s="85"/>
      <c r="D16" s="85"/>
      <c r="E16" s="118" t="s">
        <v>145</v>
      </c>
      <c r="F16" s="119"/>
      <c r="G16" s="119"/>
      <c r="H16" s="85"/>
      <c r="I16" s="238">
        <f>[1]ArchetypeDemand!$L$10</f>
        <v>2.1782809199424584E-4</v>
      </c>
      <c r="J16" s="94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6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733</v>
      </c>
      <c r="F18" s="21" t="s">
        <v>148</v>
      </c>
      <c r="G18" s="21">
        <v>1</v>
      </c>
      <c r="H18" s="130">
        <v>100</v>
      </c>
      <c r="I18" s="235">
        <f>[1]ArchetypeDemand!$L$96</f>
        <v>2.4058665241777602E-3</v>
      </c>
      <c r="J18" s="128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6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7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6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8" t="s">
        <v>152</v>
      </c>
      <c r="F22" s="119"/>
      <c r="G22" s="119"/>
      <c r="H22" s="85"/>
      <c r="I22" s="238">
        <f>[1]ArchetypeDemand!$L$100</f>
        <v>6.686799636959782E-4</v>
      </c>
      <c r="J22" s="94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1" t="s">
        <v>273</v>
      </c>
      <c r="C28" s="122" t="s">
        <v>127</v>
      </c>
      <c r="D28" s="122" t="s">
        <v>130</v>
      </c>
      <c r="E28" s="122" t="s">
        <v>126</v>
      </c>
      <c r="F28" s="122" t="s">
        <v>126</v>
      </c>
      <c r="G28" s="122"/>
      <c r="H28" s="123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1" t="s">
        <v>273</v>
      </c>
      <c r="C29" s="122" t="s">
        <v>128</v>
      </c>
      <c r="D29" s="122" t="s">
        <v>131</v>
      </c>
      <c r="E29" s="122" t="s">
        <v>126</v>
      </c>
      <c r="F29" s="122" t="s">
        <v>126</v>
      </c>
      <c r="G29" s="122"/>
      <c r="H29" s="123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1" t="s">
        <v>273</v>
      </c>
      <c r="C30" s="124" t="s">
        <v>129</v>
      </c>
      <c r="D30" s="124" t="s">
        <v>132</v>
      </c>
      <c r="E30" s="124" t="s">
        <v>126</v>
      </c>
      <c r="F30" s="124" t="s">
        <v>126</v>
      </c>
      <c r="G30" s="124"/>
      <c r="H30" s="125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04"/>
  <sheetViews>
    <sheetView tabSelected="1" topLeftCell="B70" zoomScale="60" zoomScaleNormal="60" workbookViewId="0">
      <selection activeCell="J99" sqref="J9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734</v>
      </c>
      <c r="I3" s="17" t="s">
        <v>735</v>
      </c>
      <c r="J3" s="17" t="s">
        <v>736</v>
      </c>
      <c r="K3" s="17" t="s">
        <v>737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698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72" t="s">
        <v>263</v>
      </c>
      <c r="I4" s="573"/>
      <c r="J4" s="573"/>
      <c r="K4" s="574"/>
      <c r="L4" s="572" t="s">
        <v>83</v>
      </c>
      <c r="M4" s="573"/>
      <c r="N4" s="573"/>
      <c r="O4" s="574"/>
      <c r="P4" s="572" t="s">
        <v>84</v>
      </c>
      <c r="Q4" s="573"/>
      <c r="R4" s="573"/>
      <c r="S4" s="574"/>
      <c r="T4" s="572" t="s">
        <v>85</v>
      </c>
      <c r="U4" s="574"/>
      <c r="V4" s="566" t="s">
        <v>86</v>
      </c>
      <c r="W4" s="567"/>
      <c r="X4" s="567"/>
      <c r="Y4" s="568"/>
      <c r="Z4" s="60"/>
      <c r="AA4" s="60"/>
      <c r="AB4" s="68" t="s">
        <v>212</v>
      </c>
      <c r="AC4" s="70" t="s">
        <v>212</v>
      </c>
      <c r="AD4" s="70" t="s">
        <v>212</v>
      </c>
      <c r="AE4" s="70" t="s">
        <v>212</v>
      </c>
      <c r="AF4" s="70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71" t="s">
        <v>282</v>
      </c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69" t="s">
        <v>34</v>
      </c>
      <c r="I6" s="570"/>
      <c r="J6" s="570"/>
      <c r="K6" s="571"/>
      <c r="L6" s="570" t="s">
        <v>34</v>
      </c>
      <c r="M6" s="570"/>
      <c r="N6" s="570"/>
      <c r="O6" s="571"/>
      <c r="P6" s="569" t="s">
        <v>34</v>
      </c>
      <c r="Q6" s="570"/>
      <c r="R6" s="570"/>
      <c r="S6" s="571"/>
      <c r="T6" s="569" t="s">
        <v>68</v>
      </c>
      <c r="U6" s="571"/>
      <c r="V6" s="569" t="s">
        <v>508</v>
      </c>
      <c r="W6" s="570"/>
      <c r="X6" s="570"/>
      <c r="Y6" s="571"/>
      <c r="Z6" s="527" t="s">
        <v>520</v>
      </c>
      <c r="AA6" s="527" t="s">
        <v>93</v>
      </c>
      <c r="AB6" s="37" t="s">
        <v>34</v>
      </c>
      <c r="AC6" s="527" t="s">
        <v>34</v>
      </c>
      <c r="AD6" s="527" t="s">
        <v>34</v>
      </c>
      <c r="AE6" s="527"/>
      <c r="AF6" s="527"/>
      <c r="AG6" s="69" t="s">
        <v>288</v>
      </c>
      <c r="AH6" s="527" t="s">
        <v>34</v>
      </c>
      <c r="AI6" s="527" t="s">
        <v>94</v>
      </c>
      <c r="AJ6" s="527" t="s">
        <v>560</v>
      </c>
      <c r="AL6" s="210" t="s">
        <v>69</v>
      </c>
      <c r="AM6" s="210" t="s">
        <v>70</v>
      </c>
      <c r="AN6" s="210" t="s">
        <v>33</v>
      </c>
      <c r="AO6" s="210" t="s">
        <v>71</v>
      </c>
      <c r="AP6" s="210" t="s">
        <v>72</v>
      </c>
      <c r="AQ6" s="210" t="s">
        <v>73</v>
      </c>
      <c r="AR6" s="210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264</v>
      </c>
      <c r="F7" s="88"/>
      <c r="G7" s="525" t="s">
        <v>713</v>
      </c>
      <c r="H7" s="245">
        <v>1</v>
      </c>
      <c r="I7" s="246">
        <v>1</v>
      </c>
      <c r="J7" s="246">
        <v>1</v>
      </c>
      <c r="K7" s="247">
        <v>1</v>
      </c>
      <c r="L7" s="46"/>
      <c r="M7" s="47"/>
      <c r="N7" s="47"/>
      <c r="O7" s="48"/>
      <c r="P7" s="245"/>
      <c r="Q7" s="246"/>
      <c r="R7" s="246"/>
      <c r="S7" s="247"/>
      <c r="T7" s="52">
        <v>20</v>
      </c>
      <c r="U7" s="88"/>
      <c r="V7" s="519">
        <f>V9*1.3</f>
        <v>3.6270000000000002</v>
      </c>
      <c r="W7" s="519">
        <f t="shared" ref="W7:Y7" si="0">W9*1.3</f>
        <v>3.6270000000000002</v>
      </c>
      <c r="X7" s="519">
        <f t="shared" si="0"/>
        <v>3.6270000000000002</v>
      </c>
      <c r="Y7" s="519">
        <f t="shared" si="0"/>
        <v>3.6270000000000002</v>
      </c>
      <c r="Z7" s="519">
        <v>0.12</v>
      </c>
      <c r="AA7" s="87"/>
      <c r="AB7" s="259"/>
      <c r="AC7" s="259"/>
      <c r="AD7" s="259"/>
      <c r="AE7" s="259"/>
      <c r="AF7" s="259"/>
      <c r="AG7" s="84">
        <f>31.536*(AJ7/1000)</f>
        <v>0.47304000000000002</v>
      </c>
      <c r="AH7" s="87"/>
      <c r="AI7" s="87">
        <v>2019</v>
      </c>
      <c r="AJ7" s="87">
        <v>15</v>
      </c>
      <c r="AL7" s="105" t="s">
        <v>31</v>
      </c>
      <c r="AM7" s="104" t="str">
        <f t="shared" ref="AM7:AN14" si="1">C7</f>
        <v>R-SH_Apt_KER_N1</v>
      </c>
      <c r="AN7" s="104" t="str">
        <f t="shared" si="1"/>
        <v>Residential Kerosene Heating Oil - New 1 SH</v>
      </c>
      <c r="AO7" s="105" t="s">
        <v>13</v>
      </c>
      <c r="AP7" s="105" t="s">
        <v>180</v>
      </c>
      <c r="AQ7" s="105"/>
      <c r="AR7" s="105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714</v>
      </c>
      <c r="H8" s="242">
        <v>1</v>
      </c>
      <c r="I8" s="243">
        <v>1</v>
      </c>
      <c r="J8" s="243">
        <v>1</v>
      </c>
      <c r="K8" s="244">
        <v>1</v>
      </c>
      <c r="L8" s="44"/>
      <c r="M8" s="32"/>
      <c r="N8" s="32"/>
      <c r="O8" s="45"/>
      <c r="P8" s="242">
        <f>H8*0.7</f>
        <v>0.7</v>
      </c>
      <c r="Q8" s="243">
        <f t="shared" ref="Q8" si="2">I8*0.7</f>
        <v>0.7</v>
      </c>
      <c r="R8" s="243">
        <f t="shared" ref="R8" si="3">J8*0.7</f>
        <v>0.7</v>
      </c>
      <c r="S8" s="244">
        <f t="shared" ref="S8" si="4">K8*0.7</f>
        <v>0.7</v>
      </c>
      <c r="T8" s="53">
        <v>20</v>
      </c>
      <c r="U8" s="24"/>
      <c r="V8" s="379">
        <f>V10*1.3</f>
        <v>3.6576075949367097</v>
      </c>
      <c r="W8" s="379">
        <f t="shared" ref="W8:Y8" si="5">W10*1.3</f>
        <v>3.6576075949367097</v>
      </c>
      <c r="X8" s="379">
        <f t="shared" si="5"/>
        <v>3.6576075949367097</v>
      </c>
      <c r="Y8" s="379">
        <f t="shared" si="5"/>
        <v>3.6576075949367097</v>
      </c>
      <c r="Z8" s="379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5"/>
      <c r="AM8" s="104" t="str">
        <f t="shared" si="1"/>
        <v>R-SW_Apt_KER_N1</v>
      </c>
      <c r="AN8" s="104" t="str">
        <f t="shared" si="1"/>
        <v>Residential Kerosene Heating Oil - New 2 SH + WH</v>
      </c>
      <c r="AO8" s="105" t="s">
        <v>13</v>
      </c>
      <c r="AP8" s="105" t="s">
        <v>180</v>
      </c>
      <c r="AQ8" s="105"/>
      <c r="AR8" s="105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699</v>
      </c>
      <c r="F9" s="30"/>
      <c r="G9" s="526" t="s">
        <v>713</v>
      </c>
      <c r="H9" s="239">
        <v>1</v>
      </c>
      <c r="I9" s="240">
        <v>1</v>
      </c>
      <c r="J9" s="240">
        <v>1</v>
      </c>
      <c r="K9" s="241">
        <v>1</v>
      </c>
      <c r="L9" s="42"/>
      <c r="M9" s="31"/>
      <c r="N9" s="31"/>
      <c r="O9" s="43"/>
      <c r="P9" s="239"/>
      <c r="Q9" s="240"/>
      <c r="R9" s="240"/>
      <c r="S9" s="241"/>
      <c r="T9" s="54">
        <v>22</v>
      </c>
      <c r="U9" s="30"/>
      <c r="V9" s="378">
        <f>2.79</f>
        <v>2.79</v>
      </c>
      <c r="W9" s="378">
        <f t="shared" ref="W9:Y9" si="7">2.79</f>
        <v>2.79</v>
      </c>
      <c r="X9" s="378">
        <f t="shared" si="7"/>
        <v>2.79</v>
      </c>
      <c r="Y9" s="378">
        <f t="shared" si="7"/>
        <v>2.79</v>
      </c>
      <c r="Z9" s="378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5"/>
      <c r="AM9" s="104" t="str">
        <f t="shared" si="1"/>
        <v>R-SH_Apt_GAS_N1</v>
      </c>
      <c r="AN9" s="104" t="str">
        <f t="shared" si="1"/>
        <v>Residential Natural Gas Heating - New 1 SH</v>
      </c>
      <c r="AO9" s="105" t="s">
        <v>13</v>
      </c>
      <c r="AP9" s="105" t="s">
        <v>180</v>
      </c>
      <c r="AQ9" s="105"/>
      <c r="AR9" s="105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699</v>
      </c>
      <c r="F10" s="24"/>
      <c r="G10" s="57" t="s">
        <v>714</v>
      </c>
      <c r="H10" s="242">
        <v>1</v>
      </c>
      <c r="I10" s="243">
        <v>1</v>
      </c>
      <c r="J10" s="243">
        <v>1</v>
      </c>
      <c r="K10" s="244">
        <v>1</v>
      </c>
      <c r="L10" s="44"/>
      <c r="M10" s="32"/>
      <c r="N10" s="32"/>
      <c r="O10" s="45"/>
      <c r="P10" s="242">
        <f>H10*0.7</f>
        <v>0.7</v>
      </c>
      <c r="Q10" s="243">
        <f t="shared" ref="Q10" si="8">I10*0.7</f>
        <v>0.7</v>
      </c>
      <c r="R10" s="243">
        <f t="shared" ref="R10" si="9">J10*0.7</f>
        <v>0.7</v>
      </c>
      <c r="S10" s="244">
        <f t="shared" ref="S10" si="10">K10*0.7</f>
        <v>0.7</v>
      </c>
      <c r="T10" s="53">
        <v>22</v>
      </c>
      <c r="U10" s="24"/>
      <c r="V10" s="379">
        <f>V9*($U$195/$U$194)</f>
        <v>2.8135443037974688</v>
      </c>
      <c r="W10" s="379">
        <f>W9*($U$195/$U$194)</f>
        <v>2.8135443037974688</v>
      </c>
      <c r="X10" s="379">
        <f>X9*($U$195/$U$194)</f>
        <v>2.8135443037974688</v>
      </c>
      <c r="Y10" s="379">
        <f>Y9*($U$195/$U$194)</f>
        <v>2.8135443037974688</v>
      </c>
      <c r="Z10" s="379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5"/>
      <c r="AM10" s="104" t="str">
        <f t="shared" si="1"/>
        <v>R-SW_Apt_GAS_N1</v>
      </c>
      <c r="AN10" s="104" t="str">
        <f t="shared" si="1"/>
        <v>Residential Natural Gas Heating - New 2 SH + WH</v>
      </c>
      <c r="AO10" s="105" t="s">
        <v>13</v>
      </c>
      <c r="AP10" s="105" t="s">
        <v>180</v>
      </c>
      <c r="AQ10" s="105"/>
      <c r="AR10" s="105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26" t="s">
        <v>713</v>
      </c>
      <c r="H11" s="239">
        <v>1</v>
      </c>
      <c r="I11" s="240">
        <v>1</v>
      </c>
      <c r="J11" s="240">
        <v>1</v>
      </c>
      <c r="K11" s="241">
        <v>1</v>
      </c>
      <c r="L11" s="42"/>
      <c r="M11" s="31"/>
      <c r="N11" s="31"/>
      <c r="O11" s="43"/>
      <c r="P11" s="239"/>
      <c r="Q11" s="240"/>
      <c r="R11" s="240"/>
      <c r="S11" s="241"/>
      <c r="T11" s="54">
        <v>22</v>
      </c>
      <c r="U11" s="30"/>
      <c r="V11" s="378">
        <f>2.79+0.35</f>
        <v>3.14</v>
      </c>
      <c r="W11" s="378">
        <f t="shared" ref="W11:Y11" si="11">2.79+0.35</f>
        <v>3.14</v>
      </c>
      <c r="X11" s="378">
        <f t="shared" si="11"/>
        <v>3.14</v>
      </c>
      <c r="Y11" s="378">
        <f t="shared" si="11"/>
        <v>3.14</v>
      </c>
      <c r="Z11" s="378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5"/>
      <c r="AM11" s="104" t="str">
        <f t="shared" si="1"/>
        <v>R-SH_Apt_LPG_N1</v>
      </c>
      <c r="AN11" s="104" t="str">
        <f t="shared" si="1"/>
        <v>Residential Liquid Petroleum Gas- New 1 SH</v>
      </c>
      <c r="AO11" s="105" t="s">
        <v>13</v>
      </c>
      <c r="AP11" s="105" t="s">
        <v>180</v>
      </c>
      <c r="AQ11" s="105"/>
      <c r="AR11" s="105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714</v>
      </c>
      <c r="H12" s="242">
        <v>1</v>
      </c>
      <c r="I12" s="243">
        <v>1</v>
      </c>
      <c r="J12" s="243">
        <v>1</v>
      </c>
      <c r="K12" s="244">
        <v>1</v>
      </c>
      <c r="L12" s="44"/>
      <c r="M12" s="32"/>
      <c r="N12" s="32"/>
      <c r="O12" s="45"/>
      <c r="P12" s="242">
        <f>H12*0.7</f>
        <v>0.7</v>
      </c>
      <c r="Q12" s="243">
        <f t="shared" ref="Q12:S12" si="12">I12*0.7</f>
        <v>0.7</v>
      </c>
      <c r="R12" s="243">
        <f t="shared" si="12"/>
        <v>0.7</v>
      </c>
      <c r="S12" s="244">
        <f t="shared" si="12"/>
        <v>0.7</v>
      </c>
      <c r="T12" s="53">
        <v>22</v>
      </c>
      <c r="U12" s="24"/>
      <c r="V12" s="379">
        <f>V10+0.35</f>
        <v>3.1635443037974689</v>
      </c>
      <c r="W12" s="379">
        <f t="shared" ref="W12:Y12" si="13">W10+0.35</f>
        <v>3.1635443037974689</v>
      </c>
      <c r="X12" s="379">
        <f t="shared" si="13"/>
        <v>3.1635443037974689</v>
      </c>
      <c r="Y12" s="379">
        <f t="shared" si="13"/>
        <v>3.1635443037974689</v>
      </c>
      <c r="Z12" s="379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5"/>
      <c r="AM12" s="104" t="str">
        <f t="shared" si="1"/>
        <v>R-SW_Apt_LPG_N1</v>
      </c>
      <c r="AN12" s="104" t="str">
        <f t="shared" si="1"/>
        <v>Residential Liquid Petroleum Gas- New 2 SH + WH</v>
      </c>
      <c r="AO12" s="105" t="s">
        <v>13</v>
      </c>
      <c r="AP12" s="105" t="s">
        <v>180</v>
      </c>
      <c r="AQ12" s="105"/>
      <c r="AR12" s="105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26" t="s">
        <v>713</v>
      </c>
      <c r="H13" s="239">
        <v>1</v>
      </c>
      <c r="I13" s="240">
        <v>1</v>
      </c>
      <c r="J13" s="240">
        <v>1</v>
      </c>
      <c r="K13" s="241">
        <v>1</v>
      </c>
      <c r="L13" s="42"/>
      <c r="M13" s="31"/>
      <c r="N13" s="31"/>
      <c r="O13" s="43"/>
      <c r="P13" s="239"/>
      <c r="Q13" s="240"/>
      <c r="R13" s="240"/>
      <c r="S13" s="241"/>
      <c r="T13" s="54">
        <v>20</v>
      </c>
      <c r="U13" s="30"/>
      <c r="V13" s="378">
        <v>6.25</v>
      </c>
      <c r="W13" s="378">
        <v>6.25</v>
      </c>
      <c r="X13" s="378">
        <f>W13*1.1</f>
        <v>6.8750000000000009</v>
      </c>
      <c r="Y13" s="378">
        <f>W13*1.1</f>
        <v>6.8750000000000009</v>
      </c>
      <c r="Z13" s="378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5"/>
      <c r="AM13" s="104" t="str">
        <f t="shared" si="1"/>
        <v>R-SH_Apt_WOO_N1</v>
      </c>
      <c r="AN13" s="104" t="str">
        <f t="shared" si="1"/>
        <v>Residential Biomass Boiler - New 1 SH</v>
      </c>
      <c r="AO13" s="105" t="s">
        <v>13</v>
      </c>
      <c r="AP13" s="105" t="s">
        <v>180</v>
      </c>
      <c r="AQ13" s="105"/>
      <c r="AR13" s="105" t="s">
        <v>75</v>
      </c>
    </row>
    <row r="14" spans="3:44" ht="15.75" thickBot="1" x14ac:dyDescent="0.3">
      <c r="C14" s="251" t="str">
        <f>"R-SW_Apt"&amp;"_"&amp;RIGHT(E14,3)&amp;"_N1"</f>
        <v>R-SW_Apt_WOO_N1</v>
      </c>
      <c r="D14" s="251" t="s">
        <v>106</v>
      </c>
      <c r="E14" s="27" t="s">
        <v>268</v>
      </c>
      <c r="F14" s="27"/>
      <c r="G14" s="59" t="s">
        <v>714</v>
      </c>
      <c r="H14" s="252">
        <v>1</v>
      </c>
      <c r="I14" s="253">
        <v>1</v>
      </c>
      <c r="J14" s="253">
        <v>1</v>
      </c>
      <c r="K14" s="254">
        <v>1</v>
      </c>
      <c r="L14" s="49"/>
      <c r="M14" s="50"/>
      <c r="N14" s="50"/>
      <c r="O14" s="51"/>
      <c r="P14" s="252">
        <f t="shared" ref="P14:S14" si="14">H14*0.7</f>
        <v>0.7</v>
      </c>
      <c r="Q14" s="253">
        <f t="shared" si="14"/>
        <v>0.7</v>
      </c>
      <c r="R14" s="253">
        <f t="shared" si="14"/>
        <v>0.7</v>
      </c>
      <c r="S14" s="254">
        <f t="shared" si="14"/>
        <v>0.7</v>
      </c>
      <c r="T14" s="55">
        <v>20</v>
      </c>
      <c r="U14" s="27"/>
      <c r="V14" s="523">
        <f>(JRC_Data!BB11/1000)*($U$195/$U$196)</f>
        <v>6.6663223140495873</v>
      </c>
      <c r="W14" s="523">
        <f>(JRC_Data!BC11/1000)*($U$195/$U$196)</f>
        <v>6.6663223140495873</v>
      </c>
      <c r="X14" s="523">
        <f>(JRC_Data!BD11/1000)*($U$195/$U$196)</f>
        <v>7.4070247933884303</v>
      </c>
      <c r="Y14" s="523">
        <f>(JRC_Data!BE11/1000)*($U$195/$U$196)</f>
        <v>7.4070247933884303</v>
      </c>
      <c r="Z14" s="523">
        <v>0.25</v>
      </c>
      <c r="AA14" s="67"/>
      <c r="AB14" s="521"/>
      <c r="AC14" s="521"/>
      <c r="AD14" s="521"/>
      <c r="AE14" s="521"/>
      <c r="AF14" s="521"/>
      <c r="AG14" s="64">
        <f t="shared" si="6"/>
        <v>0.56764799999999993</v>
      </c>
      <c r="AH14" s="67"/>
      <c r="AI14" s="67">
        <v>2019</v>
      </c>
      <c r="AJ14" s="67">
        <v>18</v>
      </c>
      <c r="AL14" s="108"/>
      <c r="AM14" s="107" t="str">
        <f t="shared" si="1"/>
        <v>R-SW_Apt_WOO_N1</v>
      </c>
      <c r="AN14" s="107" t="str">
        <f t="shared" si="1"/>
        <v>Residential Biomass Boiler - New 2 SH + WH</v>
      </c>
      <c r="AO14" s="108" t="s">
        <v>13</v>
      </c>
      <c r="AP14" s="108" t="s">
        <v>180</v>
      </c>
      <c r="AQ14" s="108"/>
      <c r="AR14" s="108" t="s">
        <v>75</v>
      </c>
    </row>
    <row r="15" spans="3:44" ht="15.75" thickBot="1" x14ac:dyDescent="0.3">
      <c r="C15" s="528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9"/>
      <c r="AC15" s="529"/>
      <c r="AD15" s="529"/>
      <c r="AE15" s="529"/>
      <c r="AF15" s="529"/>
      <c r="AG15" s="33"/>
      <c r="AH15" s="34"/>
      <c r="AI15" s="34"/>
      <c r="AJ15" s="530"/>
      <c r="AL15" s="109"/>
      <c r="AM15" s="110" t="str">
        <f>C16</f>
        <v>R-SH_Apt_ELC_N1</v>
      </c>
      <c r="AN15" s="110" t="str">
        <f>D16</f>
        <v>Residential Electric Heater - New 1 SH</v>
      </c>
      <c r="AO15" s="109" t="s">
        <v>13</v>
      </c>
      <c r="AP15" s="109" t="s">
        <v>180</v>
      </c>
      <c r="AQ15" s="109"/>
      <c r="AR15" s="109" t="s">
        <v>75</v>
      </c>
    </row>
    <row r="16" spans="3:44" ht="15" x14ac:dyDescent="0.25">
      <c r="C16" s="95" t="str">
        <f>"R-SH_Apt"&amp;"_"&amp;RIGHT(E16,3)&amp;"_N1"</f>
        <v>R-SH_Apt_ELC_N1</v>
      </c>
      <c r="D16" s="79" t="s">
        <v>107</v>
      </c>
      <c r="E16" s="120" t="s">
        <v>153</v>
      </c>
      <c r="F16" s="120"/>
      <c r="G16" s="80" t="s">
        <v>713</v>
      </c>
      <c r="H16" s="248">
        <v>1</v>
      </c>
      <c r="I16" s="249">
        <v>1</v>
      </c>
      <c r="J16" s="249">
        <v>1</v>
      </c>
      <c r="K16" s="250">
        <v>1</v>
      </c>
      <c r="L16" s="73"/>
      <c r="M16" s="74"/>
      <c r="N16" s="74"/>
      <c r="O16" s="75"/>
      <c r="P16" s="73"/>
      <c r="Q16" s="74"/>
      <c r="R16" s="74"/>
      <c r="S16" s="75"/>
      <c r="T16" s="120">
        <v>20</v>
      </c>
      <c r="U16" s="77"/>
      <c r="V16" s="78">
        <f>(JRC_Data!BB48/1000)*($U$194/$U$196)</f>
        <v>3.9173553719008263</v>
      </c>
      <c r="W16" s="78">
        <f>(JRC_Data!BC48/1000)*($U$194/$U$196)</f>
        <v>3.9173553719008263</v>
      </c>
      <c r="X16" s="78">
        <f>(JRC_Data!BD48/1000)*($U$194/$U$196)</f>
        <v>3.9173553719008263</v>
      </c>
      <c r="Y16" s="78">
        <f>(JRC_Data!BE48/1000)*($U$194/$U$196)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3"/>
      <c r="AM16" s="102" t="str">
        <f t="shared" ref="AM16:AN18" si="15">C18</f>
        <v>R-SH_Apt_ELC_HPN1</v>
      </c>
      <c r="AN16" s="102" t="str">
        <f t="shared" si="15"/>
        <v>Residential Electric Heat Pump - Air to Air - SH</v>
      </c>
      <c r="AO16" s="103" t="s">
        <v>13</v>
      </c>
      <c r="AP16" s="103" t="s">
        <v>180</v>
      </c>
      <c r="AQ16" s="103"/>
      <c r="AR16" s="103" t="s">
        <v>75</v>
      </c>
    </row>
    <row r="17" spans="3:45" ht="15" x14ac:dyDescent="0.25">
      <c r="C17" s="531" t="s">
        <v>276</v>
      </c>
      <c r="D17" s="532"/>
      <c r="E17" s="533"/>
      <c r="F17" s="533"/>
      <c r="G17" s="533"/>
      <c r="H17" s="534"/>
      <c r="I17" s="534"/>
      <c r="J17" s="534"/>
      <c r="K17" s="534"/>
      <c r="L17" s="534"/>
      <c r="M17" s="534"/>
      <c r="N17" s="534"/>
      <c r="O17" s="534"/>
      <c r="P17" s="534"/>
      <c r="Q17" s="534"/>
      <c r="R17" s="534"/>
      <c r="S17" s="534"/>
      <c r="T17" s="533"/>
      <c r="U17" s="533"/>
      <c r="V17" s="532"/>
      <c r="W17" s="532"/>
      <c r="X17" s="532"/>
      <c r="Y17" s="532"/>
      <c r="Z17" s="532"/>
      <c r="AA17" s="533"/>
      <c r="AB17" s="535"/>
      <c r="AC17" s="535"/>
      <c r="AD17" s="535"/>
      <c r="AE17" s="535"/>
      <c r="AF17" s="535"/>
      <c r="AG17" s="532"/>
      <c r="AH17" s="533"/>
      <c r="AI17" s="533"/>
      <c r="AJ17" s="536"/>
      <c r="AL17" s="105"/>
      <c r="AM17" s="104" t="str">
        <f t="shared" si="15"/>
        <v>R-HC_Apt_ELC_HPN1</v>
      </c>
      <c r="AN17" s="104" t="str">
        <f t="shared" si="15"/>
        <v>Residential Electric Heat Pump - Air to Air - SH + SC</v>
      </c>
      <c r="AO17" s="105" t="s">
        <v>13</v>
      </c>
      <c r="AP17" s="105" t="s">
        <v>180</v>
      </c>
      <c r="AQ17" s="105"/>
      <c r="AR17" s="105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153</v>
      </c>
      <c r="F18" s="30" t="s">
        <v>563</v>
      </c>
      <c r="G18" s="30" t="s">
        <v>713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8">
        <v>20</v>
      </c>
      <c r="U18" s="29"/>
      <c r="V18" s="40">
        <f>(JRC_Data!BB16/1000)*($U$194/$U$197)</f>
        <v>2.1281632653061227</v>
      </c>
      <c r="W18" s="40">
        <f>(JRC_Data!BC16/1000)*($U$194/$U$197)</f>
        <v>2.0314285714285716</v>
      </c>
      <c r="X18" s="40">
        <f>(JRC_Data!BD16/1000)*($U$194/$U$197)</f>
        <v>1.8379591836734692</v>
      </c>
      <c r="Y18" s="40">
        <f>(JRC_Data!BE16/1000)*($U$194/$U$197)</f>
        <v>1.7412244897959184</v>
      </c>
      <c r="Z18" s="40">
        <f>JRC_Data!BL16/1000</f>
        <v>3.4000000000000002E-2</v>
      </c>
      <c r="AA18" s="87"/>
      <c r="AB18" s="259"/>
      <c r="AC18" s="259"/>
      <c r="AD18" s="259"/>
      <c r="AE18" s="259"/>
      <c r="AF18" s="259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5"/>
      <c r="AM18" s="211" t="str">
        <f t="shared" si="15"/>
        <v>R-SH_Apt_ELC_HPN2-AB</v>
      </c>
      <c r="AN18" s="211" t="str">
        <f t="shared" si="15"/>
        <v>Residential Electric Heat Pump - Air to Water - SH - AB rated dwelling</v>
      </c>
      <c r="AO18" s="105" t="s">
        <v>13</v>
      </c>
      <c r="AP18" s="105" t="s">
        <v>180</v>
      </c>
      <c r="AQ18" s="105"/>
      <c r="AR18" s="105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24" t="s">
        <v>715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7">
        <v>20</v>
      </c>
      <c r="U19" s="23"/>
      <c r="V19" s="22">
        <f>(JRC_Data!BB16/1000)*($U$195/$U$197)</f>
        <v>2.1461224489795923</v>
      </c>
      <c r="W19" s="22">
        <f>(JRC_Data!BC16/1000)*($U$195/$U$197)</f>
        <v>2.0485714285714289</v>
      </c>
      <c r="X19" s="22">
        <f>(JRC_Data!BD16/1000)*($U$195/$U$197)</f>
        <v>1.8534693877551021</v>
      </c>
      <c r="Y19" s="22">
        <f>(JRC_Data!BE16/1000)*($U$195/$U$197)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5"/>
      <c r="AM19" s="211" t="str">
        <f t="shared" ref="AM19:AN19" si="17">C21</f>
        <v>R-SH_Apt_ELC_HPN2-C</v>
      </c>
      <c r="AN19" s="211" t="str">
        <f t="shared" si="17"/>
        <v>Residential Electric Heat Pump - Air to Water - SH - C rated dwelling</v>
      </c>
      <c r="AO19" s="105" t="s">
        <v>13</v>
      </c>
      <c r="AP19" s="105" t="s">
        <v>180</v>
      </c>
      <c r="AQ19" s="105"/>
      <c r="AR19" s="105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708</v>
      </c>
      <c r="E20" s="88" t="s">
        <v>153</v>
      </c>
      <c r="F20" s="88" t="s">
        <v>563</v>
      </c>
      <c r="G20" s="88" t="s">
        <v>703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6">
        <v>20</v>
      </c>
      <c r="U20" s="20"/>
      <c r="V20" s="519">
        <v>7.5039999999999996</v>
      </c>
      <c r="W20" s="541">
        <f>V20*0.91</f>
        <v>6.82864</v>
      </c>
      <c r="X20" s="541">
        <f>W20*0.91</f>
        <v>6.2140624000000004</v>
      </c>
      <c r="Y20" s="542">
        <f>V20*0.82</f>
        <v>6.1532799999999996</v>
      </c>
      <c r="Z20" s="550">
        <v>0.1</v>
      </c>
      <c r="AA20" s="87"/>
      <c r="AB20" s="259"/>
      <c r="AC20" s="259"/>
      <c r="AD20" s="259"/>
      <c r="AE20" s="259"/>
      <c r="AF20" s="259"/>
      <c r="AG20" s="84">
        <f t="shared" si="16"/>
        <v>0.15768000000000001</v>
      </c>
      <c r="AH20" s="87"/>
      <c r="AI20" s="87">
        <v>2019</v>
      </c>
      <c r="AJ20" s="87">
        <v>5</v>
      </c>
      <c r="AL20" s="105"/>
      <c r="AM20" s="211" t="str">
        <f t="shared" ref="AM20:AN20" si="18">C22</f>
        <v>R-SH_Apt_ELC_HPN2-D</v>
      </c>
      <c r="AN20" s="211" t="str">
        <f t="shared" si="18"/>
        <v>Residential Electric Heat Pump - Air to Water - SH - D rated dwelling</v>
      </c>
      <c r="AO20" s="105" t="s">
        <v>13</v>
      </c>
      <c r="AP20" s="105" t="s">
        <v>180</v>
      </c>
      <c r="AQ20" s="105"/>
      <c r="AR20" s="105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709</v>
      </c>
      <c r="E21" s="24" t="s">
        <v>153</v>
      </c>
      <c r="F21" s="24" t="s">
        <v>563</v>
      </c>
      <c r="G21" s="24" t="s">
        <v>704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7">
        <v>20</v>
      </c>
      <c r="U21" s="23"/>
      <c r="V21" s="379">
        <f>V20+0.6+(0.28*5)</f>
        <v>9.5039999999999996</v>
      </c>
      <c r="W21" s="441">
        <f t="shared" ref="W21:Y21" si="19">W20+0.6+(0.28*5)</f>
        <v>8.82864</v>
      </c>
      <c r="X21" s="441">
        <f t="shared" si="19"/>
        <v>8.2140623999999995</v>
      </c>
      <c r="Y21" s="543">
        <f t="shared" si="19"/>
        <v>8.1532799999999988</v>
      </c>
      <c r="Z21" s="551">
        <v>0.1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5"/>
      <c r="AM21" s="211" t="str">
        <f t="shared" ref="AM21:AN21" si="21">C23</f>
        <v>R-SH_Apt_ELC_HPN2-E</v>
      </c>
      <c r="AN21" s="211" t="str">
        <f t="shared" si="21"/>
        <v>Residential Electric Heat Pump - Air to Water - SH - E rated dwelling</v>
      </c>
      <c r="AO21" s="105" t="s">
        <v>13</v>
      </c>
      <c r="AP21" s="105" t="s">
        <v>180</v>
      </c>
      <c r="AQ21" s="105"/>
      <c r="AR21" s="105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710</v>
      </c>
      <c r="E22" s="30" t="s">
        <v>153</v>
      </c>
      <c r="F22" s="30" t="s">
        <v>563</v>
      </c>
      <c r="G22" s="30" t="s">
        <v>705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8">
        <v>20</v>
      </c>
      <c r="U22" s="29"/>
      <c r="V22" s="378">
        <f>V20+0.6+(0.3*5)</f>
        <v>9.6039999999999992</v>
      </c>
      <c r="W22" s="537">
        <f t="shared" ref="W22:Y22" si="22">W20+0.6+(0.3*5)</f>
        <v>8.9286399999999997</v>
      </c>
      <c r="X22" s="537">
        <f t="shared" si="22"/>
        <v>8.314062400000001</v>
      </c>
      <c r="Y22" s="544">
        <f t="shared" si="22"/>
        <v>8.2532800000000002</v>
      </c>
      <c r="Z22" s="552">
        <v>0.1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5"/>
      <c r="AM22" s="211" t="str">
        <f t="shared" ref="AM22:AN22" si="23">C24</f>
        <v>R-SH_Apt_ELC_HPN2-F</v>
      </c>
      <c r="AN22" s="211" t="str">
        <f t="shared" si="23"/>
        <v>Residential Electric Heat Pump - Air to Water - SH - F rated dwelling</v>
      </c>
      <c r="AO22" s="105" t="s">
        <v>13</v>
      </c>
      <c r="AP22" s="105" t="s">
        <v>180</v>
      </c>
      <c r="AQ22" s="105"/>
      <c r="AR22" s="105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711</v>
      </c>
      <c r="E23" s="24" t="s">
        <v>153</v>
      </c>
      <c r="F23" s="24" t="s">
        <v>563</v>
      </c>
      <c r="G23" s="24" t="s">
        <v>706</v>
      </c>
      <c r="H23" s="22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7">
        <f>JRC_Data!$AF$18/JRC_Data!$AC$16</f>
        <v>1.3333333333333333</v>
      </c>
      <c r="L23" s="22"/>
      <c r="M23" s="23"/>
      <c r="N23" s="23"/>
      <c r="O23" s="57"/>
      <c r="P23" s="22"/>
      <c r="Q23" s="23"/>
      <c r="R23" s="23"/>
      <c r="S23" s="57"/>
      <c r="T23" s="517">
        <v>20</v>
      </c>
      <c r="U23" s="23"/>
      <c r="V23" s="379">
        <f>V20+0.6+(0.4*5)</f>
        <v>10.103999999999999</v>
      </c>
      <c r="W23" s="441">
        <f t="shared" ref="W23:Y23" si="24">W20+0.6+(0.4*5)</f>
        <v>9.4286399999999997</v>
      </c>
      <c r="X23" s="441">
        <f t="shared" si="24"/>
        <v>8.814062400000001</v>
      </c>
      <c r="Y23" s="543">
        <f t="shared" si="24"/>
        <v>8.7532800000000002</v>
      </c>
      <c r="Z23" s="551">
        <v>0.1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5"/>
      <c r="AM23" s="211" t="str">
        <f t="shared" ref="AM23" si="25">C25</f>
        <v>R-SH_Apt_ELC_HPN2-G</v>
      </c>
      <c r="AN23" s="211" t="str">
        <f t="shared" ref="AN23" si="26">D25</f>
        <v>Residential Electric Heat Pump - Air to Water - SH - G rated dwelling</v>
      </c>
      <c r="AO23" s="105" t="s">
        <v>13</v>
      </c>
      <c r="AP23" s="105" t="s">
        <v>180</v>
      </c>
      <c r="AQ23" s="105"/>
      <c r="AR23" s="105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712</v>
      </c>
      <c r="E24" s="30" t="s">
        <v>153</v>
      </c>
      <c r="F24" s="30" t="s">
        <v>563</v>
      </c>
      <c r="G24" s="30" t="s">
        <v>707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18">
        <v>20</v>
      </c>
      <c r="U24" s="29"/>
      <c r="V24" s="378">
        <f>V20+0.6+(0.5*5)</f>
        <v>10.603999999999999</v>
      </c>
      <c r="W24" s="537">
        <f t="shared" ref="W24:Y24" si="27">W20+0.6+(0.5*5)</f>
        <v>9.9286399999999997</v>
      </c>
      <c r="X24" s="537">
        <f t="shared" si="27"/>
        <v>9.314062400000001</v>
      </c>
      <c r="Y24" s="544">
        <f t="shared" si="27"/>
        <v>9.2532800000000002</v>
      </c>
      <c r="Z24" s="552">
        <v>0.1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5"/>
      <c r="AM24" s="211" t="str">
        <f t="shared" ref="AM24:AN24" si="28">C26</f>
        <v>R-SW_Apt_ELC_HPN1-AB</v>
      </c>
      <c r="AN24" s="211" t="str">
        <f t="shared" si="28"/>
        <v>Residential Electric Heat Pump - Air to Water - SH + WH - AB rated dwelling</v>
      </c>
      <c r="AO24" s="105" t="s">
        <v>13</v>
      </c>
      <c r="AP24" s="105" t="s">
        <v>180</v>
      </c>
      <c r="AQ24" s="105"/>
      <c r="AR24" s="105" t="s">
        <v>75</v>
      </c>
      <c r="AS24" s="4"/>
    </row>
    <row r="25" spans="3:45" ht="15" x14ac:dyDescent="0.25">
      <c r="C25" s="251" t="str">
        <f>"R-SH_Apt"&amp;"_"&amp;RIGHT(E24,3)&amp;"_HPN2-G"</f>
        <v>R-SH_Apt_ELC_HPN2-G</v>
      </c>
      <c r="D25" s="27" t="s">
        <v>738</v>
      </c>
      <c r="E25" s="27" t="s">
        <v>153</v>
      </c>
      <c r="F25" s="27" t="s">
        <v>563</v>
      </c>
      <c r="G25" s="27" t="s">
        <v>739</v>
      </c>
      <c r="H25" s="251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9">
        <f>JRC_Data!$AF$18/JRC_Data!$AC$16</f>
        <v>1.3333333333333333</v>
      </c>
      <c r="L25" s="251"/>
      <c r="M25" s="26"/>
      <c r="N25" s="26"/>
      <c r="O25" s="59"/>
      <c r="P25" s="251"/>
      <c r="Q25" s="26"/>
      <c r="R25" s="26"/>
      <c r="S25" s="59"/>
      <c r="T25" s="520">
        <v>20</v>
      </c>
      <c r="U25" s="26"/>
      <c r="V25" s="523">
        <f>V20+0.6+(0.6*5)</f>
        <v>11.103999999999999</v>
      </c>
      <c r="W25" s="539">
        <f>W20+0.6+(0.6*5)</f>
        <v>10.42864</v>
      </c>
      <c r="X25" s="539">
        <f>X20+0.6+(0.6*5)</f>
        <v>9.814062400000001</v>
      </c>
      <c r="Y25" s="545">
        <f>Y20+0.6+(0.6*5)</f>
        <v>9.7532800000000002</v>
      </c>
      <c r="Z25" s="553">
        <v>0.1</v>
      </c>
      <c r="AA25" s="67"/>
      <c r="AB25" s="521"/>
      <c r="AC25" s="521"/>
      <c r="AD25" s="521"/>
      <c r="AE25" s="521"/>
      <c r="AF25" s="521"/>
      <c r="AG25" s="64">
        <f t="shared" si="20"/>
        <v>0.15768000000000001</v>
      </c>
      <c r="AH25" s="67"/>
      <c r="AI25" s="67">
        <v>2019</v>
      </c>
      <c r="AJ25" s="67">
        <v>5</v>
      </c>
      <c r="AL25" s="105"/>
      <c r="AM25" s="211" t="str">
        <f>C27</f>
        <v>R-SW_Apt_ELC_HPN1-C</v>
      </c>
      <c r="AN25" s="211" t="str">
        <f>D27</f>
        <v>Residential Electric Heat Pump - Air to Water - SH + WH - C rated dwelling</v>
      </c>
      <c r="AO25" s="105" t="s">
        <v>13</v>
      </c>
      <c r="AP25" s="105" t="s">
        <v>180</v>
      </c>
      <c r="AQ25" s="105"/>
      <c r="AR25" s="105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716</v>
      </c>
      <c r="E26" s="88" t="s">
        <v>153</v>
      </c>
      <c r="F26" s="88" t="s">
        <v>665</v>
      </c>
      <c r="G26" s="88" t="s">
        <v>721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9">I26*0.7</f>
        <v>0.76999999999999991</v>
      </c>
      <c r="R26" s="20">
        <f t="shared" si="29"/>
        <v>0.86333333333333329</v>
      </c>
      <c r="S26" s="56">
        <f t="shared" si="29"/>
        <v>0.93333333333333324</v>
      </c>
      <c r="T26" s="547">
        <v>20</v>
      </c>
      <c r="U26" s="20"/>
      <c r="V26" s="522">
        <f>V20*($U$195/$U$194)</f>
        <v>7.5673248945147682</v>
      </c>
      <c r="W26" s="538">
        <f>W20*($U$195/$U$194)</f>
        <v>6.8862656540084393</v>
      </c>
      <c r="X26" s="538">
        <f>X20*($U$195/$U$194)</f>
        <v>6.2665017451476803</v>
      </c>
      <c r="Y26" s="546">
        <f>Y20*($U$195/$U$194)</f>
        <v>6.2052064135021103</v>
      </c>
      <c r="Z26" s="538">
        <v>0.1</v>
      </c>
      <c r="AA26" s="87"/>
      <c r="AB26" s="259"/>
      <c r="AC26" s="259"/>
      <c r="AD26" s="259"/>
      <c r="AE26" s="259"/>
      <c r="AF26" s="259"/>
      <c r="AG26" s="84">
        <f t="shared" si="16"/>
        <v>0.18921600000000002</v>
      </c>
      <c r="AH26" s="87"/>
      <c r="AI26" s="87">
        <v>2019</v>
      </c>
      <c r="AJ26" s="87">
        <v>6</v>
      </c>
      <c r="AL26" s="105"/>
      <c r="AM26" s="211" t="str">
        <f t="shared" ref="AM26" si="30">C28</f>
        <v>R-SW_Apt_ELC_HPN1-D</v>
      </c>
      <c r="AN26" s="211" t="str">
        <f t="shared" ref="AN26" si="31">D28</f>
        <v>Residential Electric Heat Pump - Air to Water - SH + WH - D rated dwelling</v>
      </c>
      <c r="AO26" s="105" t="s">
        <v>13</v>
      </c>
      <c r="AP26" s="105" t="s">
        <v>180</v>
      </c>
      <c r="AQ26" s="105"/>
      <c r="AR26" s="105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717</v>
      </c>
      <c r="E27" s="24" t="s">
        <v>153</v>
      </c>
      <c r="F27" s="24" t="s">
        <v>665</v>
      </c>
      <c r="G27" s="24" t="s">
        <v>722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48">
        <v>20</v>
      </c>
      <c r="U27" s="23"/>
      <c r="V27" s="379">
        <f>V21/$V$20*$V$26</f>
        <v>9.5842025316455697</v>
      </c>
      <c r="W27" s="441">
        <f>W21/$V$20*$V$26</f>
        <v>8.9031432911392407</v>
      </c>
      <c r="X27" s="441">
        <f t="shared" ref="V27:Y31" si="36">X21/$V$20*$V$26</f>
        <v>8.2833793822784809</v>
      </c>
      <c r="Y27" s="543">
        <f t="shared" si="36"/>
        <v>8.2220840506329118</v>
      </c>
      <c r="Z27" s="441">
        <v>0.1</v>
      </c>
      <c r="AA27" s="66"/>
      <c r="AB27" s="72"/>
      <c r="AC27" s="72"/>
      <c r="AD27" s="72"/>
      <c r="AE27" s="72"/>
      <c r="AF27" s="72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5"/>
      <c r="AM27" s="211" t="str">
        <f t="shared" ref="AM27" si="38">C29</f>
        <v>R-SW_Apt_ELC_HPN1-E</v>
      </c>
      <c r="AN27" s="211" t="str">
        <f t="shared" ref="AN27" si="39">D29</f>
        <v>Residential Electric Heat Pump - Air to Water - SH + WH - E rated dwelling</v>
      </c>
      <c r="AO27" s="105" t="s">
        <v>13</v>
      </c>
      <c r="AP27" s="105" t="s">
        <v>180</v>
      </c>
      <c r="AQ27" s="105"/>
      <c r="AR27" s="105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718</v>
      </c>
      <c r="E28" s="30" t="s">
        <v>153</v>
      </c>
      <c r="F28" s="30" t="s">
        <v>665</v>
      </c>
      <c r="G28" s="30" t="s">
        <v>723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549">
        <v>20</v>
      </c>
      <c r="U28" s="29"/>
      <c r="V28" s="379">
        <f t="shared" si="36"/>
        <v>9.6850464135021088</v>
      </c>
      <c r="W28" s="441">
        <f t="shared" si="36"/>
        <v>9.0039871729957817</v>
      </c>
      <c r="X28" s="441">
        <f t="shared" si="36"/>
        <v>8.3842232641350218</v>
      </c>
      <c r="Y28" s="543">
        <f t="shared" si="36"/>
        <v>8.3229279324894527</v>
      </c>
      <c r="Z28" s="441">
        <v>0.1</v>
      </c>
      <c r="AA28" s="65"/>
      <c r="AB28" s="71"/>
      <c r="AC28" s="71"/>
      <c r="AD28" s="71"/>
      <c r="AE28" s="71"/>
      <c r="AF28" s="71"/>
      <c r="AG28" s="62">
        <f t="shared" si="37"/>
        <v>0.18921600000000002</v>
      </c>
      <c r="AH28" s="65"/>
      <c r="AI28" s="65">
        <v>2019</v>
      </c>
      <c r="AJ28" s="65">
        <v>6</v>
      </c>
      <c r="AM28" s="211" t="str">
        <f t="shared" ref="AM28:AN41" si="40">C30</f>
        <v>R-SW_Apt_ELC_HPN1-F</v>
      </c>
      <c r="AN28" s="211" t="str">
        <f t="shared" si="40"/>
        <v>Residential Electric Heat Pump - Air to Water - SH + WH - F rated dwelling</v>
      </c>
      <c r="AO28" s="105" t="s">
        <v>13</v>
      </c>
      <c r="AP28" s="105" t="s">
        <v>180</v>
      </c>
      <c r="AQ28" s="105"/>
      <c r="AR28" s="105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719</v>
      </c>
      <c r="E29" s="24" t="s">
        <v>153</v>
      </c>
      <c r="F29" s="24" t="s">
        <v>665</v>
      </c>
      <c r="G29" s="24" t="s">
        <v>724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48">
        <v>20</v>
      </c>
      <c r="U29" s="23"/>
      <c r="V29" s="379">
        <f t="shared" si="36"/>
        <v>10.18926582278481</v>
      </c>
      <c r="W29" s="441">
        <f t="shared" si="36"/>
        <v>9.5082065822784809</v>
      </c>
      <c r="X29" s="441">
        <f t="shared" si="36"/>
        <v>8.8884426734177229</v>
      </c>
      <c r="Y29" s="543">
        <f t="shared" si="36"/>
        <v>8.8271473417721538</v>
      </c>
      <c r="Z29" s="441">
        <v>0.1</v>
      </c>
      <c r="AA29" s="66"/>
      <c r="AB29" s="72"/>
      <c r="AC29" s="72"/>
      <c r="AD29" s="72"/>
      <c r="AE29" s="72"/>
      <c r="AF29" s="72"/>
      <c r="AG29" s="63">
        <f t="shared" si="37"/>
        <v>0.18921600000000002</v>
      </c>
      <c r="AH29" s="66"/>
      <c r="AI29" s="66">
        <v>2019</v>
      </c>
      <c r="AJ29" s="66">
        <v>6</v>
      </c>
      <c r="AL29" s="105"/>
      <c r="AM29" s="211" t="str">
        <f t="shared" si="40"/>
        <v>R-SW_Apt_ELC_HPN1-G</v>
      </c>
      <c r="AN29" s="211" t="str">
        <f t="shared" si="40"/>
        <v>Residential Electric Heat Pump - Air to Water - SH + WH - G rated dwelling</v>
      </c>
      <c r="AO29" s="105" t="s">
        <v>13</v>
      </c>
      <c r="AP29" s="105" t="s">
        <v>180</v>
      </c>
      <c r="AQ29" s="105"/>
      <c r="AR29" s="105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720</v>
      </c>
      <c r="E30" s="30" t="s">
        <v>153</v>
      </c>
      <c r="F30" s="30" t="s">
        <v>665</v>
      </c>
      <c r="G30" s="30" t="s">
        <v>725</v>
      </c>
      <c r="H30" s="40">
        <f>JRC_Data!$AC$18/JRC_Data!$AC$16</f>
        <v>1</v>
      </c>
      <c r="I30" s="29">
        <f>JRC_Data!$AD$18/JRC_Data!$AC$16</f>
        <v>1.0999999999999999</v>
      </c>
      <c r="J30" s="29">
        <f>JRC_Data!$AE$18/JRC_Data!$AC$16</f>
        <v>1.2333333333333334</v>
      </c>
      <c r="K30" s="58">
        <f>JRC_Data!$AF$18/JRC_Data!$AC$16</f>
        <v>1.3333333333333333</v>
      </c>
      <c r="L30" s="40"/>
      <c r="M30" s="29"/>
      <c r="N30" s="29"/>
      <c r="O30" s="58"/>
      <c r="P30" s="40">
        <f t="shared" si="32"/>
        <v>0.7</v>
      </c>
      <c r="Q30" s="29">
        <f t="shared" si="33"/>
        <v>0.76999999999999991</v>
      </c>
      <c r="R30" s="29">
        <f t="shared" si="34"/>
        <v>0.86333333333333329</v>
      </c>
      <c r="S30" s="58">
        <f t="shared" si="35"/>
        <v>0.93333333333333324</v>
      </c>
      <c r="T30" s="549">
        <v>20</v>
      </c>
      <c r="U30" s="29"/>
      <c r="V30" s="379">
        <f t="shared" si="36"/>
        <v>10.693485232067511</v>
      </c>
      <c r="W30" s="441">
        <f t="shared" si="36"/>
        <v>10.012425991561182</v>
      </c>
      <c r="X30" s="441">
        <f t="shared" si="36"/>
        <v>9.3926620827004239</v>
      </c>
      <c r="Y30" s="543">
        <f t="shared" si="36"/>
        <v>9.331366751054853</v>
      </c>
      <c r="Z30" s="441">
        <v>0.1</v>
      </c>
      <c r="AA30" s="65"/>
      <c r="AB30" s="71"/>
      <c r="AC30" s="71"/>
      <c r="AD30" s="71"/>
      <c r="AE30" s="71"/>
      <c r="AF30" s="71"/>
      <c r="AG30" s="62">
        <f t="shared" si="37"/>
        <v>0.18921600000000002</v>
      </c>
      <c r="AH30" s="65"/>
      <c r="AI30" s="65">
        <v>2019</v>
      </c>
      <c r="AJ30" s="65">
        <v>6</v>
      </c>
      <c r="AL30" s="211"/>
      <c r="AM30" s="104" t="str">
        <f t="shared" si="40"/>
        <v>R-SH_Apt_ELC_HPN3-AB</v>
      </c>
      <c r="AN30" s="104" t="str">
        <f t="shared" si="40"/>
        <v>Residential Electric Heat Pump - Ground to Water - SH - AB rated dwelling</v>
      </c>
      <c r="AO30" s="105" t="s">
        <v>13</v>
      </c>
      <c r="AP30" s="105" t="s">
        <v>180</v>
      </c>
      <c r="AQ30" s="105"/>
      <c r="AR30" s="105" t="s">
        <v>75</v>
      </c>
      <c r="AS30" s="4"/>
    </row>
    <row r="31" spans="3:45" ht="15" x14ac:dyDescent="0.25">
      <c r="C31" s="251" t="str">
        <f>"R-SW_Apt"&amp;"_"&amp;RIGHT(E30,3)&amp;"_HPN1-G"</f>
        <v>R-SW_Apt_ELC_HPN1-G</v>
      </c>
      <c r="D31" s="27" t="s">
        <v>740</v>
      </c>
      <c r="E31" s="27" t="s">
        <v>153</v>
      </c>
      <c r="F31" s="27" t="s">
        <v>665</v>
      </c>
      <c r="G31" s="27" t="s">
        <v>741</v>
      </c>
      <c r="H31" s="251">
        <f>JRC_Data!$AC$18/JRC_Data!$AC$16</f>
        <v>1</v>
      </c>
      <c r="I31" s="26">
        <f>JRC_Data!$AD$18/JRC_Data!$AC$16</f>
        <v>1.0999999999999999</v>
      </c>
      <c r="J31" s="26">
        <f>JRC_Data!$AE$18/JRC_Data!$AC$16</f>
        <v>1.2333333333333334</v>
      </c>
      <c r="K31" s="59">
        <f>JRC_Data!$AF$18/JRC_Data!$AC$16</f>
        <v>1.3333333333333333</v>
      </c>
      <c r="L31" s="251"/>
      <c r="M31" s="26"/>
      <c r="N31" s="26"/>
      <c r="O31" s="59"/>
      <c r="P31" s="251">
        <f t="shared" ref="P31" si="41">H31*0.7</f>
        <v>0.7</v>
      </c>
      <c r="Q31" s="26">
        <f t="shared" ref="Q31" si="42">I31*0.7</f>
        <v>0.76999999999999991</v>
      </c>
      <c r="R31" s="26">
        <f t="shared" ref="R31" si="43">J31*0.7</f>
        <v>0.86333333333333329</v>
      </c>
      <c r="S31" s="59">
        <f t="shared" ref="S31" si="44">K31*0.7</f>
        <v>0.93333333333333324</v>
      </c>
      <c r="T31" s="540">
        <v>20</v>
      </c>
      <c r="U31" s="26"/>
      <c r="V31" s="523">
        <f t="shared" si="36"/>
        <v>11.197704641350212</v>
      </c>
      <c r="W31" s="539">
        <f t="shared" si="36"/>
        <v>10.516645400843883</v>
      </c>
      <c r="X31" s="539">
        <f t="shared" si="36"/>
        <v>9.8968814919831249</v>
      </c>
      <c r="Y31" s="545">
        <f t="shared" si="36"/>
        <v>9.8355861603375541</v>
      </c>
      <c r="Z31" s="539">
        <v>0.1</v>
      </c>
      <c r="AA31" s="67"/>
      <c r="AB31" s="521"/>
      <c r="AC31" s="521"/>
      <c r="AD31" s="521"/>
      <c r="AE31" s="521"/>
      <c r="AF31" s="521"/>
      <c r="AG31" s="64">
        <f t="shared" ref="AG31" si="45">31.536*(AJ31/1000)</f>
        <v>0.18921600000000002</v>
      </c>
      <c r="AH31" s="67"/>
      <c r="AI31" s="67">
        <v>2019</v>
      </c>
      <c r="AJ31" s="67">
        <v>6</v>
      </c>
      <c r="AL31" s="211"/>
      <c r="AM31" s="211" t="str">
        <f t="shared" si="40"/>
        <v>R-SH_Apt_ELC_HPN3-C</v>
      </c>
      <c r="AN31" s="211" t="str">
        <f t="shared" si="40"/>
        <v>Residential Electric Heat Pump - Ground to Water - SH - C rated dwelling</v>
      </c>
      <c r="AO31" s="105" t="s">
        <v>13</v>
      </c>
      <c r="AP31" s="105" t="s">
        <v>180</v>
      </c>
      <c r="AQ31" s="105"/>
      <c r="AR31" s="105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742</v>
      </c>
      <c r="E32" s="88" t="s">
        <v>153</v>
      </c>
      <c r="F32" s="88" t="s">
        <v>563</v>
      </c>
      <c r="G32" s="88" t="s">
        <v>703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6">
        <v>20</v>
      </c>
      <c r="U32" s="20"/>
      <c r="V32" s="19">
        <f>(JRC_Data!BB20/1000)*($U$194/$U$197)</f>
        <v>13.542857142857143</v>
      </c>
      <c r="W32" s="20">
        <f>(JRC_Data!BC20/1000)*($U$194/$U$197)</f>
        <v>12.575510204081631</v>
      </c>
      <c r="X32" s="20">
        <f>(JRC_Data!BD20/1000)*($U$194/$U$197)</f>
        <v>11.608163265306121</v>
      </c>
      <c r="Y32" s="56">
        <f>(JRC_Data!BE20/1000)*($U$194/$U$197)</f>
        <v>10.640816326530611</v>
      </c>
      <c r="Z32" s="84">
        <f>JRC_Data!BL20/1000</f>
        <v>0.2</v>
      </c>
      <c r="AA32" s="87"/>
      <c r="AB32" s="259"/>
      <c r="AC32" s="259"/>
      <c r="AD32" s="259"/>
      <c r="AE32" s="259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11"/>
      <c r="AM32" s="211" t="str">
        <f t="shared" si="40"/>
        <v>R-SH_Apt_ELC_HPN3-D</v>
      </c>
      <c r="AN32" s="211" t="str">
        <f t="shared" si="40"/>
        <v>Residential Electric Heat Pump - Ground to Water - SH - D rated dwelling</v>
      </c>
      <c r="AO32" s="105" t="s">
        <v>13</v>
      </c>
      <c r="AP32" s="105" t="s">
        <v>180</v>
      </c>
      <c r="AQ32" s="105"/>
      <c r="AR32" s="105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743</v>
      </c>
      <c r="E33" s="24" t="s">
        <v>153</v>
      </c>
      <c r="F33" s="24" t="s">
        <v>563</v>
      </c>
      <c r="G33" s="24" t="s">
        <v>704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7">
        <v>20</v>
      </c>
      <c r="U33" s="23"/>
      <c r="V33" s="22">
        <f>V21/$V$20*$V$32</f>
        <v>17.152360645750836</v>
      </c>
      <c r="W33" s="23">
        <f>W21/$V$20*$V$32</f>
        <v>15.933503502893696</v>
      </c>
      <c r="X33" s="23">
        <f t="shared" ref="X33:Y33" si="46">X21/$V$20*$V$32</f>
        <v>14.824343502893695</v>
      </c>
      <c r="Y33" s="57">
        <f t="shared" si="46"/>
        <v>14.714646360036552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7">31.536*(AJ33/1000)</f>
        <v>0.15768000000000001</v>
      </c>
      <c r="AH33" s="66"/>
      <c r="AI33" s="24">
        <v>2019</v>
      </c>
      <c r="AJ33" s="66">
        <v>5</v>
      </c>
      <c r="AL33" s="211"/>
      <c r="AM33" s="211" t="str">
        <f t="shared" si="40"/>
        <v>R-SH_Apt_ELC_HPN3-E</v>
      </c>
      <c r="AN33" s="211" t="str">
        <f t="shared" si="40"/>
        <v>Residential Electric Heat Pump - Ground to Water - SH - E rated dwelling</v>
      </c>
      <c r="AO33" s="105" t="s">
        <v>13</v>
      </c>
      <c r="AP33" s="105" t="s">
        <v>180</v>
      </c>
      <c r="AQ33" s="105"/>
      <c r="AR33" s="105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744</v>
      </c>
      <c r="E34" s="30" t="s">
        <v>153</v>
      </c>
      <c r="F34" s="30" t="s">
        <v>563</v>
      </c>
      <c r="G34" s="30" t="s">
        <v>705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8">
        <v>20</v>
      </c>
      <c r="U34" s="29"/>
      <c r="V34" s="40">
        <f>V22/$V$20*$V$32</f>
        <v>17.332835820895522</v>
      </c>
      <c r="W34" s="29">
        <f t="shared" ref="W34:Y34" si="48">W22/$V$20*$V$32</f>
        <v>16.113978678038379</v>
      </c>
      <c r="X34" s="29">
        <f t="shared" si="48"/>
        <v>15.004818678038381</v>
      </c>
      <c r="Y34" s="58">
        <f t="shared" si="48"/>
        <v>14.895121535181239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7"/>
        <v>0.15768000000000001</v>
      </c>
      <c r="AH34" s="65"/>
      <c r="AI34" s="30">
        <v>2019</v>
      </c>
      <c r="AJ34" s="65">
        <v>5</v>
      </c>
      <c r="AL34" s="211"/>
      <c r="AM34" s="211" t="str">
        <f t="shared" si="40"/>
        <v>R-SH_Apt_ELC_HPN3-F</v>
      </c>
      <c r="AN34" s="211" t="str">
        <f t="shared" si="40"/>
        <v>Residential Electric Heat Pump - Ground to Water - SH - F rated dwelling</v>
      </c>
      <c r="AO34" s="105" t="s">
        <v>13</v>
      </c>
      <c r="AP34" s="105" t="s">
        <v>180</v>
      </c>
      <c r="AQ34" s="105"/>
      <c r="AR34" s="105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745</v>
      </c>
      <c r="E35" s="24" t="s">
        <v>153</v>
      </c>
      <c r="F35" s="24" t="s">
        <v>563</v>
      </c>
      <c r="G35" s="24" t="s">
        <v>706</v>
      </c>
      <c r="H35" s="22">
        <f>JRC_Data!AC20/JRC_Data!$AC$16</f>
        <v>1.0999999999999999</v>
      </c>
      <c r="I35" s="23">
        <f>JRC_Data!AD20/JRC_Data!$AC$16</f>
        <v>1.1666666666666667</v>
      </c>
      <c r="J35" s="23">
        <f>JRC_Data!AE20/JRC_Data!$AC$16</f>
        <v>1.3333333333333333</v>
      </c>
      <c r="K35" s="57">
        <f>JRC_Data!AF20/JRC_Data!$AC$16</f>
        <v>1.5</v>
      </c>
      <c r="L35" s="22"/>
      <c r="M35" s="23"/>
      <c r="N35" s="23"/>
      <c r="O35" s="57"/>
      <c r="P35" s="22"/>
      <c r="Q35" s="23"/>
      <c r="R35" s="23"/>
      <c r="S35" s="57"/>
      <c r="T35" s="517">
        <v>20</v>
      </c>
      <c r="U35" s="23"/>
      <c r="V35" s="22">
        <f>V23/$V$20*$V$32</f>
        <v>18.235211696618943</v>
      </c>
      <c r="W35" s="23">
        <f t="shared" ref="W35:Y35" si="49">W23/$V$20*$V$32</f>
        <v>17.016354553761804</v>
      </c>
      <c r="X35" s="23">
        <f t="shared" si="49"/>
        <v>15.907194553761805</v>
      </c>
      <c r="Y35" s="57">
        <f t="shared" si="49"/>
        <v>15.797497410904663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7"/>
        <v>0.15768000000000001</v>
      </c>
      <c r="AH35" s="66"/>
      <c r="AI35" s="24">
        <v>2019</v>
      </c>
      <c r="AJ35" s="66">
        <v>5</v>
      </c>
      <c r="AL35" s="211"/>
      <c r="AM35" s="211" t="str">
        <f t="shared" si="40"/>
        <v>R-SH_Apt_ELC_HPN3-G</v>
      </c>
      <c r="AN35" s="211" t="str">
        <f t="shared" si="40"/>
        <v>Residential Electric Heat Pump - Ground to Water - SH - G rated dwelling</v>
      </c>
      <c r="AO35" s="105" t="s">
        <v>13</v>
      </c>
      <c r="AP35" s="105" t="s">
        <v>180</v>
      </c>
      <c r="AQ35" s="105"/>
      <c r="AR35" s="105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746</v>
      </c>
      <c r="E36" s="30" t="s">
        <v>153</v>
      </c>
      <c r="F36" s="30" t="s">
        <v>563</v>
      </c>
      <c r="G36" s="30" t="s">
        <v>707</v>
      </c>
      <c r="H36" s="40">
        <f>JRC_Data!AC20/JRC_Data!$AC$16</f>
        <v>1.0999999999999999</v>
      </c>
      <c r="I36" s="29">
        <f>JRC_Data!AD20/JRC_Data!$AC$16</f>
        <v>1.1666666666666667</v>
      </c>
      <c r="J36" s="29">
        <f>JRC_Data!AE20/JRC_Data!$AC$16</f>
        <v>1.3333333333333333</v>
      </c>
      <c r="K36" s="58">
        <f>JRC_Data!AF20/JRC_Data!$AC$16</f>
        <v>1.5</v>
      </c>
      <c r="L36" s="40"/>
      <c r="M36" s="29"/>
      <c r="N36" s="29"/>
      <c r="O36" s="58"/>
      <c r="P36" s="40"/>
      <c r="Q36" s="29"/>
      <c r="R36" s="29"/>
      <c r="S36" s="58"/>
      <c r="T36" s="518">
        <v>20</v>
      </c>
      <c r="U36" s="29"/>
      <c r="V36" s="40">
        <f>V24/$V$20*$V$32</f>
        <v>19.137587572342369</v>
      </c>
      <c r="W36" s="29">
        <f t="shared" ref="W36:Y36" si="50">W24/$V$20*$V$32</f>
        <v>17.91873042948523</v>
      </c>
      <c r="X36" s="29">
        <f t="shared" si="50"/>
        <v>16.80957042948523</v>
      </c>
      <c r="Y36" s="58">
        <f t="shared" si="50"/>
        <v>16.699873286628083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7"/>
        <v>0.15768000000000001</v>
      </c>
      <c r="AH36" s="65"/>
      <c r="AI36" s="30">
        <v>2019</v>
      </c>
      <c r="AJ36" s="65">
        <v>5</v>
      </c>
      <c r="AL36" s="211"/>
      <c r="AM36" s="211" t="str">
        <f t="shared" si="40"/>
        <v>R-HC_Apt_ELC_HPN2-AB</v>
      </c>
      <c r="AN36" s="211" t="str">
        <f t="shared" si="40"/>
        <v>Residential Electric Heat Pump - Ground to Water - SH + SC - AB rated dwelling</v>
      </c>
      <c r="AO36" s="105" t="s">
        <v>13</v>
      </c>
      <c r="AP36" s="105" t="s">
        <v>180</v>
      </c>
      <c r="AQ36" s="105"/>
      <c r="AR36" s="105" t="s">
        <v>75</v>
      </c>
      <c r="AS36" s="4"/>
    </row>
    <row r="37" spans="3:45" ht="15" x14ac:dyDescent="0.25">
      <c r="C37" s="251" t="str">
        <f>"R-SH_Apt"&amp;"_"&amp;RIGHT(E37,3)&amp;"_HPN3-G"</f>
        <v>R-SH_Apt_ELC_HPN3-G</v>
      </c>
      <c r="D37" s="27" t="s">
        <v>747</v>
      </c>
      <c r="E37" s="27" t="s">
        <v>153</v>
      </c>
      <c r="F37" s="27" t="s">
        <v>563</v>
      </c>
      <c r="G37" s="27" t="s">
        <v>739</v>
      </c>
      <c r="H37" s="251">
        <f>JRC_Data!AC20/JRC_Data!$AC$16</f>
        <v>1.0999999999999999</v>
      </c>
      <c r="I37" s="26">
        <f>JRC_Data!AD20/JRC_Data!$AC$16</f>
        <v>1.1666666666666667</v>
      </c>
      <c r="J37" s="26">
        <f>JRC_Data!AE20/JRC_Data!$AC$16</f>
        <v>1.3333333333333333</v>
      </c>
      <c r="K37" s="59">
        <f>JRC_Data!AF20/JRC_Data!$AC$16</f>
        <v>1.5</v>
      </c>
      <c r="L37" s="251"/>
      <c r="M37" s="26"/>
      <c r="N37" s="26"/>
      <c r="O37" s="59"/>
      <c r="P37" s="251"/>
      <c r="Q37" s="26"/>
      <c r="R37" s="26"/>
      <c r="S37" s="59"/>
      <c r="T37" s="520">
        <v>20</v>
      </c>
      <c r="U37" s="26"/>
      <c r="V37" s="251">
        <f>V25/$V$20*$V$32</f>
        <v>20.039963448065794</v>
      </c>
      <c r="W37" s="26">
        <f t="shared" ref="W37:Y37" si="51">W25/$V$20*$V$32</f>
        <v>18.821106305208652</v>
      </c>
      <c r="X37" s="26">
        <f t="shared" si="51"/>
        <v>17.711946305208652</v>
      </c>
      <c r="Y37" s="59">
        <f t="shared" si="51"/>
        <v>17.602249162351509</v>
      </c>
      <c r="Z37" s="64">
        <f>JRC_Data!BL20/1000</f>
        <v>0.2</v>
      </c>
      <c r="AA37" s="67"/>
      <c r="AB37" s="521"/>
      <c r="AC37" s="521"/>
      <c r="AD37" s="521"/>
      <c r="AE37" s="521"/>
      <c r="AF37" s="49"/>
      <c r="AG37" s="64">
        <f t="shared" si="47"/>
        <v>0.15768000000000001</v>
      </c>
      <c r="AH37" s="67"/>
      <c r="AI37" s="27">
        <v>2019</v>
      </c>
      <c r="AJ37" s="67">
        <v>5</v>
      </c>
      <c r="AL37" s="211"/>
      <c r="AM37" s="211" t="str">
        <f t="shared" si="40"/>
        <v>R-HC_Apt_ELC_HPN2-C</v>
      </c>
      <c r="AN37" s="211" t="str">
        <f t="shared" si="40"/>
        <v>Residential Electric Heat Pump - Ground to Water - SH + SC - C rated dwelling</v>
      </c>
      <c r="AO37" s="105" t="s">
        <v>13</v>
      </c>
      <c r="AP37" s="105" t="s">
        <v>180</v>
      </c>
      <c r="AQ37" s="105"/>
      <c r="AR37" s="105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748</v>
      </c>
      <c r="E38" s="88" t="s">
        <v>153</v>
      </c>
      <c r="F38" s="88" t="s">
        <v>563</v>
      </c>
      <c r="G38" s="88" t="s">
        <v>703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6">
        <v>20</v>
      </c>
      <c r="U38" s="56"/>
      <c r="V38" s="19">
        <f>(JRC_Data!BB20/1000)*($U$195/$U$197)</f>
        <v>13.657142857142858</v>
      </c>
      <c r="W38" s="20">
        <f>(JRC_Data!BC20/1000)*($U$195/$U$197)</f>
        <v>12.681632653061225</v>
      </c>
      <c r="X38" s="20">
        <f>(JRC_Data!BD20/1000)*($U$195/$U$197)</f>
        <v>11.706122448979592</v>
      </c>
      <c r="Y38" s="56">
        <f>(JRC_Data!BE20/1000)*($U$195/$U$197)</f>
        <v>10.73061224489796</v>
      </c>
      <c r="Z38" s="84">
        <f>JRC_Data!BL20/1000</f>
        <v>0.2</v>
      </c>
      <c r="AA38" s="87"/>
      <c r="AB38" s="259"/>
      <c r="AC38" s="259"/>
      <c r="AD38" s="259"/>
      <c r="AE38" s="259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11"/>
      <c r="AM38" s="211" t="str">
        <f t="shared" si="40"/>
        <v>R-HC_Apt_ELC_HPN2-D</v>
      </c>
      <c r="AN38" s="211" t="str">
        <f t="shared" si="40"/>
        <v>Residential Electric Heat Pump - Ground to Water - SH + SC - D rated dwelling</v>
      </c>
      <c r="AO38" s="105" t="s">
        <v>13</v>
      </c>
      <c r="AP38" s="105" t="s">
        <v>180</v>
      </c>
      <c r="AQ38" s="105"/>
      <c r="AR38" s="105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749</v>
      </c>
      <c r="E39" s="24" t="s">
        <v>153</v>
      </c>
      <c r="F39" s="24" t="s">
        <v>563</v>
      </c>
      <c r="G39" s="24" t="s">
        <v>704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7">
        <v>20</v>
      </c>
      <c r="U39" s="57"/>
      <c r="V39" s="22">
        <f>V27/$V$20*$V$38</f>
        <v>17.443073447024759</v>
      </c>
      <c r="W39" s="23">
        <f t="shared" ref="W39:Y39" si="52">W27/$V$20*$V$38</f>
        <v>16.203558076319517</v>
      </c>
      <c r="X39" s="23">
        <f t="shared" si="52"/>
        <v>15.075599088977745</v>
      </c>
      <c r="Y39" s="57">
        <f t="shared" si="52"/>
        <v>14.964042705614274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53">31.536*(AJ39/1000)</f>
        <v>0.15768000000000001</v>
      </c>
      <c r="AH39" s="66"/>
      <c r="AI39" s="24">
        <v>2019</v>
      </c>
      <c r="AJ39" s="66">
        <v>5</v>
      </c>
      <c r="AL39" s="211"/>
      <c r="AM39" s="211" t="str">
        <f t="shared" si="40"/>
        <v>R-HC_Apt_ELC_HPN2-E</v>
      </c>
      <c r="AN39" s="211" t="str">
        <f t="shared" si="40"/>
        <v>Residential Electric Heat Pump - Ground to Water - SH + SC - E rated dwelling</v>
      </c>
      <c r="AO39" s="105" t="s">
        <v>13</v>
      </c>
      <c r="AP39" s="105" t="s">
        <v>180</v>
      </c>
      <c r="AQ39" s="105"/>
      <c r="AR39" s="105" t="s">
        <v>75</v>
      </c>
      <c r="AS39" s="105"/>
    </row>
    <row r="40" spans="3:45" ht="15" x14ac:dyDescent="0.25">
      <c r="C40" s="40" t="str">
        <f>"R-HC_Apt"&amp;"_"&amp;RIGHT(E40,3)&amp;"_HPN2-D"</f>
        <v>R-HC_Apt_ELC_HPN2-D</v>
      </c>
      <c r="D40" s="30" t="s">
        <v>750</v>
      </c>
      <c r="E40" s="30" t="s">
        <v>153</v>
      </c>
      <c r="F40" s="30" t="s">
        <v>563</v>
      </c>
      <c r="G40" s="30" t="s">
        <v>705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8">
        <v>20</v>
      </c>
      <c r="U40" s="58"/>
      <c r="V40" s="40">
        <f t="shared" ref="V40:Y43" si="54">V28/$V$20*$V$38</f>
        <v>17.626607468984194</v>
      </c>
      <c r="W40" s="29">
        <f t="shared" si="54"/>
        <v>16.387092098278952</v>
      </c>
      <c r="X40" s="29">
        <f t="shared" si="54"/>
        <v>15.259133110937181</v>
      </c>
      <c r="Y40" s="58">
        <f t="shared" si="54"/>
        <v>15.147576727573711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53"/>
        <v>0.15768000000000001</v>
      </c>
      <c r="AH40" s="65"/>
      <c r="AI40" s="30">
        <v>2019</v>
      </c>
      <c r="AJ40" s="65">
        <v>5</v>
      </c>
      <c r="AL40" s="211"/>
      <c r="AM40" s="211" t="str">
        <f t="shared" si="40"/>
        <v>R-HC_Apt_ELC_HPN2-F</v>
      </c>
      <c r="AN40" s="211" t="str">
        <f t="shared" si="40"/>
        <v>Residential Electric Heat Pump - Ground to Water - SH + SC - F rated dwelling</v>
      </c>
      <c r="AO40" s="105" t="s">
        <v>13</v>
      </c>
      <c r="AP40" s="105" t="s">
        <v>180</v>
      </c>
      <c r="AQ40" s="105"/>
      <c r="AR40" s="105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751</v>
      </c>
      <c r="E41" s="24" t="s">
        <v>153</v>
      </c>
      <c r="F41" s="24" t="s">
        <v>563</v>
      </c>
      <c r="G41" s="24" t="s">
        <v>706</v>
      </c>
      <c r="H41" s="22">
        <f>JRC_Data!AC20/JRC_Data!$AC$16</f>
        <v>1.0999999999999999</v>
      </c>
      <c r="I41" s="23">
        <f>JRC_Data!AD20/JRC_Data!$AC$16</f>
        <v>1.1666666666666667</v>
      </c>
      <c r="J41" s="23">
        <f>JRC_Data!AE20/JRC_Data!$AC$16</f>
        <v>1.3333333333333333</v>
      </c>
      <c r="K41" s="57">
        <f>JRC_Data!AF20/JRC_Data!$AC$16</f>
        <v>1.5</v>
      </c>
      <c r="L41" s="22">
        <v>1</v>
      </c>
      <c r="M41" s="23">
        <f>JRC_Data!AD20/JRC_Data!$AC$16</f>
        <v>1.1666666666666667</v>
      </c>
      <c r="N41" s="23">
        <f>JRC_Data!AE20/JRC_Data!$AC$16</f>
        <v>1.3333333333333333</v>
      </c>
      <c r="O41" s="57">
        <f>JRC_Data!AF20/JRC_Data!$AC$16</f>
        <v>1.5</v>
      </c>
      <c r="P41" s="22"/>
      <c r="Q41" s="23"/>
      <c r="R41" s="23"/>
      <c r="S41" s="57"/>
      <c r="T41" s="517">
        <v>20</v>
      </c>
      <c r="U41" s="57"/>
      <c r="V41" s="22">
        <f t="shared" si="54"/>
        <v>18.544277578781376</v>
      </c>
      <c r="W41" s="23">
        <f t="shared" si="54"/>
        <v>17.304762208076127</v>
      </c>
      <c r="X41" s="23">
        <f t="shared" si="54"/>
        <v>16.17680322073436</v>
      </c>
      <c r="Y41" s="57">
        <f t="shared" si="54"/>
        <v>16.065246837370889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53"/>
        <v>0.15768000000000001</v>
      </c>
      <c r="AH41" s="66"/>
      <c r="AI41" s="24">
        <v>2019</v>
      </c>
      <c r="AJ41" s="66">
        <v>5</v>
      </c>
      <c r="AL41" s="211"/>
      <c r="AM41" s="211" t="str">
        <f t="shared" si="40"/>
        <v>R-HC_Apt_ELC_HPN2-G</v>
      </c>
      <c r="AN41" s="211" t="str">
        <f t="shared" si="40"/>
        <v>Residential Electric Heat Pump - Ground to Water - SH + SC - G rated dwelling</v>
      </c>
      <c r="AO41" s="105" t="s">
        <v>13</v>
      </c>
      <c r="AP41" s="105" t="s">
        <v>180</v>
      </c>
      <c r="AQ41" s="105"/>
      <c r="AR41" s="105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752</v>
      </c>
      <c r="E42" s="30" t="s">
        <v>153</v>
      </c>
      <c r="F42" s="30" t="s">
        <v>563</v>
      </c>
      <c r="G42" s="30" t="s">
        <v>707</v>
      </c>
      <c r="H42" s="40">
        <f>JRC_Data!AC20/JRC_Data!$AC$16</f>
        <v>1.0999999999999999</v>
      </c>
      <c r="I42" s="29">
        <f>JRC_Data!AD20/JRC_Data!$AC$16</f>
        <v>1.1666666666666667</v>
      </c>
      <c r="J42" s="29">
        <f>JRC_Data!AE20/JRC_Data!$AC$16</f>
        <v>1.3333333333333333</v>
      </c>
      <c r="K42" s="58">
        <f>JRC_Data!AF20/JRC_Data!$AC$16</f>
        <v>1.5</v>
      </c>
      <c r="L42" s="40">
        <v>1</v>
      </c>
      <c r="M42" s="29">
        <f>JRC_Data!AD20/JRC_Data!$AC$16</f>
        <v>1.1666666666666667</v>
      </c>
      <c r="N42" s="29">
        <f>JRC_Data!AE20/JRC_Data!$AC$16</f>
        <v>1.3333333333333333</v>
      </c>
      <c r="O42" s="58">
        <f>JRC_Data!AF20/JRC_Data!$AC$16</f>
        <v>1.5</v>
      </c>
      <c r="P42" s="40"/>
      <c r="Q42" s="29"/>
      <c r="R42" s="29"/>
      <c r="S42" s="58"/>
      <c r="T42" s="518">
        <v>20</v>
      </c>
      <c r="U42" s="58"/>
      <c r="V42" s="40">
        <f t="shared" si="54"/>
        <v>19.461947688578555</v>
      </c>
      <c r="W42" s="29">
        <f t="shared" si="54"/>
        <v>18.222432317873306</v>
      </c>
      <c r="X42" s="29">
        <f t="shared" si="54"/>
        <v>17.094473330531539</v>
      </c>
      <c r="Y42" s="58">
        <f t="shared" si="54"/>
        <v>16.982916947168064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53"/>
        <v>0.15768000000000001</v>
      </c>
      <c r="AH42" s="65"/>
      <c r="AI42" s="30">
        <v>2019</v>
      </c>
      <c r="AJ42" s="65">
        <v>5</v>
      </c>
      <c r="AL42" s="112"/>
      <c r="AM42" s="102" t="str">
        <f>C45</f>
        <v>R-SW_Apt_GAS_HPN1</v>
      </c>
      <c r="AN42" s="102" t="str">
        <f>D45</f>
        <v>Residential Gas Absorption Heat Pump - Air to Water - SH + WH</v>
      </c>
      <c r="AO42" s="103" t="s">
        <v>13</v>
      </c>
      <c r="AP42" s="103" t="s">
        <v>180</v>
      </c>
      <c r="AQ42" s="103"/>
      <c r="AR42" s="103" t="s">
        <v>75</v>
      </c>
    </row>
    <row r="43" spans="3:45" ht="15.75" thickBot="1" x14ac:dyDescent="0.3">
      <c r="C43" s="251" t="str">
        <f>"R-HC_Apt"&amp;"_"&amp;RIGHT(E43,3)&amp;"_HPN2-G"</f>
        <v>R-HC_Apt_ELC_HPN2-G</v>
      </c>
      <c r="D43" s="27" t="s">
        <v>753</v>
      </c>
      <c r="E43" s="27" t="s">
        <v>153</v>
      </c>
      <c r="F43" s="27" t="s">
        <v>563</v>
      </c>
      <c r="G43" s="27" t="s">
        <v>739</v>
      </c>
      <c r="H43" s="251">
        <f>JRC_Data!AC20/JRC_Data!$AC$16</f>
        <v>1.0999999999999999</v>
      </c>
      <c r="I43" s="26">
        <f>JRC_Data!AD20/JRC_Data!$AC$16</f>
        <v>1.1666666666666667</v>
      </c>
      <c r="J43" s="26">
        <f>JRC_Data!AE20/JRC_Data!$AC$16</f>
        <v>1.3333333333333333</v>
      </c>
      <c r="K43" s="59">
        <f>JRC_Data!AF20/JRC_Data!$AC$16</f>
        <v>1.5</v>
      </c>
      <c r="L43" s="251">
        <v>1</v>
      </c>
      <c r="M43" s="26">
        <f>JRC_Data!AD20/JRC_Data!$AC$16</f>
        <v>1.1666666666666667</v>
      </c>
      <c r="N43" s="26">
        <f>JRC_Data!AE20/JRC_Data!$AC$16</f>
        <v>1.3333333333333333</v>
      </c>
      <c r="O43" s="59">
        <f>JRC_Data!AF20/JRC_Data!$AC$16</f>
        <v>1.5</v>
      </c>
      <c r="P43" s="251"/>
      <c r="Q43" s="26"/>
      <c r="R43" s="26"/>
      <c r="S43" s="59"/>
      <c r="T43" s="520">
        <v>20</v>
      </c>
      <c r="U43" s="59"/>
      <c r="V43" s="251">
        <f t="shared" si="54"/>
        <v>20.37961779837573</v>
      </c>
      <c r="W43" s="26">
        <f t="shared" si="54"/>
        <v>19.140102427670488</v>
      </c>
      <c r="X43" s="26">
        <f t="shared" si="54"/>
        <v>18.012143440328718</v>
      </c>
      <c r="Y43" s="59">
        <f t="shared" si="54"/>
        <v>17.900587056965243</v>
      </c>
      <c r="Z43" s="64">
        <f>JRC_Data!BL20/1000</f>
        <v>0.2</v>
      </c>
      <c r="AA43" s="67"/>
      <c r="AB43" s="521"/>
      <c r="AC43" s="521"/>
      <c r="AD43" s="521"/>
      <c r="AE43" s="521"/>
      <c r="AF43" s="49"/>
      <c r="AG43" s="64">
        <f t="shared" si="53"/>
        <v>0.15768000000000001</v>
      </c>
      <c r="AH43" s="67"/>
      <c r="AI43" s="27">
        <v>2019</v>
      </c>
      <c r="AJ43" s="67">
        <v>5</v>
      </c>
      <c r="AL43" s="212"/>
      <c r="AM43" s="107" t="str">
        <f>C46</f>
        <v>R-SW_Apt_GAS_HPN2</v>
      </c>
      <c r="AN43" s="107" t="str">
        <f>D46</f>
        <v>Residential Gas Engine Heat Pump - Air to Water - SH + WH</v>
      </c>
      <c r="AO43" s="108" t="s">
        <v>13</v>
      </c>
      <c r="AP43" s="108" t="s">
        <v>180</v>
      </c>
      <c r="AQ43" s="108"/>
      <c r="AR43" s="108" t="s">
        <v>75</v>
      </c>
    </row>
    <row r="44" spans="3:45" ht="15.75" thickBot="1" x14ac:dyDescent="0.3">
      <c r="C44" s="528" t="s">
        <v>277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24"/>
      <c r="AB44" s="529"/>
      <c r="AC44" s="529"/>
      <c r="AD44" s="529"/>
      <c r="AE44" s="529"/>
      <c r="AF44" s="529"/>
      <c r="AG44" s="33"/>
      <c r="AH44" s="34"/>
      <c r="AI44" s="34"/>
      <c r="AJ44" s="530"/>
      <c r="AL44" s="213"/>
      <c r="AM44" s="110" t="str">
        <f>C48</f>
        <v>R-SW_Apt_GAS_HHPN1</v>
      </c>
      <c r="AN44" s="110" t="str">
        <f>D48</f>
        <v>Residential Gas Hybrid Heat Pump - Air to Water - SH + WH</v>
      </c>
      <c r="AO44" s="109" t="s">
        <v>13</v>
      </c>
      <c r="AP44" s="109" t="s">
        <v>180</v>
      </c>
      <c r="AQ44" s="109"/>
      <c r="AR44" s="109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116</v>
      </c>
      <c r="E45" s="24" t="s">
        <v>699</v>
      </c>
      <c r="F45" s="88" t="s">
        <v>665</v>
      </c>
      <c r="G45" s="88" t="s">
        <v>714</v>
      </c>
      <c r="H45" s="378">
        <f>JRC_Data!AC28/0.81</f>
        <v>1.6666666666666667</v>
      </c>
      <c r="I45" s="378">
        <f>JRC_Data!AD28/0.81</f>
        <v>1.7901234567901232</v>
      </c>
      <c r="J45" s="378">
        <f>JRC_Data!AE28/0.81</f>
        <v>2.0987654320987654</v>
      </c>
      <c r="K45" s="378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55">I45*0.7</f>
        <v>1.2530864197530862</v>
      </c>
      <c r="R45" s="20">
        <f t="shared" si="55"/>
        <v>1.4691358024691357</v>
      </c>
      <c r="S45" s="56">
        <f t="shared" si="55"/>
        <v>1.4691358024691357</v>
      </c>
      <c r="T45" s="88">
        <v>20</v>
      </c>
      <c r="U45" s="48"/>
      <c r="V45" s="19">
        <f>(JRC_Data!BB28/1000)*($U$195/$U$198)</f>
        <v>14.395366795366796</v>
      </c>
      <c r="W45" s="19">
        <f>(JRC_Data!BC28/1000)*($U$195/$U$198)</f>
        <v>13.472586872586874</v>
      </c>
      <c r="X45" s="19">
        <f>(JRC_Data!BD28/1000)*($U$195/$U$198)</f>
        <v>11.627027027027028</v>
      </c>
      <c r="Y45" s="19">
        <f>(JRC_Data!BE28/1000)*($U$195/$U$198)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6">31.536*(AJ45/1000)</f>
        <v>0.56764799999999993</v>
      </c>
      <c r="AH45" s="87"/>
      <c r="AI45" s="87">
        <v>2019</v>
      </c>
      <c r="AJ45" s="87">
        <v>18</v>
      </c>
      <c r="AL45" s="214"/>
      <c r="AM45" s="102" t="str">
        <f>C50</f>
        <v>R-SW_Apt_HET_N1</v>
      </c>
      <c r="AN45" s="102" t="str">
        <f>D50</f>
        <v>Residential District Heating Centralized - SH + WH</v>
      </c>
      <c r="AO45" s="103" t="s">
        <v>13</v>
      </c>
      <c r="AP45" s="103" t="s">
        <v>180</v>
      </c>
      <c r="AQ45" s="103"/>
      <c r="AR45" s="103" t="s">
        <v>75</v>
      </c>
    </row>
    <row r="46" spans="3:45" ht="15.75" thickBot="1" x14ac:dyDescent="0.3">
      <c r="C46" s="251" t="str">
        <f>"R-SW_Apt"&amp;"_"&amp;RIGHT(E46,3)&amp;"_HPN2"</f>
        <v>R-SW_Apt_GAS_HPN2</v>
      </c>
      <c r="D46" s="26" t="s">
        <v>117</v>
      </c>
      <c r="E46" s="24" t="s">
        <v>699</v>
      </c>
      <c r="F46" s="27" t="s">
        <v>665</v>
      </c>
      <c r="G46" s="27" t="s">
        <v>714</v>
      </c>
      <c r="H46" s="379">
        <f>JRC_Data!AC30/0.9</f>
        <v>1.6666666666666665</v>
      </c>
      <c r="I46" s="379">
        <f>JRC_Data!AD30/0.9</f>
        <v>1.7222222222222223</v>
      </c>
      <c r="J46" s="379">
        <f>JRC_Data!AE30/0.9</f>
        <v>1.7222222222222223</v>
      </c>
      <c r="K46" s="379">
        <f>JRC_Data!AF30/0.9</f>
        <v>1.7777777777777779</v>
      </c>
      <c r="L46" s="49"/>
      <c r="M46" s="50"/>
      <c r="N46" s="50"/>
      <c r="O46" s="51"/>
      <c r="P46" s="251">
        <f>H46*0.7</f>
        <v>1.1666666666666665</v>
      </c>
      <c r="Q46" s="26">
        <f t="shared" ref="Q46" si="57">I46*0.7</f>
        <v>1.2055555555555555</v>
      </c>
      <c r="R46" s="26">
        <f t="shared" ref="R46" si="58">J46*0.7</f>
        <v>1.2055555555555555</v>
      </c>
      <c r="S46" s="59">
        <f t="shared" ref="S46" si="59">K46*0.7</f>
        <v>1.2444444444444445</v>
      </c>
      <c r="T46" s="27">
        <v>15</v>
      </c>
      <c r="U46" s="51"/>
      <c r="V46" s="251">
        <f>(JRC_Data!BB30/1000)*($U$195/$U$198)</f>
        <v>43.832046332046332</v>
      </c>
      <c r="W46" s="251">
        <f>(JRC_Data!BC30/1000)*($U$195/$U$198)</f>
        <v>43.832046332046332</v>
      </c>
      <c r="X46" s="251">
        <f>(JRC_Data!BD30/1000)*($U$195/$U$198)</f>
        <v>43.832046332046332</v>
      </c>
      <c r="Y46" s="251">
        <f>(JRC_Data!BE30/1000)*($U$195/$U$198)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6"/>
        <v>0.56764799999999993</v>
      </c>
      <c r="AH46" s="67"/>
      <c r="AI46" s="67">
        <v>2019</v>
      </c>
      <c r="AJ46" s="67">
        <v>18</v>
      </c>
      <c r="AL46" s="113"/>
      <c r="AM46" s="107" t="str">
        <f>C51</f>
        <v>R-SW_Apt_HET_N2</v>
      </c>
      <c r="AN46" s="107" t="str">
        <f>D51</f>
        <v>Residential District Heating Decentralized - SH + WH</v>
      </c>
      <c r="AO46" s="108" t="s">
        <v>13</v>
      </c>
      <c r="AP46" s="108" t="s">
        <v>180</v>
      </c>
      <c r="AQ46" s="108"/>
      <c r="AR46" s="108" t="s">
        <v>75</v>
      </c>
    </row>
    <row r="47" spans="3:45" ht="15" x14ac:dyDescent="0.25">
      <c r="C47" s="528" t="s">
        <v>278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9"/>
      <c r="AC47" s="529"/>
      <c r="AD47" s="529"/>
      <c r="AE47" s="529"/>
      <c r="AF47" s="529"/>
      <c r="AG47" s="33"/>
      <c r="AH47" s="34"/>
      <c r="AI47" s="34"/>
      <c r="AJ47" s="530"/>
      <c r="AL47" s="214"/>
      <c r="AM47" s="102" t="str">
        <f>C53</f>
        <v>R-WH_Apt_ELC_N1</v>
      </c>
      <c r="AN47" s="102" t="str">
        <f>D53</f>
        <v xml:space="preserve">Residential Electric Water Heater </v>
      </c>
      <c r="AO47" s="103" t="s">
        <v>13</v>
      </c>
      <c r="AP47" s="103" t="s">
        <v>180</v>
      </c>
      <c r="AQ47" s="103"/>
      <c r="AR47" s="103" t="s">
        <v>75</v>
      </c>
    </row>
    <row r="48" spans="3:45" ht="15.75" thickBot="1" x14ac:dyDescent="0.3">
      <c r="C48" s="95" t="str">
        <f>"R-SW_Apt"&amp;"_"&amp;RIGHT(E48,3)&amp;"_HHPN1"</f>
        <v>R-SW_Apt_GAS_HHPN1</v>
      </c>
      <c r="D48" s="79" t="s">
        <v>125</v>
      </c>
      <c r="E48" s="120" t="s">
        <v>700</v>
      </c>
      <c r="F48" s="120" t="s">
        <v>665</v>
      </c>
      <c r="G48" s="97" t="s">
        <v>714</v>
      </c>
      <c r="H48" s="378">
        <f>1*$AD$48+JRC_Data!AD18*(1.2-$AD$48)</f>
        <v>3.1549999999999998</v>
      </c>
      <c r="I48" s="378">
        <f>1*$AD$48+JRC_Data!AE18*(1.2-$AD$48)</f>
        <v>3.4950000000000001</v>
      </c>
      <c r="J48" s="378">
        <f>1*$AD$48+JRC_Data!AF18*(1.2-$AD$48)</f>
        <v>3.75</v>
      </c>
      <c r="K48" s="378">
        <f>1*$AD$48+JRC_Data!AG18*(1.2-$AD$48)</f>
        <v>3.75</v>
      </c>
      <c r="L48" s="49"/>
      <c r="M48" s="50"/>
      <c r="N48" s="50"/>
      <c r="O48" s="51"/>
      <c r="P48" s="251">
        <f>H48*0.7</f>
        <v>2.2084999999999999</v>
      </c>
      <c r="Q48" s="26">
        <f>I48*0.7</f>
        <v>2.4464999999999999</v>
      </c>
      <c r="R48" s="26">
        <f t="shared" ref="R48:S48" si="60">J48*0.7</f>
        <v>2.625</v>
      </c>
      <c r="S48" s="59">
        <f t="shared" si="60"/>
        <v>2.625</v>
      </c>
      <c r="T48" s="255">
        <v>20</v>
      </c>
      <c r="U48" s="256"/>
      <c r="V48" s="78">
        <f>(V26+V10)*0.8</f>
        <v>8.3046953586497896</v>
      </c>
      <c r="W48" s="78">
        <f>(W26+W10)*0.8</f>
        <v>7.7598479662447266</v>
      </c>
      <c r="X48" s="78">
        <f>(X26+X10)*0.8</f>
        <v>7.2640368391561196</v>
      </c>
      <c r="Y48" s="78">
        <f>(Y26+Y10)*0.8</f>
        <v>7.2150005738396636</v>
      </c>
      <c r="Z48" s="260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11"/>
      <c r="AM48" s="111" t="str">
        <f>C54</f>
        <v>R-WH_Apt_SOL_N1</v>
      </c>
      <c r="AN48" s="111" t="str">
        <f>D54</f>
        <v xml:space="preserve">Residential Solar Water Heater </v>
      </c>
      <c r="AO48" s="105" t="s">
        <v>13</v>
      </c>
      <c r="AP48" s="105" t="s">
        <v>180</v>
      </c>
      <c r="AQ48" s="105"/>
      <c r="AR48" s="105" t="s">
        <v>75</v>
      </c>
      <c r="AS48" s="4"/>
    </row>
    <row r="49" spans="3:45" ht="15" x14ac:dyDescent="0.25">
      <c r="C49" s="528" t="s">
        <v>279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525</v>
      </c>
      <c r="W49" s="33"/>
      <c r="X49" s="33"/>
      <c r="Y49" s="33"/>
      <c r="Z49" s="33"/>
      <c r="AA49" s="34"/>
      <c r="AB49" s="529"/>
      <c r="AC49" s="529"/>
      <c r="AD49" s="529"/>
      <c r="AE49" s="529"/>
      <c r="AF49" s="529"/>
      <c r="AG49" s="33"/>
      <c r="AH49" s="34"/>
      <c r="AI49" s="34"/>
      <c r="AJ49" s="530"/>
      <c r="AL49" s="2"/>
      <c r="AM49" s="104" t="str">
        <f>C56</f>
        <v>R-SC_Apt_ELC_N1</v>
      </c>
      <c r="AN49" s="104" t="str">
        <f>D56</f>
        <v>Room Residential Electric Air Conditioning</v>
      </c>
      <c r="AO49" s="103" t="s">
        <v>13</v>
      </c>
      <c r="AP49" s="103" t="s">
        <v>180</v>
      </c>
      <c r="AQ49" s="103"/>
      <c r="AR49" s="103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119</v>
      </c>
      <c r="E50" s="88" t="s">
        <v>262</v>
      </c>
      <c r="F50" s="88"/>
      <c r="G50" s="21" t="s">
        <v>714</v>
      </c>
      <c r="H50" s="245">
        <v>1</v>
      </c>
      <c r="I50" s="246">
        <v>1</v>
      </c>
      <c r="J50" s="246">
        <v>1</v>
      </c>
      <c r="K50" s="247">
        <v>1</v>
      </c>
      <c r="L50" s="46"/>
      <c r="M50" s="47"/>
      <c r="N50" s="47"/>
      <c r="O50" s="48"/>
      <c r="P50" s="245">
        <v>1</v>
      </c>
      <c r="Q50" s="246">
        <v>1</v>
      </c>
      <c r="R50" s="246">
        <v>1</v>
      </c>
      <c r="S50" s="247">
        <v>1</v>
      </c>
      <c r="T50" s="52">
        <v>20</v>
      </c>
      <c r="U50" s="48"/>
      <c r="V50" s="19">
        <f>(JRC_Data!BB62/1000)*($U$195/$U$193)</f>
        <v>2.6555555555555554</v>
      </c>
      <c r="W50" s="19">
        <f>(JRC_Data!BC62/1000)*($U$195/$U$193)</f>
        <v>2.6555555555555554</v>
      </c>
      <c r="X50" s="19">
        <f>(JRC_Data!BD62/1000)*($U$195/$U$193)</f>
        <v>2.6555555555555554</v>
      </c>
      <c r="Y50" s="19">
        <f>(JRC_Data!BE62/1000)*($U$195/$U$193)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61">31.536*(AJ50/1000)</f>
        <v>0.56764799999999993</v>
      </c>
      <c r="AH50" s="87"/>
      <c r="AI50" s="87">
        <v>2019</v>
      </c>
      <c r="AJ50" s="87">
        <v>18</v>
      </c>
      <c r="AM50" s="104" t="str">
        <f>C57</f>
        <v>R-SC_Apt_ELC_N2</v>
      </c>
      <c r="AN50" s="104" t="str">
        <f>D57</f>
        <v>Centralized Residential Electric Air Conditioning</v>
      </c>
      <c r="AO50" s="105" t="s">
        <v>13</v>
      </c>
      <c r="AP50" s="105" t="s">
        <v>180</v>
      </c>
      <c r="AQ50" s="105"/>
      <c r="AR50" s="105" t="s">
        <v>75</v>
      </c>
    </row>
    <row r="51" spans="3:45" x14ac:dyDescent="0.2">
      <c r="C51" s="251" t="str">
        <f>"R-SW_Apt"&amp;"_"&amp;RIGHT(E51,3)&amp;"_N2"</f>
        <v>R-SW_Apt_HET_N2</v>
      </c>
      <c r="D51" s="26" t="s">
        <v>120</v>
      </c>
      <c r="E51" s="27" t="s">
        <v>262</v>
      </c>
      <c r="F51" s="27"/>
      <c r="G51" s="28" t="s">
        <v>714</v>
      </c>
      <c r="H51" s="252">
        <v>1</v>
      </c>
      <c r="I51" s="253">
        <v>1</v>
      </c>
      <c r="J51" s="253">
        <v>1</v>
      </c>
      <c r="K51" s="254">
        <v>1</v>
      </c>
      <c r="L51" s="49"/>
      <c r="M51" s="50"/>
      <c r="N51" s="50"/>
      <c r="O51" s="51"/>
      <c r="P51" s="252">
        <v>1</v>
      </c>
      <c r="Q51" s="253">
        <v>1</v>
      </c>
      <c r="R51" s="253">
        <v>1</v>
      </c>
      <c r="S51" s="254">
        <v>1</v>
      </c>
      <c r="T51" s="55">
        <v>20</v>
      </c>
      <c r="U51" s="51"/>
      <c r="V51" s="251">
        <f>(JRC_Data!BB62/1000)*($U$195/$U$193)</f>
        <v>2.6555555555555554</v>
      </c>
      <c r="W51" s="251">
        <f>(JRC_Data!BC62/1000)*($U$195/$U$193)</f>
        <v>2.6555555555555554</v>
      </c>
      <c r="X51" s="251">
        <f>(JRC_Data!BD62/1000)*($U$195/$U$193)</f>
        <v>2.6555555555555554</v>
      </c>
      <c r="Y51" s="251">
        <f>(JRC_Data!BE62/1000)*($U$195/$U$193)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61"/>
        <v>0.56764799999999993</v>
      </c>
      <c r="AH51" s="67"/>
      <c r="AI51" s="67">
        <v>2019</v>
      </c>
      <c r="AJ51" s="67">
        <v>18</v>
      </c>
    </row>
    <row r="52" spans="3:45" x14ac:dyDescent="0.2">
      <c r="C52" s="528" t="s">
        <v>280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9"/>
      <c r="AC52" s="529"/>
      <c r="AD52" s="529"/>
      <c r="AE52" s="529"/>
      <c r="AF52" s="529"/>
      <c r="AG52" s="33"/>
      <c r="AH52" s="34"/>
      <c r="AI52" s="34"/>
      <c r="AJ52" s="530"/>
    </row>
    <row r="53" spans="3:45" x14ac:dyDescent="0.2">
      <c r="C53" s="40" t="str">
        <f>"R-WH_Apt"&amp;"_"&amp;RIGHT(E53,3)&amp;"_N1"</f>
        <v>R-WH_Apt_ELC_N1</v>
      </c>
      <c r="D53" s="20" t="s">
        <v>122</v>
      </c>
      <c r="E53" s="88" t="s">
        <v>153</v>
      </c>
      <c r="F53" s="88"/>
      <c r="G53" s="20" t="s">
        <v>134</v>
      </c>
      <c r="H53" s="46"/>
      <c r="I53" s="47"/>
      <c r="J53" s="47"/>
      <c r="K53" s="48"/>
      <c r="L53" s="46"/>
      <c r="M53" s="47"/>
      <c r="N53" s="47"/>
      <c r="O53" s="48"/>
      <c r="P53" s="245">
        <v>1</v>
      </c>
      <c r="Q53" s="246">
        <v>1</v>
      </c>
      <c r="R53" s="246">
        <v>1</v>
      </c>
      <c r="S53" s="247">
        <v>1</v>
      </c>
      <c r="T53" s="52">
        <v>30</v>
      </c>
      <c r="U53" s="48"/>
      <c r="V53" s="20">
        <f>(JRC_Data!BB48/1000)*($U$190/$U$191)</f>
        <v>3.6878868563919918</v>
      </c>
      <c r="W53" s="20">
        <f>(JRC_Data!BC48/1000)*($U$190/$U$191)</f>
        <v>3.6878868563919918</v>
      </c>
      <c r="X53" s="20">
        <f>(JRC_Data!BD48/1000)*($U$190/$U$191)</f>
        <v>3.6878868563919918</v>
      </c>
      <c r="Y53" s="20">
        <f>(JRC_Data!BE48/1000)*($U$190/$U$191)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62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123</v>
      </c>
      <c r="E54" s="24" t="s">
        <v>271</v>
      </c>
      <c r="F54" s="24"/>
      <c r="G54" s="23" t="s">
        <v>134</v>
      </c>
      <c r="H54" s="44"/>
      <c r="I54" s="32"/>
      <c r="J54" s="32"/>
      <c r="K54" s="45"/>
      <c r="L54" s="44"/>
      <c r="M54" s="32"/>
      <c r="N54" s="32"/>
      <c r="O54" s="45"/>
      <c r="P54" s="242">
        <v>1</v>
      </c>
      <c r="Q54" s="243">
        <v>1</v>
      </c>
      <c r="R54" s="243">
        <v>1</v>
      </c>
      <c r="S54" s="244">
        <v>1</v>
      </c>
      <c r="T54" s="53">
        <v>25</v>
      </c>
      <c r="U54" s="57">
        <v>30</v>
      </c>
      <c r="V54" s="23">
        <f>(JRC_Data!BB45/1000)*($U$190/$U$191)</f>
        <v>4.9786472561291895</v>
      </c>
      <c r="W54" s="23">
        <f>(JRC_Data!BC45/1000)*($U$190/$U$191)</f>
        <v>4.7020557418997893</v>
      </c>
      <c r="X54" s="23">
        <f>(JRC_Data!BD45/1000)*($U$190/$U$191)</f>
        <v>4.2410698848507904</v>
      </c>
      <c r="Y54" s="23">
        <f>(JRC_Data!BE45/1000)*($U$190/$U$191)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62"/>
        <v>0.15768000000000001</v>
      </c>
      <c r="AH54" s="66"/>
      <c r="AI54" s="66">
        <v>2019</v>
      </c>
      <c r="AJ54" s="66">
        <v>5</v>
      </c>
    </row>
    <row r="55" spans="3:45" x14ac:dyDescent="0.2">
      <c r="C55" s="528" t="s">
        <v>281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9"/>
      <c r="AC55" s="529"/>
      <c r="AD55" s="529"/>
      <c r="AE55" s="529"/>
      <c r="AF55" s="529"/>
      <c r="AG55" s="33"/>
      <c r="AH55" s="34"/>
      <c r="AI55" s="34"/>
      <c r="AJ55" s="530"/>
    </row>
    <row r="56" spans="3:45" x14ac:dyDescent="0.2">
      <c r="C56" s="19" t="str">
        <f>"R-SC_Apt"&amp;"_"&amp;RIGHT(E56,3)&amp;"_N1"</f>
        <v>R-SC_Apt_ELC_N1</v>
      </c>
      <c r="D56" s="20" t="s">
        <v>527</v>
      </c>
      <c r="E56" s="88" t="s">
        <v>153</v>
      </c>
      <c r="F56" s="88"/>
      <c r="G56" s="21" t="s">
        <v>133</v>
      </c>
      <c r="H56" s="245"/>
      <c r="I56" s="246"/>
      <c r="J56" s="246"/>
      <c r="K56" s="247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5"/>
      <c r="Q56" s="246"/>
      <c r="R56" s="246"/>
      <c r="S56" s="247"/>
      <c r="T56" s="52">
        <v>20</v>
      </c>
      <c r="U56" s="48"/>
      <c r="V56" s="19">
        <f>(JRC_Data!BB16/1000)*($U$191/$U$197)</f>
        <v>1.8396671215443359</v>
      </c>
      <c r="W56" s="19">
        <f>(JRC_Data!BC16/1000)*($U$191/$U$197)</f>
        <v>1.756045888746866</v>
      </c>
      <c r="X56" s="19">
        <f>(JRC_Data!BD16/1000)*($U$191/$U$197)</f>
        <v>1.5888034231519261</v>
      </c>
      <c r="Y56" s="19">
        <f>(JRC_Data!BE16/1000)*($U$191/$U$197)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63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51" t="str">
        <f>"R-SC_Apt"&amp;"_"&amp;RIGHT(E57,3)&amp;"_N2"</f>
        <v>R-SC_Apt_ELC_N2</v>
      </c>
      <c r="D57" s="26" t="s">
        <v>528</v>
      </c>
      <c r="E57" s="27" t="s">
        <v>153</v>
      </c>
      <c r="F57" s="27"/>
      <c r="G57" s="28" t="s">
        <v>133</v>
      </c>
      <c r="H57" s="252"/>
      <c r="I57" s="253"/>
      <c r="J57" s="253"/>
      <c r="K57" s="254"/>
      <c r="L57" s="251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52"/>
      <c r="Q57" s="253"/>
      <c r="R57" s="253"/>
      <c r="S57" s="254"/>
      <c r="T57" s="55">
        <v>20</v>
      </c>
      <c r="U57" s="51"/>
      <c r="V57" s="251">
        <f>(JRC_Data!BB26/1000)</f>
        <v>1.875</v>
      </c>
      <c r="W57" s="251">
        <f>(JRC_Data!BC26/1000)</f>
        <v>1.78125</v>
      </c>
      <c r="X57" s="251">
        <f>(JRC_Data!BD26/1000)</f>
        <v>1.59375</v>
      </c>
      <c r="Y57" s="251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63"/>
        <v>0.15768000000000001</v>
      </c>
      <c r="AH57" s="67"/>
      <c r="AI57" s="67">
        <v>2019</v>
      </c>
      <c r="AJ57" s="67">
        <v>5</v>
      </c>
      <c r="AL57" s="483" t="s">
        <v>648</v>
      </c>
      <c r="AM57" s="484"/>
      <c r="AN57" s="484"/>
      <c r="AO57" s="484"/>
      <c r="AP57" s="484"/>
      <c r="AQ57" s="484"/>
      <c r="AR57" s="484"/>
      <c r="AS57" s="485"/>
    </row>
    <row r="58" spans="3:45" ht="15.75" thickBot="1" x14ac:dyDescent="0.25">
      <c r="AL58" s="127" t="s">
        <v>649</v>
      </c>
      <c r="AM58" s="127" t="s">
        <v>650</v>
      </c>
      <c r="AN58" s="127" t="s">
        <v>651</v>
      </c>
      <c r="AO58" s="127" t="s">
        <v>652</v>
      </c>
      <c r="AP58" s="127" t="s">
        <v>653</v>
      </c>
      <c r="AQ58" s="127" t="s">
        <v>654</v>
      </c>
      <c r="AR58" s="127" t="s">
        <v>655</v>
      </c>
      <c r="AS58" s="127" t="s">
        <v>656</v>
      </c>
    </row>
    <row r="59" spans="3:45" ht="48.75" thickBot="1" x14ac:dyDescent="0.25">
      <c r="AL59" s="486" t="s">
        <v>657</v>
      </c>
      <c r="AM59" s="486" t="s">
        <v>658</v>
      </c>
      <c r="AN59" s="486" t="s">
        <v>659</v>
      </c>
      <c r="AO59" s="487" t="s">
        <v>652</v>
      </c>
      <c r="AP59" s="487" t="s">
        <v>660</v>
      </c>
      <c r="AQ59" s="487" t="s">
        <v>661</v>
      </c>
      <c r="AR59" s="487" t="s">
        <v>662</v>
      </c>
      <c r="AS59" s="487" t="s">
        <v>663</v>
      </c>
    </row>
    <row r="60" spans="3:45" x14ac:dyDescent="0.2">
      <c r="H60" s="5" t="s">
        <v>19</v>
      </c>
      <c r="AL60" s="488" t="str">
        <f>AJ60&amp;"NRG"</f>
        <v>NRG</v>
      </c>
      <c r="AM60" s="488" t="s">
        <v>664</v>
      </c>
      <c r="AN60" s="488" t="s">
        <v>754</v>
      </c>
      <c r="AO60" s="489" t="s">
        <v>13</v>
      </c>
      <c r="AP60" s="488" t="s">
        <v>455</v>
      </c>
      <c r="AQ60" s="488"/>
      <c r="AR60" s="488" t="s">
        <v>455</v>
      </c>
      <c r="AS60" s="488" t="s">
        <v>455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561</v>
      </c>
      <c r="G61" s="14" t="s">
        <v>24</v>
      </c>
      <c r="H61" s="17" t="s">
        <v>734</v>
      </c>
      <c r="I61" s="17" t="s">
        <v>735</v>
      </c>
      <c r="J61" s="17" t="s">
        <v>736</v>
      </c>
      <c r="K61" s="17" t="s">
        <v>737</v>
      </c>
      <c r="L61" s="17" t="s">
        <v>231</v>
      </c>
      <c r="M61" s="17" t="s">
        <v>232</v>
      </c>
      <c r="N61" s="17" t="s">
        <v>233</v>
      </c>
      <c r="O61" s="17" t="s">
        <v>234</v>
      </c>
      <c r="P61" s="17" t="s">
        <v>235</v>
      </c>
      <c r="Q61" s="17" t="s">
        <v>236</v>
      </c>
      <c r="R61" s="17" t="s">
        <v>237</v>
      </c>
      <c r="S61" s="17" t="s">
        <v>238</v>
      </c>
      <c r="T61" s="18" t="s">
        <v>26</v>
      </c>
      <c r="U61" s="18" t="s">
        <v>76</v>
      </c>
      <c r="V61" s="17" t="s">
        <v>241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285</v>
      </c>
      <c r="AC61" s="17" t="s">
        <v>286</v>
      </c>
      <c r="AD61" s="17" t="s">
        <v>287</v>
      </c>
      <c r="AE61" s="17" t="s">
        <v>698</v>
      </c>
      <c r="AF61" s="17" t="s">
        <v>243</v>
      </c>
      <c r="AG61" s="17" t="s">
        <v>77</v>
      </c>
      <c r="AH61" s="17" t="s">
        <v>272</v>
      </c>
      <c r="AI61" s="17" t="s">
        <v>78</v>
      </c>
      <c r="AJ61" s="17" t="s">
        <v>559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562</v>
      </c>
      <c r="G62" s="16" t="s">
        <v>81</v>
      </c>
      <c r="H62" s="572" t="s">
        <v>82</v>
      </c>
      <c r="I62" s="573"/>
      <c r="J62" s="573"/>
      <c r="K62" s="574"/>
      <c r="L62" s="572" t="s">
        <v>83</v>
      </c>
      <c r="M62" s="573"/>
      <c r="N62" s="573"/>
      <c r="O62" s="574"/>
      <c r="P62" s="572" t="s">
        <v>84</v>
      </c>
      <c r="Q62" s="573"/>
      <c r="R62" s="573"/>
      <c r="S62" s="574"/>
      <c r="T62" s="572" t="s">
        <v>85</v>
      </c>
      <c r="U62" s="574"/>
      <c r="V62" s="566" t="s">
        <v>86</v>
      </c>
      <c r="W62" s="567"/>
      <c r="X62" s="567"/>
      <c r="Y62" s="568"/>
      <c r="Z62" s="60"/>
      <c r="AA62" s="60"/>
      <c r="AB62" s="68" t="s">
        <v>212</v>
      </c>
      <c r="AC62" s="70" t="s">
        <v>212</v>
      </c>
      <c r="AD62" s="70" t="s">
        <v>212</v>
      </c>
      <c r="AE62" s="70" t="s">
        <v>212</v>
      </c>
      <c r="AF62" s="70" t="s">
        <v>242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284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71"/>
      <c r="U63" s="371"/>
      <c r="V63" s="371"/>
      <c r="W63" s="371"/>
      <c r="X63" s="371"/>
      <c r="Y63" s="371"/>
      <c r="Z63" s="371"/>
      <c r="AA63" s="371"/>
      <c r="AB63" s="371"/>
      <c r="AC63" s="371"/>
      <c r="AD63" s="371"/>
      <c r="AE63" s="371"/>
      <c r="AF63" s="371"/>
      <c r="AG63" s="371"/>
      <c r="AH63" s="371"/>
      <c r="AI63" s="371"/>
      <c r="AJ63" s="371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33.75" x14ac:dyDescent="0.2">
      <c r="C64" s="37" t="s">
        <v>274</v>
      </c>
      <c r="D64" s="38"/>
      <c r="E64" s="38"/>
      <c r="F64" s="38"/>
      <c r="G64" s="39"/>
      <c r="H64" s="569" t="s">
        <v>34</v>
      </c>
      <c r="I64" s="570"/>
      <c r="J64" s="570"/>
      <c r="K64" s="571"/>
      <c r="L64" s="570" t="s">
        <v>34</v>
      </c>
      <c r="M64" s="570"/>
      <c r="N64" s="570"/>
      <c r="O64" s="571"/>
      <c r="P64" s="569" t="s">
        <v>34</v>
      </c>
      <c r="Q64" s="570"/>
      <c r="R64" s="570"/>
      <c r="S64" s="571"/>
      <c r="T64" s="575" t="s">
        <v>68</v>
      </c>
      <c r="U64" s="576"/>
      <c r="V64" s="575" t="s">
        <v>508</v>
      </c>
      <c r="W64" s="577"/>
      <c r="X64" s="577"/>
      <c r="Y64" s="576"/>
      <c r="Z64" s="372" t="s">
        <v>520</v>
      </c>
      <c r="AA64" s="372" t="s">
        <v>93</v>
      </c>
      <c r="AB64" s="373" t="s">
        <v>34</v>
      </c>
      <c r="AC64" s="372" t="s">
        <v>34</v>
      </c>
      <c r="AD64" s="372" t="s">
        <v>34</v>
      </c>
      <c r="AE64" s="372"/>
      <c r="AF64" s="372"/>
      <c r="AG64" s="374" t="s">
        <v>288</v>
      </c>
      <c r="AH64" s="372" t="s">
        <v>34</v>
      </c>
      <c r="AI64" s="372" t="s">
        <v>94</v>
      </c>
      <c r="AJ64" s="372" t="s">
        <v>560</v>
      </c>
      <c r="AL64" s="210" t="s">
        <v>69</v>
      </c>
      <c r="AM64" s="210" t="s">
        <v>70</v>
      </c>
      <c r="AN64" s="210" t="s">
        <v>33</v>
      </c>
      <c r="AO64" s="210" t="s">
        <v>71</v>
      </c>
      <c r="AP64" s="210" t="s">
        <v>72</v>
      </c>
      <c r="AQ64" s="210" t="s">
        <v>73</v>
      </c>
      <c r="AR64" s="210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264</v>
      </c>
      <c r="F65" s="88"/>
      <c r="G65" s="514" t="s">
        <v>726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8">
        <f>V69*1.3</f>
        <v>4.2250000000000005</v>
      </c>
      <c r="W65" s="378">
        <f t="shared" ref="W65:Y65" si="64">W69*1.3</f>
        <v>4.2250000000000005</v>
      </c>
      <c r="X65" s="378">
        <f t="shared" si="64"/>
        <v>4.2250000000000005</v>
      </c>
      <c r="Y65" s="378">
        <f t="shared" si="64"/>
        <v>4.2250000000000005</v>
      </c>
      <c r="Z65" s="378">
        <v>0.12</v>
      </c>
      <c r="AA65" s="65"/>
      <c r="AB65" s="42"/>
      <c r="AC65" s="71"/>
      <c r="AD65" s="71"/>
      <c r="AE65" s="71"/>
      <c r="AF65" s="71"/>
      <c r="AG65" s="62">
        <f t="shared" ref="AG65:AG128" si="65">31.536*(AJ65/1000)</f>
        <v>0.63072000000000006</v>
      </c>
      <c r="AH65" s="65"/>
      <c r="AI65" s="65">
        <v>2019</v>
      </c>
      <c r="AJ65" s="65">
        <v>20</v>
      </c>
      <c r="AL65" s="105" t="s">
        <v>31</v>
      </c>
      <c r="AM65" s="104" t="str">
        <f t="shared" ref="AM65:AM76" si="66">C65</f>
        <v>R-SH_Att_KER_N1</v>
      </c>
      <c r="AN65" s="104" t="str">
        <f t="shared" ref="AN65:AN76" si="67">D65</f>
        <v>Residential Kerosene Heating Oil - New 1 SH</v>
      </c>
      <c r="AO65" s="105" t="s">
        <v>13</v>
      </c>
      <c r="AP65" s="105" t="s">
        <v>180</v>
      </c>
      <c r="AQ65" s="105"/>
      <c r="AR65" s="105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264</v>
      </c>
      <c r="F66" s="24"/>
      <c r="G66" s="57" t="s">
        <v>727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68">I66*0.7</f>
        <v>0.7</v>
      </c>
      <c r="R66" s="23">
        <f t="shared" ref="R66:R68" si="69">J66*0.7</f>
        <v>0.7</v>
      </c>
      <c r="S66" s="57">
        <f t="shared" ref="S66:S68" si="70">K66*0.7</f>
        <v>0.7</v>
      </c>
      <c r="T66" s="53">
        <v>20</v>
      </c>
      <c r="U66" s="25"/>
      <c r="V66" s="379">
        <f>V70*1.3</f>
        <v>4.2773760330578519</v>
      </c>
      <c r="W66" s="379">
        <f t="shared" ref="W66:Y66" si="71">W70*1.3</f>
        <v>4.2773760330578519</v>
      </c>
      <c r="X66" s="379">
        <f t="shared" si="71"/>
        <v>4.2773760330578519</v>
      </c>
      <c r="Y66" s="379">
        <f t="shared" si="71"/>
        <v>4.2773760330578519</v>
      </c>
      <c r="Z66" s="379">
        <v>0.12</v>
      </c>
      <c r="AA66" s="66"/>
      <c r="AB66" s="44"/>
      <c r="AC66" s="72"/>
      <c r="AD66" s="72"/>
      <c r="AE66" s="72"/>
      <c r="AF66" s="72"/>
      <c r="AG66" s="63">
        <f t="shared" si="65"/>
        <v>0.7884000000000001</v>
      </c>
      <c r="AH66" s="66"/>
      <c r="AI66" s="66">
        <v>2019</v>
      </c>
      <c r="AJ66" s="66">
        <v>25</v>
      </c>
      <c r="AL66" s="105"/>
      <c r="AM66" s="104" t="str">
        <f t="shared" si="66"/>
        <v>R-SW_Att_KER_N1</v>
      </c>
      <c r="AN66" s="104" t="str">
        <f t="shared" si="67"/>
        <v>Residential Kerosene Heating Oil - New 2 SH + WH</v>
      </c>
      <c r="AO66" s="105" t="s">
        <v>13</v>
      </c>
      <c r="AP66" s="105" t="s">
        <v>180</v>
      </c>
      <c r="AQ66" s="105"/>
      <c r="AR66" s="105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266</v>
      </c>
      <c r="F67" s="30"/>
      <c r="G67" s="58" t="s">
        <v>727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68"/>
        <v>0.7</v>
      </c>
      <c r="R67" s="29">
        <f t="shared" si="69"/>
        <v>0.7</v>
      </c>
      <c r="S67" s="58">
        <f t="shared" si="70"/>
        <v>0.7</v>
      </c>
      <c r="T67" s="54">
        <v>20</v>
      </c>
      <c r="U67" s="41"/>
      <c r="V67" s="62">
        <f>((JRC_Data!BB7+JRC_Data!BB45)*0.8/1000)*$U$197</f>
        <v>9.0810810810810807</v>
      </c>
      <c r="W67" s="62">
        <f>((JRC_Data!BC7+JRC_Data!BC45)*0.8/1000)*$U$197</f>
        <v>8.8540540540540533</v>
      </c>
      <c r="X67" s="62">
        <f>((JRC_Data!BD7+JRC_Data!BD45)*0.8/1000)*$U$197</f>
        <v>8.4756756756756761</v>
      </c>
      <c r="Y67" s="62">
        <f>((JRC_Data!BE7+JRC_Data!BE45)*0.8/1000)*$U$197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5">
        <v>5</v>
      </c>
      <c r="AG67" s="62">
        <f t="shared" si="65"/>
        <v>0.7884000000000001</v>
      </c>
      <c r="AH67" s="65"/>
      <c r="AI67" s="65">
        <v>2019</v>
      </c>
      <c r="AJ67" s="65">
        <v>25</v>
      </c>
      <c r="AL67" s="105"/>
      <c r="AM67" s="104" t="str">
        <f t="shared" si="66"/>
        <v>R-SW_Att_KER_N2</v>
      </c>
      <c r="AN67" s="104" t="str">
        <f t="shared" si="67"/>
        <v>Residential Kerosene Heating Oil - New 3 SH+WH + Solar</v>
      </c>
      <c r="AO67" s="105" t="s">
        <v>13</v>
      </c>
      <c r="AP67" s="105" t="s">
        <v>180</v>
      </c>
      <c r="AQ67" s="105"/>
      <c r="AR67" s="105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267</v>
      </c>
      <c r="F68" s="24"/>
      <c r="G68" s="57" t="s">
        <v>727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68"/>
        <v>0.71749999999999992</v>
      </c>
      <c r="R68" s="23">
        <f t="shared" si="69"/>
        <v>0.71749999999999992</v>
      </c>
      <c r="S68" s="57">
        <f t="shared" si="70"/>
        <v>0.71749999999999992</v>
      </c>
      <c r="T68" s="53">
        <v>20</v>
      </c>
      <c r="U68" s="25"/>
      <c r="V68" s="63">
        <f>((JRC_Data!BB7+JRC_Data!BB11)*0.8/1000)*$U$197</f>
        <v>10.102702702702702</v>
      </c>
      <c r="W68" s="63">
        <f>((JRC_Data!BC7+JRC_Data!BC11)*0.8/1000)*$U$197</f>
        <v>10.102702702702702</v>
      </c>
      <c r="X68" s="63">
        <f>((JRC_Data!BD7+JRC_Data!BD11)*0.8/1000)*$U$197</f>
        <v>10.670270270270269</v>
      </c>
      <c r="Y68" s="63">
        <f>((JRC_Data!BE7+JRC_Data!BE11)*0.8/1000)*$U$197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5"/>
      <c r="AM68" s="104" t="str">
        <f t="shared" si="66"/>
        <v>R-SW_Att_KER_N3</v>
      </c>
      <c r="AN68" s="104" t="str">
        <f t="shared" si="67"/>
        <v>Residential Kerosene Heating Oil - New 3 SH+WH + Wood Stove</v>
      </c>
      <c r="AO68" s="106" t="s">
        <v>13</v>
      </c>
      <c r="AP68" s="106" t="s">
        <v>180</v>
      </c>
      <c r="AQ68" s="105"/>
      <c r="AR68" s="105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699</v>
      </c>
      <c r="F69" s="30"/>
      <c r="G69" s="58" t="s">
        <v>726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8">
        <f>3.25</f>
        <v>3.25</v>
      </c>
      <c r="W69" s="378">
        <f t="shared" ref="W69:Y69" si="72">3.25</f>
        <v>3.25</v>
      </c>
      <c r="X69" s="378">
        <f t="shared" si="72"/>
        <v>3.25</v>
      </c>
      <c r="Y69" s="378">
        <f t="shared" si="72"/>
        <v>3.25</v>
      </c>
      <c r="Z69" s="378">
        <v>0.12</v>
      </c>
      <c r="AA69" s="65"/>
      <c r="AB69" s="42"/>
      <c r="AC69" s="71"/>
      <c r="AD69" s="71"/>
      <c r="AE69" s="71"/>
      <c r="AF69" s="71"/>
      <c r="AG69" s="62">
        <f t="shared" si="65"/>
        <v>0.63072000000000006</v>
      </c>
      <c r="AH69" s="65"/>
      <c r="AI69" s="65">
        <v>2019</v>
      </c>
      <c r="AJ69" s="65">
        <v>20</v>
      </c>
      <c r="AL69" s="105"/>
      <c r="AM69" s="104" t="str">
        <f t="shared" si="66"/>
        <v>R-SH_Att_GAS_N1</v>
      </c>
      <c r="AN69" s="104" t="str">
        <f t="shared" si="67"/>
        <v>Residential Natural Gas Heating - New 1 SH</v>
      </c>
      <c r="AO69" s="105" t="s">
        <v>13</v>
      </c>
      <c r="AP69" s="105" t="s">
        <v>180</v>
      </c>
      <c r="AQ69" s="105"/>
      <c r="AR69" s="105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699</v>
      </c>
      <c r="F70" s="24"/>
      <c r="G70" s="57" t="s">
        <v>727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73">I70*0.7</f>
        <v>0.7</v>
      </c>
      <c r="R70" s="23">
        <f t="shared" ref="R70:R72" si="74">J70*0.7</f>
        <v>0.7</v>
      </c>
      <c r="S70" s="57">
        <f t="shared" ref="S70:S72" si="75">K70*0.7</f>
        <v>0.7</v>
      </c>
      <c r="T70" s="53">
        <v>20</v>
      </c>
      <c r="U70" s="25"/>
      <c r="V70" s="379">
        <f>V69*($U$197/$U$196)</f>
        <v>3.2902892561983474</v>
      </c>
      <c r="W70" s="379">
        <f>W69*($U$197/$U$196)</f>
        <v>3.2902892561983474</v>
      </c>
      <c r="X70" s="379">
        <f>X69*($U$197/$U$196)</f>
        <v>3.2902892561983474</v>
      </c>
      <c r="Y70" s="379">
        <f>Y69*($U$197/$U$196)</f>
        <v>3.2902892561983474</v>
      </c>
      <c r="Z70" s="379">
        <v>0.12</v>
      </c>
      <c r="AA70" s="66"/>
      <c r="AB70" s="44"/>
      <c r="AC70" s="72"/>
      <c r="AD70" s="72"/>
      <c r="AE70" s="72"/>
      <c r="AF70" s="72"/>
      <c r="AG70" s="63">
        <f t="shared" si="65"/>
        <v>0.7884000000000001</v>
      </c>
      <c r="AH70" s="66"/>
      <c r="AI70" s="66">
        <v>2019</v>
      </c>
      <c r="AJ70" s="66">
        <v>25</v>
      </c>
      <c r="AL70" s="105"/>
      <c r="AM70" s="104" t="str">
        <f t="shared" si="66"/>
        <v>R-SW_Att_GAS_N1</v>
      </c>
      <c r="AN70" s="104" t="str">
        <f t="shared" si="67"/>
        <v>Residential Natural Gas Heating - New 2 SH + WH</v>
      </c>
      <c r="AO70" s="105" t="s">
        <v>13</v>
      </c>
      <c r="AP70" s="105" t="s">
        <v>180</v>
      </c>
      <c r="AQ70" s="105"/>
      <c r="AR70" s="105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701</v>
      </c>
      <c r="F71" s="30"/>
      <c r="G71" s="58" t="s">
        <v>727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73"/>
        <v>0.7</v>
      </c>
      <c r="R71" s="29">
        <f t="shared" si="74"/>
        <v>0.7</v>
      </c>
      <c r="S71" s="58">
        <f t="shared" si="75"/>
        <v>0.7</v>
      </c>
      <c r="T71" s="54">
        <v>20</v>
      </c>
      <c r="U71" s="41"/>
      <c r="V71" s="378">
        <v>12.75</v>
      </c>
      <c r="W71" s="378">
        <f>V71*0.9685</f>
        <v>12.348375000000001</v>
      </c>
      <c r="X71" s="378">
        <f>V71*0.916</f>
        <v>11.679</v>
      </c>
      <c r="Y71" s="378">
        <f>V71*0.812</f>
        <v>10.353000000000002</v>
      </c>
      <c r="Z71" s="378">
        <v>0.19</v>
      </c>
      <c r="AA71" s="65"/>
      <c r="AB71" s="42">
        <v>0.25</v>
      </c>
      <c r="AC71" s="71"/>
      <c r="AD71" s="71"/>
      <c r="AE71" s="71"/>
      <c r="AF71" s="215">
        <v>5</v>
      </c>
      <c r="AG71" s="62">
        <f t="shared" si="65"/>
        <v>0.7884000000000001</v>
      </c>
      <c r="AH71" s="65"/>
      <c r="AI71" s="65">
        <v>2019</v>
      </c>
      <c r="AJ71" s="65">
        <v>25</v>
      </c>
      <c r="AL71" s="105"/>
      <c r="AM71" s="104" t="str">
        <f t="shared" si="66"/>
        <v>R-SW_Att_GAS_N2</v>
      </c>
      <c r="AN71" s="104" t="str">
        <f t="shared" si="67"/>
        <v>Residential Natural Gas Heating - New 3 SH + WH + Solar</v>
      </c>
      <c r="AO71" s="105" t="s">
        <v>13</v>
      </c>
      <c r="AP71" s="105" t="s">
        <v>180</v>
      </c>
      <c r="AQ71" s="105"/>
      <c r="AR71" s="105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702</v>
      </c>
      <c r="F72" s="24"/>
      <c r="G72" s="57" t="s">
        <v>727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73"/>
        <v>0.71749999999999992</v>
      </c>
      <c r="R72" s="23">
        <f t="shared" si="74"/>
        <v>0.71749999999999992</v>
      </c>
      <c r="S72" s="57">
        <f t="shared" si="75"/>
        <v>0.71749999999999992</v>
      </c>
      <c r="T72" s="53">
        <v>20</v>
      </c>
      <c r="U72" s="25"/>
      <c r="V72" s="63">
        <f>((JRC_Data!BB9+JRC_Data!BB11)*0.8/1000)*($U$197/$U$196)</f>
        <v>8.7066115702479348</v>
      </c>
      <c r="W72" s="63">
        <f>((JRC_Data!BC9+JRC_Data!BC11)*0.8/1000)*($U$197/$U$196)</f>
        <v>8.7066115702479348</v>
      </c>
      <c r="X72" s="63">
        <f>((JRC_Data!BD9+JRC_Data!BD11)*0.8/1000)*($U$197/$U$196)</f>
        <v>9.3140495867768589</v>
      </c>
      <c r="Y72" s="63">
        <f>((JRC_Data!BE9+JRC_Data!BE11)*0.8/1000)*($U$197/$U$196)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5"/>
        <v>0.7884000000000001</v>
      </c>
      <c r="AH72" s="66"/>
      <c r="AI72" s="66">
        <v>2019</v>
      </c>
      <c r="AJ72" s="66">
        <v>25</v>
      </c>
      <c r="AL72" s="105"/>
      <c r="AM72" s="104" t="str">
        <f t="shared" si="66"/>
        <v>R-SW_Att_GAS_N3</v>
      </c>
      <c r="AN72" s="104" t="str">
        <f t="shared" si="67"/>
        <v>Residential Natural Gas Heating - New 4 SH + WH + Wood Stove</v>
      </c>
      <c r="AO72" s="105" t="s">
        <v>13</v>
      </c>
      <c r="AP72" s="105" t="s">
        <v>180</v>
      </c>
      <c r="AQ72" s="105"/>
      <c r="AR72" s="105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265</v>
      </c>
      <c r="F73" s="30"/>
      <c r="G73" s="58" t="s">
        <v>726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8">
        <f>SUM(V69+0.3)</f>
        <v>3.55</v>
      </c>
      <c r="W73" s="378">
        <f>SUM(W69+0.3)</f>
        <v>3.55</v>
      </c>
      <c r="X73" s="378">
        <f>SUM(X69+0.3)</f>
        <v>3.55</v>
      </c>
      <c r="Y73" s="378">
        <f>SUM(Y69+0.3)</f>
        <v>3.55</v>
      </c>
      <c r="Z73" s="378">
        <f>SUM(0.12+0.15)</f>
        <v>0.27</v>
      </c>
      <c r="AA73" s="65"/>
      <c r="AB73" s="42"/>
      <c r="AC73" s="71"/>
      <c r="AD73" s="71"/>
      <c r="AE73" s="71"/>
      <c r="AF73" s="71"/>
      <c r="AG73" s="62">
        <f t="shared" si="65"/>
        <v>0.63072000000000006</v>
      </c>
      <c r="AH73" s="65"/>
      <c r="AI73" s="65">
        <v>2019</v>
      </c>
      <c r="AJ73" s="65">
        <v>20</v>
      </c>
      <c r="AL73" s="105"/>
      <c r="AM73" s="104" t="str">
        <f t="shared" si="66"/>
        <v>R-SH_Att_LPG_N1</v>
      </c>
      <c r="AN73" s="104" t="str">
        <f t="shared" si="67"/>
        <v>Residential Liquid Petroleum Gas- New 1 SH</v>
      </c>
      <c r="AO73" s="105" t="s">
        <v>13</v>
      </c>
      <c r="AP73" s="105" t="s">
        <v>180</v>
      </c>
      <c r="AQ73" s="105"/>
      <c r="AR73" s="105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265</v>
      </c>
      <c r="F74" s="24"/>
      <c r="G74" s="57" t="s">
        <v>727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76">I74*0.7</f>
        <v>0.7</v>
      </c>
      <c r="R74" s="23">
        <f t="shared" ref="R74" si="77">J74*0.7</f>
        <v>0.7</v>
      </c>
      <c r="S74" s="57">
        <f t="shared" ref="S74" si="78">K74*0.7</f>
        <v>0.7</v>
      </c>
      <c r="T74" s="53">
        <v>20</v>
      </c>
      <c r="U74" s="25"/>
      <c r="V74" s="379">
        <f>V69*($U$197/$U$196)+0.3</f>
        <v>3.5902892561983473</v>
      </c>
      <c r="W74" s="379">
        <f>W69*($U$197/$U$196)+0.3</f>
        <v>3.5902892561983473</v>
      </c>
      <c r="X74" s="379">
        <f>X69*($U$197/$U$196)+0.3</f>
        <v>3.5902892561983473</v>
      </c>
      <c r="Y74" s="379">
        <f>Y69*($U$197/$U$196)+0.3</f>
        <v>3.5902892561983473</v>
      </c>
      <c r="Z74" s="378">
        <f>SUM(0.12+0.15)</f>
        <v>0.27</v>
      </c>
      <c r="AA74" s="66"/>
      <c r="AB74" s="44"/>
      <c r="AC74" s="72"/>
      <c r="AD74" s="72"/>
      <c r="AE74" s="72"/>
      <c r="AF74" s="72"/>
      <c r="AG74" s="63">
        <f t="shared" si="65"/>
        <v>0.7884000000000001</v>
      </c>
      <c r="AH74" s="66"/>
      <c r="AI74" s="66">
        <v>2019</v>
      </c>
      <c r="AJ74" s="66">
        <v>25</v>
      </c>
      <c r="AL74" s="105"/>
      <c r="AM74" s="211" t="str">
        <f t="shared" si="66"/>
        <v>R-SW_Att_LPG_N1</v>
      </c>
      <c r="AN74" s="211" t="str">
        <f t="shared" si="67"/>
        <v>Residential Liquid Petroleum Gas- New 2 SH + WH</v>
      </c>
      <c r="AO74" s="105" t="s">
        <v>13</v>
      </c>
      <c r="AP74" s="105" t="s">
        <v>180</v>
      </c>
      <c r="AQ74" s="105"/>
      <c r="AR74" s="105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268</v>
      </c>
      <c r="F75" s="30"/>
      <c r="G75" s="58" t="s">
        <v>726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8">
        <v>20.48</v>
      </c>
      <c r="W75" s="378">
        <f>V75*0.96777</f>
        <v>19.819929600000002</v>
      </c>
      <c r="X75" s="378">
        <f>V75*0.914844</f>
        <v>18.736005120000002</v>
      </c>
      <c r="Y75" s="378">
        <f>V75*0.8181</f>
        <v>16.754688000000002</v>
      </c>
      <c r="Z75" s="378">
        <v>0.25</v>
      </c>
      <c r="AA75" s="65"/>
      <c r="AB75" s="40"/>
      <c r="AC75" s="71"/>
      <c r="AD75" s="71"/>
      <c r="AE75" s="71"/>
      <c r="AF75" s="71"/>
      <c r="AG75" s="62">
        <f t="shared" si="65"/>
        <v>0.63072000000000006</v>
      </c>
      <c r="AH75" s="65"/>
      <c r="AI75" s="65">
        <v>2019</v>
      </c>
      <c r="AJ75" s="65">
        <v>20</v>
      </c>
      <c r="AL75" s="105"/>
      <c r="AM75" s="211" t="str">
        <f t="shared" si="66"/>
        <v>R-SH_Att_WOO_N1</v>
      </c>
      <c r="AN75" s="211" t="str">
        <f t="shared" si="67"/>
        <v>Residential Biomass Boiler - New 1 SH</v>
      </c>
      <c r="AO75" s="105" t="s">
        <v>13</v>
      </c>
      <c r="AP75" s="105" t="s">
        <v>180</v>
      </c>
      <c r="AQ75" s="105"/>
      <c r="AR75" s="105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268</v>
      </c>
      <c r="F76" s="24"/>
      <c r="G76" s="57" t="s">
        <v>727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9">H76*0.7</f>
        <v>0.7</v>
      </c>
      <c r="Q76" s="23">
        <f t="shared" si="79"/>
        <v>0.7</v>
      </c>
      <c r="R76" s="23">
        <f t="shared" si="79"/>
        <v>0.7</v>
      </c>
      <c r="S76" s="57">
        <f t="shared" si="79"/>
        <v>0.7</v>
      </c>
      <c r="T76" s="53">
        <v>20</v>
      </c>
      <c r="U76" s="25"/>
      <c r="V76" s="379">
        <f>V75*($U$197/$U$196)</f>
        <v>20.733884297520664</v>
      </c>
      <c r="W76" s="379">
        <f>W75*($U$197/$U$196)</f>
        <v>20.065631206611574</v>
      </c>
      <c r="X76" s="379">
        <f>X75*($U$197/$U$196)</f>
        <v>18.968269646280994</v>
      </c>
      <c r="Y76" s="379">
        <f>Y75*($U$197/$U$196)</f>
        <v>16.962390743801656</v>
      </c>
      <c r="Z76" s="379">
        <v>0.25</v>
      </c>
      <c r="AA76" s="66"/>
      <c r="AB76" s="44"/>
      <c r="AC76" s="72"/>
      <c r="AD76" s="72"/>
      <c r="AE76" s="72"/>
      <c r="AF76" s="72"/>
      <c r="AG76" s="63">
        <f t="shared" si="65"/>
        <v>0.7884000000000001</v>
      </c>
      <c r="AH76" s="66"/>
      <c r="AI76" s="66">
        <v>2019</v>
      </c>
      <c r="AJ76" s="66">
        <v>25</v>
      </c>
      <c r="AL76" s="105"/>
      <c r="AM76" s="211" t="str">
        <f t="shared" si="66"/>
        <v>R-SW_Att_WOO_N1</v>
      </c>
      <c r="AN76" s="211" t="str">
        <f t="shared" si="67"/>
        <v>Residential Biomass Boiler - New 2 SH + WH</v>
      </c>
      <c r="AO76" s="105" t="s">
        <v>13</v>
      </c>
      <c r="AP76" s="105" t="s">
        <v>180</v>
      </c>
      <c r="AQ76" s="105"/>
      <c r="AR76" s="105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568</v>
      </c>
      <c r="E77" s="30" t="s">
        <v>565</v>
      </c>
      <c r="F77" s="30"/>
      <c r="G77" s="58" t="s">
        <v>726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9">
        <f>((JRC_Data!BB13)/1000)*$U$196</f>
        <v>2.4293436293436295</v>
      </c>
      <c r="W77" s="379">
        <f>((JRC_Data!BC13)/1000)*$U$196</f>
        <v>2.4293436293436295</v>
      </c>
      <c r="X77" s="379">
        <f>((JRC_Data!BD13)/1000)*$U$196</f>
        <v>3.2702702702702702</v>
      </c>
      <c r="Y77" s="379">
        <f>((JRC_Data!BE13)/1000)*$U$196</f>
        <v>3.2702702702702702</v>
      </c>
      <c r="Z77" s="379">
        <v>0.12</v>
      </c>
      <c r="AA77" s="66"/>
      <c r="AB77" s="44"/>
      <c r="AC77" s="72"/>
      <c r="AD77" s="72"/>
      <c r="AE77" s="72"/>
      <c r="AF77" s="72"/>
      <c r="AG77" s="63">
        <f t="shared" si="65"/>
        <v>0.63072000000000006</v>
      </c>
      <c r="AH77" s="66"/>
      <c r="AI77" s="65">
        <v>2019</v>
      </c>
      <c r="AJ77" s="66">
        <v>20</v>
      </c>
      <c r="AL77" s="105"/>
      <c r="AM77" s="211" t="s">
        <v>566</v>
      </c>
      <c r="AN77" s="211" t="str">
        <f>D77</f>
        <v>Residential  Stove New 1 - SH</v>
      </c>
      <c r="AO77" s="105" t="s">
        <v>13</v>
      </c>
      <c r="AP77" s="105" t="s">
        <v>180</v>
      </c>
      <c r="AQ77" s="105"/>
      <c r="AR77" s="105"/>
    </row>
    <row r="78" spans="3:44" ht="15" x14ac:dyDescent="0.25">
      <c r="C78" s="22" t="str">
        <f>"R-SW_Att"&amp;"_"&amp;"FPL"&amp;"_N1"</f>
        <v>R-SW_Att_FPL_N1</v>
      </c>
      <c r="D78" s="23" t="s">
        <v>569</v>
      </c>
      <c r="E78" s="24" t="s">
        <v>565</v>
      </c>
      <c r="F78" s="24"/>
      <c r="G78" s="57" t="s">
        <v>727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80">H78*0.7</f>
        <v>0.38500000000000001</v>
      </c>
      <c r="Q78" s="23">
        <f t="shared" ref="Q78" si="81">I78*0.7</f>
        <v>0.38500000000000001</v>
      </c>
      <c r="R78" s="23">
        <f t="shared" ref="R78" si="82">J78*0.7</f>
        <v>0.38500000000000001</v>
      </c>
      <c r="S78" s="57">
        <f t="shared" ref="S78" si="83">K78*0.7</f>
        <v>0.38500000000000001</v>
      </c>
      <c r="T78" s="53">
        <v>20</v>
      </c>
      <c r="U78" s="25"/>
      <c r="V78" s="379">
        <f>((JRC_Data!BB13)/1000)*$U$197</f>
        <v>2.4594594594594597</v>
      </c>
      <c r="W78" s="379">
        <f>((JRC_Data!BC13)/1000)*$U$197</f>
        <v>2.4594594594594597</v>
      </c>
      <c r="X78" s="379">
        <f>((JRC_Data!BD13)/1000)*$U$197</f>
        <v>3.310810810810811</v>
      </c>
      <c r="Y78" s="379">
        <f>((JRC_Data!BE13)/1000)*$U$197</f>
        <v>3.310810810810811</v>
      </c>
      <c r="Z78" s="441">
        <v>0.12</v>
      </c>
      <c r="AA78" s="66"/>
      <c r="AB78" s="44"/>
      <c r="AC78" s="72"/>
      <c r="AD78" s="72"/>
      <c r="AE78" s="72"/>
      <c r="AF78" s="72"/>
      <c r="AG78" s="63">
        <f t="shared" si="65"/>
        <v>0.63072000000000006</v>
      </c>
      <c r="AH78" s="66"/>
      <c r="AI78" s="66">
        <v>2019</v>
      </c>
      <c r="AJ78" s="66">
        <v>20</v>
      </c>
      <c r="AL78" s="105"/>
      <c r="AM78" s="211" t="s">
        <v>567</v>
      </c>
      <c r="AN78" s="211" t="str">
        <f>D78</f>
        <v>Residential  Stove with back boiler New 1 - SH +WH</v>
      </c>
      <c r="AO78" s="105" t="s">
        <v>13</v>
      </c>
      <c r="AP78" s="105" t="s">
        <v>180</v>
      </c>
      <c r="AQ78" s="105"/>
      <c r="AR78" s="105"/>
    </row>
    <row r="79" spans="3:44" ht="15" x14ac:dyDescent="0.25">
      <c r="C79" s="40" t="s">
        <v>570</v>
      </c>
      <c r="D79" s="29" t="s">
        <v>261</v>
      </c>
      <c r="E79" s="30" t="s">
        <v>270</v>
      </c>
      <c r="F79" s="30"/>
      <c r="G79" s="58" t="s">
        <v>726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84">W65</f>
        <v>4.2250000000000005</v>
      </c>
      <c r="X79" s="62">
        <f t="shared" si="84"/>
        <v>4.2250000000000005</v>
      </c>
      <c r="Y79" s="62">
        <f t="shared" si="84"/>
        <v>4.2250000000000005</v>
      </c>
      <c r="Z79" s="62">
        <f t="shared" si="84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5"/>
      <c r="AM79" s="211" t="str">
        <f>C79</f>
        <v>R-SH_Att_HVO_N1</v>
      </c>
      <c r="AN79" s="211" t="str">
        <f>D79</f>
        <v>Residential  Hydrotreated vegetable oil - New 1 SH</v>
      </c>
      <c r="AO79" s="105" t="s">
        <v>13</v>
      </c>
      <c r="AP79" s="105" t="s">
        <v>180</v>
      </c>
      <c r="AQ79" s="105"/>
      <c r="AR79" s="105" t="s">
        <v>75</v>
      </c>
    </row>
    <row r="80" spans="3:44" ht="15" x14ac:dyDescent="0.25">
      <c r="C80" s="22" t="s">
        <v>571</v>
      </c>
      <c r="D80" s="23" t="s">
        <v>531</v>
      </c>
      <c r="E80" s="24" t="s">
        <v>270</v>
      </c>
      <c r="F80" s="24"/>
      <c r="G80" s="57" t="s">
        <v>727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51">
        <f t="shared" si="79"/>
        <v>0.57399999999999995</v>
      </c>
      <c r="Q80" s="26">
        <f t="shared" si="79"/>
        <v>0.57399999999999995</v>
      </c>
      <c r="R80" s="26">
        <f t="shared" si="79"/>
        <v>0.57399999999999995</v>
      </c>
      <c r="S80" s="59">
        <f t="shared" si="79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85">W66</f>
        <v>4.2773760330578519</v>
      </c>
      <c r="X80" s="62">
        <f t="shared" si="85"/>
        <v>4.2773760330578519</v>
      </c>
      <c r="Y80" s="62">
        <f t="shared" si="85"/>
        <v>4.2773760330578519</v>
      </c>
      <c r="Z80" s="62">
        <f t="shared" si="84"/>
        <v>0.12</v>
      </c>
      <c r="AA80" s="66"/>
      <c r="AB80" s="44"/>
      <c r="AC80" s="72"/>
      <c r="AD80" s="72"/>
      <c r="AE80" s="72"/>
      <c r="AF80" s="72"/>
      <c r="AG80" s="63">
        <f t="shared" si="65"/>
        <v>0.7884000000000001</v>
      </c>
      <c r="AH80" s="67"/>
      <c r="AI80" s="67">
        <v>2019</v>
      </c>
      <c r="AJ80" s="67">
        <v>25</v>
      </c>
      <c r="AL80" s="105"/>
      <c r="AM80" s="211" t="str">
        <f>C80</f>
        <v>R-SW_Att_HVO_N1</v>
      </c>
      <c r="AN80" s="211" t="str">
        <f>D80</f>
        <v>Residential  Hydrotreated vegetable oil - New 1 SH + WH</v>
      </c>
      <c r="AO80" s="105" t="s">
        <v>13</v>
      </c>
      <c r="AP80" s="105" t="s">
        <v>180</v>
      </c>
      <c r="AQ80" s="105"/>
      <c r="AR80" s="105" t="s">
        <v>75</v>
      </c>
    </row>
    <row r="81" spans="3:45" ht="15" x14ac:dyDescent="0.25">
      <c r="C81" s="33" t="s">
        <v>275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5"/>
      <c r="AM81" s="211" t="str">
        <f>C82</f>
        <v>R-SH_Att_ELC_N1</v>
      </c>
      <c r="AN81" s="211" t="str">
        <f>D82</f>
        <v>Residential Electric Heater - New 1 SH</v>
      </c>
      <c r="AO81" s="105" t="s">
        <v>13</v>
      </c>
      <c r="AP81" s="105" t="s">
        <v>180</v>
      </c>
      <c r="AQ81" s="105"/>
      <c r="AR81" s="105" t="s">
        <v>75</v>
      </c>
    </row>
    <row r="82" spans="3:45" ht="15" x14ac:dyDescent="0.25">
      <c r="C82" s="95" t="str">
        <f>"R-SH_Att"&amp;"_"&amp;RIGHT(E82,3)&amp;"_N1"</f>
        <v>R-SH_Att_ELC_N1</v>
      </c>
      <c r="D82" s="79" t="s">
        <v>107</v>
      </c>
      <c r="E82" s="120" t="s">
        <v>153</v>
      </c>
      <c r="F82" s="120"/>
      <c r="G82" s="80" t="s">
        <v>726</v>
      </c>
      <c r="H82" s="248">
        <v>1</v>
      </c>
      <c r="I82" s="249">
        <v>1</v>
      </c>
      <c r="J82" s="249">
        <v>1</v>
      </c>
      <c r="K82" s="250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(JRC_Data!BB48/1000)*($U$197/$U$196)</f>
        <v>4.0495867768595044</v>
      </c>
      <c r="W82" s="78">
        <f>(JRC_Data!BC48/1000)*($U$197/$U$196)</f>
        <v>4.0495867768595044</v>
      </c>
      <c r="X82" s="78">
        <f>(JRC_Data!BD48/1000)*($U$197/$U$196)</f>
        <v>4.0495867768595044</v>
      </c>
      <c r="Y82" s="78">
        <f>(JRC_Data!BE48/1000)*($U$197/$U$196)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5"/>
        <v>0.63072000000000006</v>
      </c>
      <c r="AH82" s="82"/>
      <c r="AI82" s="82">
        <v>2019</v>
      </c>
      <c r="AJ82" s="82">
        <v>20</v>
      </c>
      <c r="AL82" s="105"/>
      <c r="AM82" s="211" t="str">
        <f t="shared" ref="AM82:AN97" si="86">C84</f>
        <v>R-SH_Att_ELC_HPN1</v>
      </c>
      <c r="AN82" s="211" t="str">
        <f t="shared" si="86"/>
        <v>Residential Electric Heat Pump - Air to Air - SH</v>
      </c>
      <c r="AO82" s="105" t="s">
        <v>13</v>
      </c>
      <c r="AP82" s="105" t="s">
        <v>180</v>
      </c>
      <c r="AQ82" s="105"/>
      <c r="AR82" s="105" t="s">
        <v>75</v>
      </c>
    </row>
    <row r="83" spans="3:45" ht="15" x14ac:dyDescent="0.25">
      <c r="C83" s="33" t="s">
        <v>276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5"/>
      <c r="AM83" s="211" t="str">
        <f t="shared" si="86"/>
        <v>R-HC_Att_ELC_HPN1</v>
      </c>
      <c r="AN83" s="211" t="str">
        <f t="shared" si="86"/>
        <v>Residential Electric Heat Pump - Air to Air - SH + SC</v>
      </c>
      <c r="AO83" s="105" t="s">
        <v>13</v>
      </c>
      <c r="AP83" s="105" t="s">
        <v>180</v>
      </c>
      <c r="AQ83" s="105"/>
      <c r="AR83" s="105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153</v>
      </c>
      <c r="F84" s="88" t="s">
        <v>563</v>
      </c>
      <c r="G84" s="20" t="s">
        <v>726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(JRC_Data!BB16/1000)*($U$196/$U$197)</f>
        <v>2.1730612244897962</v>
      </c>
      <c r="W84" s="84">
        <f>(JRC_Data!BC16/1000)*($U$196/$U$197)</f>
        <v>2.0742857142857147</v>
      </c>
      <c r="X84" s="20">
        <f>(JRC_Data!BD16/1000)*($U$196/$U$197)</f>
        <v>1.8767346938775511</v>
      </c>
      <c r="Y84" s="84">
        <f>(JRC_Data!BE16/1000)*($U$196/$U$197)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5"/>
        <v>0.220752</v>
      </c>
      <c r="AH84" s="88"/>
      <c r="AI84" s="87">
        <v>2100</v>
      </c>
      <c r="AJ84" s="21">
        <v>7</v>
      </c>
      <c r="AL84" s="105"/>
      <c r="AM84" s="211" t="str">
        <f t="shared" si="86"/>
        <v>R-SH_Att_ELC_HPN2-AB</v>
      </c>
      <c r="AN84" s="211" t="str">
        <f t="shared" si="86"/>
        <v>Residential Electric Heat Pump - Air to Water - SH - AB rated dwelling</v>
      </c>
      <c r="AO84" s="105" t="s">
        <v>13</v>
      </c>
      <c r="AP84" s="105" t="s">
        <v>180</v>
      </c>
      <c r="AQ84" s="105"/>
      <c r="AR84" s="105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153</v>
      </c>
      <c r="F85" s="24" t="s">
        <v>563</v>
      </c>
      <c r="G85" s="23" t="s">
        <v>728</v>
      </c>
      <c r="H85" s="251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51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(JRC_Data!BB16/1000)*($U$197/$U$197)</f>
        <v>2.2000000000000002</v>
      </c>
      <c r="W85" s="64">
        <f>(JRC_Data!BC16/1000)*($U$197/$U$197)</f>
        <v>2.1</v>
      </c>
      <c r="X85" s="26">
        <f>(JRC_Data!BD16/1000)*($U$197/$U$197)</f>
        <v>1.9</v>
      </c>
      <c r="Y85" s="64">
        <f>(JRC_Data!BE16/1000)*($U$197/$U$197)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5"/>
        <v>0.26805600000000002</v>
      </c>
      <c r="AH85" s="27"/>
      <c r="AI85" s="67">
        <v>2100</v>
      </c>
      <c r="AJ85" s="28">
        <v>8.5</v>
      </c>
      <c r="AL85" s="105"/>
      <c r="AM85" s="211" t="str">
        <f t="shared" si="86"/>
        <v>R-SH_Att_ELC_HPN2-C</v>
      </c>
      <c r="AN85" s="211" t="str">
        <f t="shared" si="86"/>
        <v>Residential Electric Heat Pump - Air to Water - SH - C rated dwelling</v>
      </c>
      <c r="AO85" s="105" t="s">
        <v>13</v>
      </c>
      <c r="AP85" s="105" t="s">
        <v>180</v>
      </c>
      <c r="AQ85" s="105"/>
      <c r="AR85" s="105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708</v>
      </c>
      <c r="E86" s="88" t="s">
        <v>153</v>
      </c>
      <c r="F86" s="88" t="s">
        <v>563</v>
      </c>
      <c r="G86" s="88" t="s">
        <v>732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6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9"/>
      <c r="AC86" s="259"/>
      <c r="AD86" s="259"/>
      <c r="AE86" s="259"/>
      <c r="AF86" s="46"/>
      <c r="AG86" s="84">
        <f t="shared" si="65"/>
        <v>0.220752</v>
      </c>
      <c r="AH86" s="87"/>
      <c r="AI86" s="88">
        <v>2019</v>
      </c>
      <c r="AJ86" s="87">
        <v>7</v>
      </c>
      <c r="AL86" s="105"/>
      <c r="AM86" s="211" t="str">
        <f t="shared" si="86"/>
        <v>R-SH_Att_ELC_HPN2-D</v>
      </c>
      <c r="AN86" s="211" t="str">
        <f t="shared" si="86"/>
        <v>Residential Electric Heat Pump - Air to Water - SH - Drated dwelling</v>
      </c>
      <c r="AO86" s="105" t="s">
        <v>13</v>
      </c>
      <c r="AP86" s="105" t="s">
        <v>180</v>
      </c>
      <c r="AQ86" s="105"/>
      <c r="AR86" s="105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709</v>
      </c>
      <c r="E87" s="24" t="s">
        <v>153</v>
      </c>
      <c r="F87" s="24" t="s">
        <v>563</v>
      </c>
      <c r="G87" s="24" t="s">
        <v>755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7">
        <v>20</v>
      </c>
      <c r="U87" s="23"/>
      <c r="V87" s="22">
        <f>V21/$V$20*$V$86</f>
        <v>10.803454157782514</v>
      </c>
      <c r="W87" s="23">
        <f t="shared" ref="W87:Y87" si="87">W21/$V$20*$V$86</f>
        <v>10.035754157782517</v>
      </c>
      <c r="X87" s="23">
        <f t="shared" si="87"/>
        <v>9.3371471577825158</v>
      </c>
      <c r="Y87" s="57">
        <f t="shared" si="87"/>
        <v>9.2680541577825153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5"/>
        <v>0.220752</v>
      </c>
      <c r="AH87" s="66"/>
      <c r="AI87" s="24">
        <v>2019</v>
      </c>
      <c r="AJ87" s="66">
        <v>7</v>
      </c>
      <c r="AL87" s="105"/>
      <c r="AM87" s="211" t="str">
        <f t="shared" si="86"/>
        <v>R-SH_Att_ELC_HPN2-E</v>
      </c>
      <c r="AN87" s="211" t="str">
        <f t="shared" si="86"/>
        <v>Residential Electric Heat Pump - Air to Water - SH - E rated dwelling</v>
      </c>
      <c r="AO87" s="105" t="s">
        <v>13</v>
      </c>
      <c r="AP87" s="105" t="s">
        <v>180</v>
      </c>
      <c r="AQ87" s="105"/>
      <c r="AR87" s="105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760</v>
      </c>
      <c r="E88" s="30" t="s">
        <v>153</v>
      </c>
      <c r="F88" s="30" t="s">
        <v>563</v>
      </c>
      <c r="G88" s="30" t="s">
        <v>756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8">
        <v>20</v>
      </c>
      <c r="U88" s="29"/>
      <c r="V88" s="40">
        <f>V22/$V$20*$V$86</f>
        <v>10.917126865671641</v>
      </c>
      <c r="W88" s="29">
        <f t="shared" ref="W88:Y88" si="88">W22/$V$20*$V$86</f>
        <v>10.149426865671641</v>
      </c>
      <c r="X88" s="29">
        <f t="shared" si="88"/>
        <v>9.450819865671642</v>
      </c>
      <c r="Y88" s="58">
        <f t="shared" si="88"/>
        <v>9.3817268656716415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5"/>
        <v>0.220752</v>
      </c>
      <c r="AH88" s="65"/>
      <c r="AI88" s="30">
        <v>2019</v>
      </c>
      <c r="AJ88" s="65">
        <v>7</v>
      </c>
      <c r="AL88" s="105"/>
      <c r="AM88" s="211" t="str">
        <f t="shared" si="86"/>
        <v>R-SH_Att_ELC_HPN2-F</v>
      </c>
      <c r="AN88" s="211" t="str">
        <f t="shared" si="86"/>
        <v>Residential Electric Heat Pump - Air to Water - SH - F rated dwelling</v>
      </c>
      <c r="AO88" s="105" t="s">
        <v>13</v>
      </c>
      <c r="AP88" s="105" t="s">
        <v>180</v>
      </c>
      <c r="AQ88" s="105"/>
      <c r="AR88" s="105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711</v>
      </c>
      <c r="E89" s="24" t="s">
        <v>153</v>
      </c>
      <c r="F89" s="24" t="s">
        <v>563</v>
      </c>
      <c r="G89" s="24" t="s">
        <v>757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7">
        <v>20</v>
      </c>
      <c r="U89" s="23"/>
      <c r="V89" s="22">
        <f t="shared" ref="V88:Y91" si="89">V23/$V$20*$V$86</f>
        <v>11.48549040511727</v>
      </c>
      <c r="W89" s="23">
        <f t="shared" si="89"/>
        <v>10.71779040511727</v>
      </c>
      <c r="X89" s="23">
        <f t="shared" si="89"/>
        <v>10.019183405117271</v>
      </c>
      <c r="Y89" s="57">
        <f t="shared" si="89"/>
        <v>9.9500904051172725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5"/>
        <v>0.220752</v>
      </c>
      <c r="AH89" s="66"/>
      <c r="AI89" s="24">
        <v>2019</v>
      </c>
      <c r="AJ89" s="66">
        <v>7</v>
      </c>
      <c r="AL89" s="105"/>
      <c r="AM89" s="211" t="str">
        <f t="shared" si="86"/>
        <v>R-SH_Att_ELC_HPN2-G</v>
      </c>
      <c r="AN89" s="211" t="str">
        <f t="shared" si="86"/>
        <v>Residential Electric Heat Pump - Air to Water - SH - G rated dwelling</v>
      </c>
      <c r="AO89" s="105" t="s">
        <v>13</v>
      </c>
      <c r="AP89" s="105" t="s">
        <v>180</v>
      </c>
      <c r="AQ89" s="105"/>
      <c r="AR89" s="105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712</v>
      </c>
      <c r="E90" s="30" t="s">
        <v>153</v>
      </c>
      <c r="F90" s="30" t="s">
        <v>563</v>
      </c>
      <c r="G90" s="30" t="s">
        <v>758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8">
        <v>20</v>
      </c>
      <c r="U90" s="29"/>
      <c r="V90" s="40">
        <f t="shared" si="89"/>
        <v>12.053853944562899</v>
      </c>
      <c r="W90" s="29">
        <f t="shared" si="89"/>
        <v>11.2861539445629</v>
      </c>
      <c r="X90" s="29">
        <f t="shared" si="89"/>
        <v>10.5875469445629</v>
      </c>
      <c r="Y90" s="58">
        <f t="shared" si="89"/>
        <v>10.5184539445629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5"/>
        <v>0.220752</v>
      </c>
      <c r="AH90" s="65"/>
      <c r="AI90" s="30">
        <v>2019</v>
      </c>
      <c r="AJ90" s="65">
        <v>7</v>
      </c>
      <c r="AL90" s="105"/>
      <c r="AM90" s="211" t="str">
        <f t="shared" si="86"/>
        <v>R-SW_Att_ELC_HPN1-AB</v>
      </c>
      <c r="AN90" s="211" t="str">
        <f t="shared" si="86"/>
        <v>Residential Electric Heat Pump - Air to Water - SH + WH - AB rated dwelling</v>
      </c>
      <c r="AO90" s="105" t="s">
        <v>13</v>
      </c>
      <c r="AP90" s="105" t="s">
        <v>180</v>
      </c>
      <c r="AQ90" s="105"/>
      <c r="AR90" s="105" t="s">
        <v>75</v>
      </c>
      <c r="AS90" s="4"/>
    </row>
    <row r="91" spans="3:45" ht="15" x14ac:dyDescent="0.25">
      <c r="C91" s="251" t="str">
        <f>"R-SH_Att"&amp;"_"&amp;RIGHT(E91,3)&amp;"_HPN2-G"</f>
        <v>R-SH_Att_ELC_HPN2-G</v>
      </c>
      <c r="D91" s="27" t="s">
        <v>738</v>
      </c>
      <c r="E91" s="27" t="s">
        <v>153</v>
      </c>
      <c r="F91" s="27" t="s">
        <v>563</v>
      </c>
      <c r="G91" s="27" t="s">
        <v>759</v>
      </c>
      <c r="H91" s="251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51"/>
      <c r="M91" s="26"/>
      <c r="N91" s="26"/>
      <c r="O91" s="59"/>
      <c r="P91" s="251"/>
      <c r="Q91" s="26"/>
      <c r="R91" s="26"/>
      <c r="S91" s="59"/>
      <c r="T91" s="520">
        <v>20</v>
      </c>
      <c r="U91" s="26"/>
      <c r="V91" s="251">
        <f t="shared" si="89"/>
        <v>12.622217484008528</v>
      </c>
      <c r="W91" s="26">
        <f t="shared" si="89"/>
        <v>11.854517484008529</v>
      </c>
      <c r="X91" s="26">
        <f t="shared" si="89"/>
        <v>11.15591048400853</v>
      </c>
      <c r="Y91" s="59">
        <f>Y25/$V$20*$V$86</f>
        <v>11.086817484008529</v>
      </c>
      <c r="Z91" s="64">
        <v>0.1</v>
      </c>
      <c r="AA91" s="67"/>
      <c r="AB91" s="521"/>
      <c r="AC91" s="521"/>
      <c r="AD91" s="521"/>
      <c r="AE91" s="521"/>
      <c r="AF91" s="49"/>
      <c r="AG91" s="64">
        <f t="shared" si="65"/>
        <v>0.220752</v>
      </c>
      <c r="AH91" s="67"/>
      <c r="AI91" s="27">
        <v>2019</v>
      </c>
      <c r="AJ91" s="67">
        <v>7</v>
      </c>
      <c r="AL91" s="105"/>
      <c r="AM91" s="211" t="str">
        <f t="shared" si="86"/>
        <v>R-SW_Att_ELC_HPN1-C</v>
      </c>
      <c r="AN91" s="211" t="str">
        <f t="shared" si="86"/>
        <v>Residential Electric Heat Pump - Air to Water - SH + WH - C rated dwelling</v>
      </c>
      <c r="AO91" s="105" t="s">
        <v>13</v>
      </c>
      <c r="AP91" s="105" t="s">
        <v>180</v>
      </c>
      <c r="AQ91" s="105"/>
      <c r="AR91" s="105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716</v>
      </c>
      <c r="E92" s="88" t="s">
        <v>153</v>
      </c>
      <c r="F92" s="88" t="s">
        <v>665</v>
      </c>
      <c r="G92" s="88" t="s">
        <v>732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90">I92*0.7</f>
        <v>0.76999999999999991</v>
      </c>
      <c r="R92" s="20">
        <f t="shared" ref="R92:R103" si="91">J92*0.7</f>
        <v>0.86333333333333329</v>
      </c>
      <c r="S92" s="56">
        <f t="shared" ref="S92:S103" si="92">K92*0.7</f>
        <v>0.93333333333333324</v>
      </c>
      <c r="T92" s="516">
        <v>20</v>
      </c>
      <c r="U92" s="56"/>
      <c r="V92" s="19">
        <f>V86*($U$195/$U$194)</f>
        <v>8.6019831223628689</v>
      </c>
      <c r="W92" s="20">
        <f>W86*($U$195/$U$194)</f>
        <v>7.8278046413502116</v>
      </c>
      <c r="X92" s="20">
        <f>X86*($U$195/$U$194)</f>
        <v>7.1233022236286923</v>
      </c>
      <c r="Y92" s="56">
        <f>Y86*($U$195/$U$194)</f>
        <v>7.0536261603375525</v>
      </c>
      <c r="Z92" s="84">
        <v>0.1</v>
      </c>
      <c r="AA92" s="87"/>
      <c r="AB92" s="259"/>
      <c r="AC92" s="259"/>
      <c r="AD92" s="259"/>
      <c r="AE92" s="259"/>
      <c r="AF92" s="46"/>
      <c r="AG92" s="84">
        <f t="shared" si="65"/>
        <v>0.26805600000000002</v>
      </c>
      <c r="AH92" s="87"/>
      <c r="AI92" s="88">
        <v>2019</v>
      </c>
      <c r="AJ92" s="87">
        <v>8.5</v>
      </c>
      <c r="AL92" s="105"/>
      <c r="AM92" s="211" t="str">
        <f t="shared" si="86"/>
        <v>R-SW_Att_ELC_HPN1-D</v>
      </c>
      <c r="AN92" s="211" t="str">
        <f t="shared" si="86"/>
        <v>Residential Electric Heat Pump - Air to Water - SH + WH - D rated dwelling</v>
      </c>
      <c r="AO92" s="105" t="s">
        <v>13</v>
      </c>
      <c r="AP92" s="105" t="s">
        <v>180</v>
      </c>
      <c r="AQ92" s="105"/>
      <c r="AR92" s="105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717</v>
      </c>
      <c r="E93" s="24" t="s">
        <v>153</v>
      </c>
      <c r="F93" s="24" t="s">
        <v>665</v>
      </c>
      <c r="G93" s="24" t="s">
        <v>755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93">H93*0.7</f>
        <v>0.7</v>
      </c>
      <c r="Q93" s="23">
        <f t="shared" si="90"/>
        <v>0.76999999999999991</v>
      </c>
      <c r="R93" s="23">
        <f t="shared" si="91"/>
        <v>0.86333333333333329</v>
      </c>
      <c r="S93" s="57">
        <f t="shared" si="92"/>
        <v>0.93333333333333324</v>
      </c>
      <c r="T93" s="517">
        <v>20</v>
      </c>
      <c r="U93" s="57"/>
      <c r="V93" s="22">
        <f>V21/$V$20*$V$92</f>
        <v>10.894622547299667</v>
      </c>
      <c r="W93" s="23">
        <f t="shared" ref="W93:Y93" si="94">W21/$V$20*$V$92</f>
        <v>10.120444066287011</v>
      </c>
      <c r="X93" s="23">
        <f t="shared" si="94"/>
        <v>9.4159416485654912</v>
      </c>
      <c r="Y93" s="57">
        <f t="shared" si="94"/>
        <v>9.3462655852743506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5"/>
      <c r="AM93" s="211" t="str">
        <f t="shared" si="86"/>
        <v>R-SW_Att_ELC_HPN1-E</v>
      </c>
      <c r="AN93" s="211" t="str">
        <f t="shared" si="86"/>
        <v>Residential Electric Heat Pump - Air to Water - SH + WH - E rated dwelling</v>
      </c>
      <c r="AO93" s="105" t="s">
        <v>13</v>
      </c>
      <c r="AP93" s="105" t="s">
        <v>180</v>
      </c>
      <c r="AQ93" s="105"/>
      <c r="AR93" s="105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718</v>
      </c>
      <c r="E94" s="30" t="s">
        <v>153</v>
      </c>
      <c r="F94" s="30" t="s">
        <v>665</v>
      </c>
      <c r="G94" s="30" t="s">
        <v>756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93"/>
        <v>0.7</v>
      </c>
      <c r="Q94" s="29">
        <f t="shared" si="90"/>
        <v>0.76999999999999991</v>
      </c>
      <c r="R94" s="29">
        <f t="shared" si="91"/>
        <v>0.86333333333333329</v>
      </c>
      <c r="S94" s="58">
        <f t="shared" si="92"/>
        <v>0.93333333333333324</v>
      </c>
      <c r="T94" s="518">
        <v>20</v>
      </c>
      <c r="U94" s="58"/>
      <c r="V94" s="40">
        <f t="shared" ref="V94:Y97" si="95">V22/$V$20*$V$92</f>
        <v>11.009254518546506</v>
      </c>
      <c r="W94" s="29">
        <f t="shared" si="95"/>
        <v>10.235076037533849</v>
      </c>
      <c r="X94" s="29">
        <f t="shared" si="95"/>
        <v>9.5305736198123316</v>
      </c>
      <c r="Y94" s="58">
        <f t="shared" si="95"/>
        <v>9.4608975565211928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5"/>
        <v>0.26805600000000002</v>
      </c>
      <c r="AH94" s="65"/>
      <c r="AI94" s="30">
        <v>2019</v>
      </c>
      <c r="AJ94" s="65">
        <v>8.5</v>
      </c>
      <c r="AL94" s="211"/>
      <c r="AM94" s="211" t="str">
        <f t="shared" si="86"/>
        <v>R-SW_Att_ELC_HPN1-F</v>
      </c>
      <c r="AN94" s="211" t="str">
        <f t="shared" si="86"/>
        <v>Residential Electric Heat Pump - Air to Water - SH + WH - F rated dwelling</v>
      </c>
      <c r="AO94" s="105" t="s">
        <v>13</v>
      </c>
      <c r="AP94" s="105" t="s">
        <v>180</v>
      </c>
      <c r="AQ94" s="105"/>
      <c r="AR94" s="105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719</v>
      </c>
      <c r="E95" s="24" t="s">
        <v>153</v>
      </c>
      <c r="F95" s="24" t="s">
        <v>665</v>
      </c>
      <c r="G95" s="24" t="s">
        <v>757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93"/>
        <v>0.7</v>
      </c>
      <c r="Q95" s="23">
        <f t="shared" si="90"/>
        <v>0.76999999999999991</v>
      </c>
      <c r="R95" s="23">
        <f t="shared" si="91"/>
        <v>0.86333333333333329</v>
      </c>
      <c r="S95" s="57">
        <f t="shared" si="92"/>
        <v>0.93333333333333324</v>
      </c>
      <c r="T95" s="517">
        <v>20</v>
      </c>
      <c r="U95" s="57"/>
      <c r="V95" s="22">
        <f t="shared" si="95"/>
        <v>11.582414374780706</v>
      </c>
      <c r="W95" s="23">
        <f t="shared" si="95"/>
        <v>10.80823589376805</v>
      </c>
      <c r="X95" s="23">
        <f t="shared" si="95"/>
        <v>10.103733476046532</v>
      </c>
      <c r="Y95" s="57">
        <f t="shared" si="95"/>
        <v>10.034057412755393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5"/>
        <v>0.26805600000000002</v>
      </c>
      <c r="AH95" s="66"/>
      <c r="AI95" s="24">
        <v>2019</v>
      </c>
      <c r="AJ95" s="66">
        <v>8.5</v>
      </c>
      <c r="AL95" s="211"/>
      <c r="AM95" s="211" t="str">
        <f t="shared" si="86"/>
        <v>R-SW_Att_ELC_HPN1-G</v>
      </c>
      <c r="AN95" s="211" t="str">
        <f t="shared" si="86"/>
        <v>Residential Electric Heat Pump - Air to Water - SH + WH - G rated dwelling</v>
      </c>
      <c r="AO95" s="105" t="s">
        <v>13</v>
      </c>
      <c r="AP95" s="105" t="s">
        <v>180</v>
      </c>
      <c r="AQ95" s="105"/>
      <c r="AR95" s="105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720</v>
      </c>
      <c r="E96" s="30" t="s">
        <v>153</v>
      </c>
      <c r="F96" s="30" t="s">
        <v>665</v>
      </c>
      <c r="G96" s="30" t="s">
        <v>758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93"/>
        <v>0.7</v>
      </c>
      <c r="Q96" s="29">
        <f t="shared" si="90"/>
        <v>0.76999999999999991</v>
      </c>
      <c r="R96" s="29">
        <f t="shared" si="91"/>
        <v>0.86333333333333329</v>
      </c>
      <c r="S96" s="58">
        <f t="shared" si="92"/>
        <v>0.93333333333333324</v>
      </c>
      <c r="T96" s="518">
        <v>20</v>
      </c>
      <c r="U96" s="58"/>
      <c r="V96" s="40">
        <f t="shared" si="95"/>
        <v>12.155574231014906</v>
      </c>
      <c r="W96" s="29">
        <f t="shared" si="95"/>
        <v>11.38139575000225</v>
      </c>
      <c r="X96" s="29">
        <f t="shared" si="95"/>
        <v>10.676893332280732</v>
      </c>
      <c r="Y96" s="58">
        <f t="shared" si="95"/>
        <v>10.60721726898959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5"/>
        <v>0.26805600000000002</v>
      </c>
      <c r="AH96" s="65"/>
      <c r="AI96" s="30">
        <v>2019</v>
      </c>
      <c r="AJ96" s="65">
        <v>8.5</v>
      </c>
      <c r="AL96" s="211"/>
      <c r="AM96" s="211" t="str">
        <f t="shared" si="86"/>
        <v>R-SW_Att_ELC_HPN2-AB</v>
      </c>
      <c r="AN96" s="211" t="str">
        <f t="shared" si="86"/>
        <v>Residential Electric Heat Pump - Air to Water - SH + WH + Solar - AB rated dwelling</v>
      </c>
      <c r="AO96" s="105" t="s">
        <v>13</v>
      </c>
      <c r="AP96" s="105" t="s">
        <v>180</v>
      </c>
      <c r="AQ96" s="105"/>
      <c r="AR96" s="105" t="s">
        <v>75</v>
      </c>
    </row>
    <row r="97" spans="3:44" ht="15" x14ac:dyDescent="0.25">
      <c r="C97" s="251" t="str">
        <f>"R-SW_Att"&amp;"_"&amp;RIGHT(E97,3)&amp;"_HPN1-G"</f>
        <v>R-SW_Att_ELC_HPN1-G</v>
      </c>
      <c r="D97" s="27" t="s">
        <v>740</v>
      </c>
      <c r="E97" s="27" t="s">
        <v>153</v>
      </c>
      <c r="F97" s="27" t="s">
        <v>665</v>
      </c>
      <c r="G97" s="27" t="s">
        <v>759</v>
      </c>
      <c r="H97" s="251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51"/>
      <c r="M97" s="26"/>
      <c r="N97" s="26"/>
      <c r="O97" s="59"/>
      <c r="P97" s="251">
        <f t="shared" si="93"/>
        <v>0.7</v>
      </c>
      <c r="Q97" s="26">
        <f t="shared" si="90"/>
        <v>0.76999999999999991</v>
      </c>
      <c r="R97" s="26">
        <f t="shared" si="91"/>
        <v>0.86333333333333329</v>
      </c>
      <c r="S97" s="59">
        <f t="shared" si="92"/>
        <v>0.93333333333333324</v>
      </c>
      <c r="T97" s="520">
        <v>20</v>
      </c>
      <c r="U97" s="59"/>
      <c r="V97" s="251">
        <f t="shared" si="95"/>
        <v>12.728734087249107</v>
      </c>
      <c r="W97" s="26">
        <f t="shared" si="95"/>
        <v>11.95455560623645</v>
      </c>
      <c r="X97" s="26">
        <f t="shared" si="95"/>
        <v>11.250053188514931</v>
      </c>
      <c r="Y97" s="59">
        <f t="shared" si="95"/>
        <v>11.18037712522379</v>
      </c>
      <c r="Z97" s="64">
        <v>0.1</v>
      </c>
      <c r="AA97" s="67"/>
      <c r="AB97" s="521"/>
      <c r="AC97" s="521"/>
      <c r="AD97" s="521"/>
      <c r="AE97" s="521"/>
      <c r="AF97" s="49"/>
      <c r="AG97" s="64">
        <f t="shared" si="65"/>
        <v>0.26805600000000002</v>
      </c>
      <c r="AH97" s="67"/>
      <c r="AI97" s="27">
        <v>2019</v>
      </c>
      <c r="AJ97" s="67">
        <v>8.5</v>
      </c>
      <c r="AL97" s="211"/>
      <c r="AM97" s="211" t="str">
        <f t="shared" si="86"/>
        <v>R-SW_Att_ELC_HPN2-C</v>
      </c>
      <c r="AN97" s="211" t="str">
        <f t="shared" si="86"/>
        <v>Residential Electric Heat Pump - Air to Water - SH + WH + Solar - C rated dwelling</v>
      </c>
      <c r="AO97" s="105" t="s">
        <v>13</v>
      </c>
      <c r="AP97" s="105" t="s">
        <v>180</v>
      </c>
      <c r="AQ97" s="105"/>
      <c r="AR97" s="105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761</v>
      </c>
      <c r="E98" s="88" t="s">
        <v>555</v>
      </c>
      <c r="F98" s="88" t="s">
        <v>665</v>
      </c>
      <c r="G98" s="88" t="s">
        <v>732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90"/>
        <v>0.77700000000000002</v>
      </c>
      <c r="R98" s="29">
        <f t="shared" si="91"/>
        <v>0.83299999999999996</v>
      </c>
      <c r="S98" s="58">
        <f t="shared" si="92"/>
        <v>0.83299999999999996</v>
      </c>
      <c r="T98" s="516">
        <v>20</v>
      </c>
      <c r="U98" s="20"/>
      <c r="V98" s="19">
        <f>((JRC_Data!BB18+JRC_Data!BB45)*0.8/1000)*($U$197/$U$196)</f>
        <v>13.282644628099174</v>
      </c>
      <c r="W98" s="20">
        <f>((JRC_Data!BC18+JRC_Data!BC45)*0.8/1000)*($U$197/$U$196)</f>
        <v>12.229752066115703</v>
      </c>
      <c r="X98" s="20">
        <f>((JRC_Data!BD18+JRC_Data!BD45)*0.8/1000)*($U$197/$U$196)</f>
        <v>11.824793388429752</v>
      </c>
      <c r="Y98" s="56">
        <f>((JRC_Data!BE18+JRC_Data!BE45)*0.8/1000)*($U$197/$U$196)</f>
        <v>10.285950413223141</v>
      </c>
      <c r="Z98" s="84">
        <f>((JRC_Data!BL18+JRC_Data!BL45)*0.8)/1000</f>
        <v>0.16960000000000003</v>
      </c>
      <c r="AA98" s="87"/>
      <c r="AB98" s="259">
        <v>0.66</v>
      </c>
      <c r="AC98" s="259"/>
      <c r="AD98" s="259"/>
      <c r="AE98" s="259"/>
      <c r="AF98" s="598">
        <v>5</v>
      </c>
      <c r="AG98" s="84">
        <f t="shared" si="65"/>
        <v>0.26805600000000002</v>
      </c>
      <c r="AH98" s="87"/>
      <c r="AI98" s="88">
        <v>2019</v>
      </c>
      <c r="AJ98" s="87">
        <v>8.5</v>
      </c>
      <c r="AL98" s="2"/>
      <c r="AM98" s="211" t="str">
        <f t="shared" ref="AM98:AN113" si="96">C100</f>
        <v>R-SW_Att_ELC_HPN2-D</v>
      </c>
      <c r="AN98" s="211" t="str">
        <f t="shared" si="96"/>
        <v>Residential Electric Heat Pump - Air to Water - SH + WH + Solar - D rated dwelling</v>
      </c>
      <c r="AO98" s="105" t="s">
        <v>13</v>
      </c>
      <c r="AP98" s="105" t="s">
        <v>180</v>
      </c>
      <c r="AQ98" s="105"/>
      <c r="AR98" s="105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762</v>
      </c>
      <c r="E99" s="24" t="s">
        <v>555</v>
      </c>
      <c r="F99" s="24" t="s">
        <v>665</v>
      </c>
      <c r="G99" s="24" t="s">
        <v>755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97">H99*0.7</f>
        <v>0.7</v>
      </c>
      <c r="Q99" s="23">
        <f t="shared" si="90"/>
        <v>0.77700000000000002</v>
      </c>
      <c r="R99" s="23">
        <f t="shared" si="91"/>
        <v>0.83299999999999996</v>
      </c>
      <c r="S99" s="57">
        <f t="shared" si="92"/>
        <v>0.83299999999999996</v>
      </c>
      <c r="T99" s="517">
        <v>20</v>
      </c>
      <c r="U99" s="23"/>
      <c r="V99" s="22">
        <f>V21/$V$20*$V$98</f>
        <v>16.822795115332429</v>
      </c>
      <c r="W99" s="23">
        <f t="shared" ref="W99:Y99" si="98">W21/$V$20*$V$98</f>
        <v>15.627357098803504</v>
      </c>
      <c r="X99" s="23">
        <f t="shared" si="98"/>
        <v>14.539508503762182</v>
      </c>
      <c r="Y99" s="57">
        <f t="shared" si="98"/>
        <v>14.431919082274579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99">
        <v>5</v>
      </c>
      <c r="AG99" s="63">
        <f t="shared" si="65"/>
        <v>0.26805600000000002</v>
      </c>
      <c r="AH99" s="66"/>
      <c r="AI99" s="24">
        <v>2019</v>
      </c>
      <c r="AJ99" s="66">
        <v>8.5</v>
      </c>
      <c r="AL99" s="2"/>
      <c r="AM99" s="211" t="str">
        <f t="shared" si="96"/>
        <v>R-SW_Att_ELC_HPN2-E</v>
      </c>
      <c r="AN99" s="211" t="str">
        <f t="shared" si="96"/>
        <v>Residential Electric Heat Pump - Air to Water - SH + WH + Solar - E rated dwelling</v>
      </c>
      <c r="AO99" s="105" t="s">
        <v>13</v>
      </c>
      <c r="AP99" s="105" t="s">
        <v>180</v>
      </c>
      <c r="AQ99" s="105"/>
      <c r="AR99" s="105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763</v>
      </c>
      <c r="E100" s="30" t="s">
        <v>555</v>
      </c>
      <c r="F100" s="30" t="s">
        <v>665</v>
      </c>
      <c r="G100" s="30" t="s">
        <v>756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97"/>
        <v>0.7</v>
      </c>
      <c r="Q100" s="29">
        <f t="shared" si="90"/>
        <v>0.77700000000000002</v>
      </c>
      <c r="R100" s="29">
        <f t="shared" si="91"/>
        <v>0.83299999999999996</v>
      </c>
      <c r="S100" s="58">
        <f t="shared" si="92"/>
        <v>0.83299999999999996</v>
      </c>
      <c r="T100" s="518">
        <v>20</v>
      </c>
      <c r="U100" s="29"/>
      <c r="V100" s="40">
        <f t="shared" ref="V100:Y103" si="99">V22/$V$20*$V$98</f>
        <v>16.999802639694089</v>
      </c>
      <c r="W100" s="29">
        <f t="shared" si="99"/>
        <v>15.804364623165167</v>
      </c>
      <c r="X100" s="29">
        <f t="shared" si="99"/>
        <v>14.716516028123847</v>
      </c>
      <c r="Y100" s="58">
        <f t="shared" si="99"/>
        <v>14.608926606636242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600">
        <v>5</v>
      </c>
      <c r="AG100" s="62">
        <f t="shared" si="65"/>
        <v>0.26805600000000002</v>
      </c>
      <c r="AH100" s="65"/>
      <c r="AI100" s="30">
        <v>2019</v>
      </c>
      <c r="AJ100" s="65">
        <v>8.5</v>
      </c>
      <c r="AL100" s="2"/>
      <c r="AM100" s="211" t="str">
        <f t="shared" si="96"/>
        <v>R-SW_Att_ELC_HPN2-F</v>
      </c>
      <c r="AN100" s="211" t="str">
        <f t="shared" si="96"/>
        <v>Residential Electric Heat Pump - Air to Water - SH + WH + Solar - F rated dwelling</v>
      </c>
      <c r="AO100" s="105" t="s">
        <v>13</v>
      </c>
      <c r="AP100" s="105" t="s">
        <v>180</v>
      </c>
      <c r="AQ100" s="105"/>
      <c r="AR100" s="105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764</v>
      </c>
      <c r="E101" s="24" t="s">
        <v>555</v>
      </c>
      <c r="F101" s="24" t="s">
        <v>665</v>
      </c>
      <c r="G101" s="24" t="s">
        <v>757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97"/>
        <v>0.7</v>
      </c>
      <c r="Q101" s="23">
        <f t="shared" si="90"/>
        <v>0.77700000000000002</v>
      </c>
      <c r="R101" s="23">
        <f t="shared" si="91"/>
        <v>0.83299999999999996</v>
      </c>
      <c r="S101" s="57">
        <f t="shared" si="92"/>
        <v>0.83299999999999996</v>
      </c>
      <c r="T101" s="517">
        <v>20</v>
      </c>
      <c r="U101" s="23"/>
      <c r="V101" s="22">
        <f t="shared" si="99"/>
        <v>17.884840261502404</v>
      </c>
      <c r="W101" s="23">
        <f t="shared" si="99"/>
        <v>16.689402244973479</v>
      </c>
      <c r="X101" s="23">
        <f t="shared" si="99"/>
        <v>15.601553649932161</v>
      </c>
      <c r="Y101" s="57">
        <f t="shared" si="99"/>
        <v>15.493964228444558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99">
        <v>5</v>
      </c>
      <c r="AG101" s="63">
        <f t="shared" si="65"/>
        <v>0.26805600000000002</v>
      </c>
      <c r="AH101" s="66"/>
      <c r="AI101" s="24">
        <v>2019</v>
      </c>
      <c r="AJ101" s="66">
        <v>8.5</v>
      </c>
      <c r="AL101" s="2"/>
      <c r="AM101" s="211" t="str">
        <f t="shared" si="96"/>
        <v>R-SW_Att_ELC_HPN2-G</v>
      </c>
      <c r="AN101" s="211" t="str">
        <f t="shared" si="96"/>
        <v>Residential Electric Heat Pump - Air to Water - SH + WH + Solar - G rated dwelling</v>
      </c>
      <c r="AO101" s="105" t="s">
        <v>13</v>
      </c>
      <c r="AP101" s="105" t="s">
        <v>180</v>
      </c>
      <c r="AQ101" s="105"/>
      <c r="AR101" s="105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765</v>
      </c>
      <c r="E102" s="30" t="s">
        <v>555</v>
      </c>
      <c r="F102" s="30" t="s">
        <v>665</v>
      </c>
      <c r="G102" s="30" t="s">
        <v>758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97"/>
        <v>0.7</v>
      </c>
      <c r="Q102" s="29">
        <f t="shared" si="90"/>
        <v>0.77700000000000002</v>
      </c>
      <c r="R102" s="29">
        <f t="shared" si="91"/>
        <v>0.83299999999999996</v>
      </c>
      <c r="S102" s="58">
        <f t="shared" si="92"/>
        <v>0.83299999999999996</v>
      </c>
      <c r="T102" s="518">
        <v>20</v>
      </c>
      <c r="U102" s="29"/>
      <c r="V102" s="40">
        <f t="shared" si="99"/>
        <v>18.76987788331072</v>
      </c>
      <c r="W102" s="29">
        <f t="shared" si="99"/>
        <v>17.574439866781795</v>
      </c>
      <c r="X102" s="29">
        <f t="shared" si="99"/>
        <v>16.486591271740476</v>
      </c>
      <c r="Y102" s="58">
        <f t="shared" si="99"/>
        <v>16.37900185025287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600">
        <v>5</v>
      </c>
      <c r="AG102" s="62">
        <f t="shared" si="65"/>
        <v>0.26805600000000002</v>
      </c>
      <c r="AH102" s="65"/>
      <c r="AI102" s="30">
        <v>2019</v>
      </c>
      <c r="AJ102" s="65">
        <v>8.5</v>
      </c>
      <c r="AL102" s="2"/>
      <c r="AM102" s="211" t="str">
        <f t="shared" si="96"/>
        <v>R-SH_Att_ELC_HPN3-AB</v>
      </c>
      <c r="AN102" s="211" t="str">
        <f t="shared" si="96"/>
        <v>Residential Electric Heat Pump - Ground to Water - SH - AB rated dwelling</v>
      </c>
      <c r="AO102" s="105" t="s">
        <v>13</v>
      </c>
      <c r="AP102" s="105" t="s">
        <v>180</v>
      </c>
      <c r="AQ102" s="105"/>
      <c r="AR102" s="105" t="s">
        <v>75</v>
      </c>
    </row>
    <row r="103" spans="3:44" ht="15" x14ac:dyDescent="0.25">
      <c r="C103" s="251" t="str">
        <f>"R-SW_Att"&amp;"_"&amp;RIGHT(E103,3)&amp;"_HPN2-G"</f>
        <v>R-SW_Att_ELC_HPN2-G</v>
      </c>
      <c r="D103" s="27" t="s">
        <v>766</v>
      </c>
      <c r="E103" s="27" t="s">
        <v>555</v>
      </c>
      <c r="F103" s="27" t="s">
        <v>665</v>
      </c>
      <c r="G103" s="27" t="s">
        <v>759</v>
      </c>
      <c r="H103" s="251">
        <v>1</v>
      </c>
      <c r="I103" s="26">
        <v>1.1100000000000001</v>
      </c>
      <c r="J103" s="26">
        <v>1.19</v>
      </c>
      <c r="K103" s="59">
        <v>1.19</v>
      </c>
      <c r="L103" s="251"/>
      <c r="M103" s="26"/>
      <c r="N103" s="26"/>
      <c r="O103" s="59"/>
      <c r="P103" s="251">
        <f t="shared" si="97"/>
        <v>0.7</v>
      </c>
      <c r="Q103" s="26">
        <f t="shared" si="90"/>
        <v>0.77700000000000002</v>
      </c>
      <c r="R103" s="26">
        <f t="shared" si="91"/>
        <v>0.83299999999999996</v>
      </c>
      <c r="S103" s="59">
        <f t="shared" si="92"/>
        <v>0.83299999999999996</v>
      </c>
      <c r="T103" s="520">
        <v>20</v>
      </c>
      <c r="U103" s="26"/>
      <c r="V103" s="251">
        <f t="shared" si="99"/>
        <v>19.654915505119032</v>
      </c>
      <c r="W103" s="26">
        <f t="shared" si="99"/>
        <v>18.45947748859011</v>
      </c>
      <c r="X103" s="26">
        <f t="shared" si="99"/>
        <v>17.371628893548788</v>
      </c>
      <c r="Y103" s="59">
        <f t="shared" si="99"/>
        <v>17.264039472061182</v>
      </c>
      <c r="Z103" s="64">
        <f>((JRC_Data!BL18+JRC_Data!BL45)*0.8)/1000</f>
        <v>0.16960000000000003</v>
      </c>
      <c r="AA103" s="67"/>
      <c r="AB103" s="521">
        <v>0.66</v>
      </c>
      <c r="AC103" s="521"/>
      <c r="AD103" s="521"/>
      <c r="AE103" s="521"/>
      <c r="AF103" s="599">
        <v>5</v>
      </c>
      <c r="AG103" s="64">
        <f t="shared" si="65"/>
        <v>0.26805600000000002</v>
      </c>
      <c r="AH103" s="67"/>
      <c r="AI103" s="27">
        <v>2019</v>
      </c>
      <c r="AJ103" s="67">
        <v>8.5</v>
      </c>
      <c r="AL103" s="2"/>
      <c r="AM103" s="211" t="str">
        <f t="shared" si="96"/>
        <v>R-SH_Att_ELC_HPN3-C</v>
      </c>
      <c r="AN103" s="211" t="str">
        <f t="shared" si="96"/>
        <v>Residential Electric Heat Pump - Ground to Water - SH - C rated dwelling</v>
      </c>
      <c r="AO103" s="105" t="s">
        <v>13</v>
      </c>
      <c r="AP103" s="105" t="s">
        <v>180</v>
      </c>
      <c r="AQ103" s="105"/>
      <c r="AR103" s="105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742</v>
      </c>
      <c r="E104" s="88" t="s">
        <v>153</v>
      </c>
      <c r="F104" s="88" t="s">
        <v>563</v>
      </c>
      <c r="G104" s="88" t="s">
        <v>732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6">
        <v>20</v>
      </c>
      <c r="U104" s="56"/>
      <c r="V104" s="19">
        <f>(JRC_Data!BB20/1000)*($U$196/$U$197)</f>
        <v>13.828571428571429</v>
      </c>
      <c r="W104" s="20">
        <f>(JRC_Data!BC20/1000)*($U$196/$U$197)</f>
        <v>12.840816326530613</v>
      </c>
      <c r="X104" s="20">
        <f>(JRC_Data!BD20/1000)*($U$196/$U$197)</f>
        <v>11.853061224489796</v>
      </c>
      <c r="Y104" s="56">
        <f>(JRC_Data!BE20/1000)*($U$196/$U$197)</f>
        <v>10.865306122448981</v>
      </c>
      <c r="Z104" s="84">
        <f>JRC_Data!BL20/1000</f>
        <v>0.2</v>
      </c>
      <c r="AA104" s="87"/>
      <c r="AB104" s="259"/>
      <c r="AC104" s="259"/>
      <c r="AD104" s="259"/>
      <c r="AE104" s="259"/>
      <c r="AF104" s="46"/>
      <c r="AG104" s="84">
        <f t="shared" si="65"/>
        <v>0.220752</v>
      </c>
      <c r="AH104" s="87"/>
      <c r="AI104" s="88">
        <v>2019</v>
      </c>
      <c r="AJ104" s="87">
        <v>7</v>
      </c>
      <c r="AL104" s="2"/>
      <c r="AM104" s="211" t="str">
        <f t="shared" si="96"/>
        <v>R-SH_Att_ELC_HPN3-D</v>
      </c>
      <c r="AN104" s="211" t="str">
        <f t="shared" si="96"/>
        <v>Residential Electric Heat Pump - Ground to Water - SH - D rated dwelling</v>
      </c>
      <c r="AO104" s="105" t="s">
        <v>13</v>
      </c>
      <c r="AP104" s="105" t="s">
        <v>180</v>
      </c>
      <c r="AQ104" s="105"/>
      <c r="AR104" s="105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743</v>
      </c>
      <c r="E105" s="24" t="s">
        <v>153</v>
      </c>
      <c r="F105" s="24" t="s">
        <v>563</v>
      </c>
      <c r="G105" s="24" t="s">
        <v>755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7">
        <v>20</v>
      </c>
      <c r="U105" s="57"/>
      <c r="V105" s="22">
        <f>V21/$V$20*$V$104</f>
        <v>17.514224794395371</v>
      </c>
      <c r="W105" s="23">
        <f t="shared" ref="W105:Y105" si="100">W21/$V$20*$V$104</f>
        <v>16.269653365823942</v>
      </c>
      <c r="X105" s="23">
        <f t="shared" si="100"/>
        <v>15.137093365823942</v>
      </c>
      <c r="Y105" s="57">
        <f t="shared" si="100"/>
        <v>15.025081937252514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5"/>
        <v>0.220752</v>
      </c>
      <c r="AH105" s="66"/>
      <c r="AI105" s="24">
        <v>2019</v>
      </c>
      <c r="AJ105" s="66">
        <v>7</v>
      </c>
      <c r="AL105" s="2"/>
      <c r="AM105" s="211" t="str">
        <f t="shared" si="96"/>
        <v>R-SH_Att_ELC_HPN3-E</v>
      </c>
      <c r="AN105" s="211" t="str">
        <f t="shared" si="96"/>
        <v>Residential Electric Heat Pump - Ground to Water - SH - E rated dwelling</v>
      </c>
      <c r="AO105" s="105" t="s">
        <v>13</v>
      </c>
      <c r="AP105" s="105" t="s">
        <v>180</v>
      </c>
      <c r="AQ105" s="105"/>
      <c r="AR105" s="105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744</v>
      </c>
      <c r="E106" s="30" t="s">
        <v>153</v>
      </c>
      <c r="F106" s="30" t="s">
        <v>563</v>
      </c>
      <c r="G106" s="30" t="s">
        <v>756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8">
        <v>20</v>
      </c>
      <c r="U106" s="58"/>
      <c r="V106" s="40">
        <f t="shared" ref="V106:Y109" si="101">V22/$V$20*$V$104</f>
        <v>17.698507462686567</v>
      </c>
      <c r="W106" s="29">
        <f t="shared" si="101"/>
        <v>16.453936034115138</v>
      </c>
      <c r="X106" s="29">
        <f t="shared" si="101"/>
        <v>15.321376034115142</v>
      </c>
      <c r="Y106" s="58">
        <f t="shared" si="101"/>
        <v>15.209364605543712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5"/>
        <v>0.220752</v>
      </c>
      <c r="AH106" s="65"/>
      <c r="AI106" s="30">
        <v>2019</v>
      </c>
      <c r="AJ106" s="65">
        <v>7</v>
      </c>
      <c r="AL106" s="2"/>
      <c r="AM106" s="211" t="str">
        <f t="shared" si="96"/>
        <v>R-SH_Att_ELC_HPN3-F</v>
      </c>
      <c r="AN106" s="211" t="str">
        <f t="shared" si="96"/>
        <v>Residential Electric Heat Pump - Ground to Water - SH - F rated dwelling</v>
      </c>
      <c r="AO106" s="105" t="s">
        <v>13</v>
      </c>
      <c r="AP106" s="105" t="s">
        <v>180</v>
      </c>
      <c r="AQ106" s="105"/>
      <c r="AR106" s="105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745</v>
      </c>
      <c r="E107" s="24" t="s">
        <v>153</v>
      </c>
      <c r="F107" s="24" t="s">
        <v>563</v>
      </c>
      <c r="G107" s="24" t="s">
        <v>757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7">
        <v>20</v>
      </c>
      <c r="U107" s="57"/>
      <c r="V107" s="22">
        <f t="shared" si="101"/>
        <v>18.619920804142552</v>
      </c>
      <c r="W107" s="23">
        <f t="shared" si="101"/>
        <v>17.375349375571126</v>
      </c>
      <c r="X107" s="23">
        <f t="shared" si="101"/>
        <v>16.242789375571128</v>
      </c>
      <c r="Y107" s="57">
        <f t="shared" si="101"/>
        <v>16.1307779469997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5"/>
        <v>0.220752</v>
      </c>
      <c r="AH107" s="66"/>
      <c r="AI107" s="24">
        <v>2019</v>
      </c>
      <c r="AJ107" s="66">
        <v>7</v>
      </c>
      <c r="AL107" s="2"/>
      <c r="AM107" s="211" t="str">
        <f t="shared" si="96"/>
        <v>R-SH_Att_ELC_HPN3-G</v>
      </c>
      <c r="AN107" s="211" t="str">
        <f t="shared" si="96"/>
        <v>Residential Electric Heat Pump - Ground to Water - SH - G rated dwelling</v>
      </c>
      <c r="AO107" s="105" t="s">
        <v>13</v>
      </c>
      <c r="AP107" s="105" t="s">
        <v>180</v>
      </c>
      <c r="AQ107" s="105"/>
      <c r="AR107" s="105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746</v>
      </c>
      <c r="E108" s="30" t="s">
        <v>153</v>
      </c>
      <c r="F108" s="30" t="s">
        <v>563</v>
      </c>
      <c r="G108" s="30" t="s">
        <v>758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8">
        <v>20</v>
      </c>
      <c r="U108" s="58"/>
      <c r="V108" s="40">
        <f t="shared" si="101"/>
        <v>19.541334145598537</v>
      </c>
      <c r="W108" s="29">
        <f t="shared" si="101"/>
        <v>18.296762717027111</v>
      </c>
      <c r="X108" s="29">
        <f t="shared" si="101"/>
        <v>17.164202717027113</v>
      </c>
      <c r="Y108" s="58">
        <f t="shared" si="101"/>
        <v>17.052191288455681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5"/>
        <v>0.220752</v>
      </c>
      <c r="AH108" s="65"/>
      <c r="AI108" s="30">
        <v>2019</v>
      </c>
      <c r="AJ108" s="65">
        <v>7</v>
      </c>
      <c r="AL108" s="2"/>
      <c r="AM108" s="211" t="str">
        <f t="shared" si="96"/>
        <v>R-HC_Att_ELC_HPN2-AB</v>
      </c>
      <c r="AN108" s="211" t="str">
        <f t="shared" si="96"/>
        <v>Residential Electric Heat Pump - Ground to Water - SH + SC - AB rated dwelling</v>
      </c>
      <c r="AO108" s="105" t="s">
        <v>13</v>
      </c>
      <c r="AP108" s="105" t="s">
        <v>180</v>
      </c>
      <c r="AQ108" s="105"/>
      <c r="AR108" s="105" t="s">
        <v>75</v>
      </c>
    </row>
    <row r="109" spans="3:44" ht="15" x14ac:dyDescent="0.25">
      <c r="C109" s="251" t="str">
        <f>"R-SH_Att"&amp;"_"&amp;RIGHT(E109,3)&amp;"_HPN3-G"</f>
        <v>R-SH_Att_ELC_HPN3-G</v>
      </c>
      <c r="D109" s="27" t="s">
        <v>747</v>
      </c>
      <c r="E109" s="27" t="s">
        <v>153</v>
      </c>
      <c r="F109" s="27" t="s">
        <v>563</v>
      </c>
      <c r="G109" s="27" t="s">
        <v>759</v>
      </c>
      <c r="H109" s="251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51"/>
      <c r="M109" s="26"/>
      <c r="N109" s="26"/>
      <c r="O109" s="59"/>
      <c r="P109" s="251"/>
      <c r="Q109" s="26"/>
      <c r="R109" s="26"/>
      <c r="S109" s="59"/>
      <c r="T109" s="520">
        <v>20</v>
      </c>
      <c r="U109" s="59"/>
      <c r="V109" s="251">
        <f t="shared" si="101"/>
        <v>20.462747487054525</v>
      </c>
      <c r="W109" s="26">
        <f t="shared" si="101"/>
        <v>19.218176058483099</v>
      </c>
      <c r="X109" s="26">
        <f t="shared" si="101"/>
        <v>18.085616058483101</v>
      </c>
      <c r="Y109" s="59">
        <f t="shared" si="101"/>
        <v>17.973604629911669</v>
      </c>
      <c r="Z109" s="64">
        <f>JRC_Data!BL20/1000</f>
        <v>0.2</v>
      </c>
      <c r="AA109" s="67"/>
      <c r="AB109" s="521"/>
      <c r="AC109" s="521"/>
      <c r="AD109" s="521"/>
      <c r="AE109" s="521"/>
      <c r="AF109" s="49"/>
      <c r="AG109" s="64">
        <f t="shared" si="65"/>
        <v>0.220752</v>
      </c>
      <c r="AH109" s="67"/>
      <c r="AI109" s="27">
        <v>2019</v>
      </c>
      <c r="AJ109" s="67">
        <v>7</v>
      </c>
      <c r="AL109" s="2"/>
      <c r="AM109" s="211" t="str">
        <f t="shared" si="96"/>
        <v>R-HC_Att_ELC_HPN2-C</v>
      </c>
      <c r="AN109" s="211" t="str">
        <f t="shared" si="96"/>
        <v>Residential Electric Heat Pump - Ground to Water - SH + SC - C rated dwelling</v>
      </c>
      <c r="AO109" s="105" t="s">
        <v>13</v>
      </c>
      <c r="AP109" s="105" t="s">
        <v>180</v>
      </c>
      <c r="AQ109" s="105"/>
      <c r="AR109" s="105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748</v>
      </c>
      <c r="E110" s="88" t="s">
        <v>153</v>
      </c>
      <c r="F110" s="88" t="s">
        <v>563</v>
      </c>
      <c r="G110" s="88" t="s">
        <v>732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6">
        <v>20</v>
      </c>
      <c r="U110" s="20"/>
      <c r="V110" s="19">
        <f>(JRC_Data!BB20/1000)*($U$197/$U$197)</f>
        <v>14</v>
      </c>
      <c r="W110" s="20">
        <f>(JRC_Data!BC20/1000)*($U$197/$U$197)</f>
        <v>13</v>
      </c>
      <c r="X110" s="20">
        <f>(JRC_Data!BD20/1000)*($U$197/$U$197)</f>
        <v>12</v>
      </c>
      <c r="Y110" s="56">
        <f>(JRC_Data!BE20/1000)*($U$197/$U$197)</f>
        <v>11</v>
      </c>
      <c r="Z110" s="84">
        <f>JRC_Data!BL20/1000</f>
        <v>0.2</v>
      </c>
      <c r="AA110" s="87"/>
      <c r="AB110" s="259"/>
      <c r="AC110" s="259"/>
      <c r="AD110" s="259"/>
      <c r="AE110" s="259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11" t="str">
        <f t="shared" si="96"/>
        <v>R-HC_Att_ELC_HPN2-D</v>
      </c>
      <c r="AN110" s="211" t="str">
        <f t="shared" si="96"/>
        <v>Residential Electric Heat Pump - Ground to Water - SH + SC - D rated dwelling</v>
      </c>
      <c r="AO110" s="105" t="s">
        <v>13</v>
      </c>
      <c r="AP110" s="105" t="s">
        <v>180</v>
      </c>
      <c r="AQ110" s="105"/>
      <c r="AR110" s="105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749</v>
      </c>
      <c r="E111" s="24" t="s">
        <v>153</v>
      </c>
      <c r="F111" s="24" t="s">
        <v>563</v>
      </c>
      <c r="G111" s="24" t="s">
        <v>755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7">
        <v>20</v>
      </c>
      <c r="U111" s="23"/>
      <c r="V111" s="22">
        <f>V21/$V$20*$V$110</f>
        <v>17.731343283582088</v>
      </c>
      <c r="W111" s="23">
        <f t="shared" ref="W111:Y111" si="102">W21/$V$20*$V$110</f>
        <v>16.47134328358209</v>
      </c>
      <c r="X111" s="23">
        <f t="shared" si="102"/>
        <v>15.324743283582089</v>
      </c>
      <c r="Y111" s="57">
        <f t="shared" si="102"/>
        <v>15.211343283582089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103">31.536*(AJ111/1000)</f>
        <v>0.26805600000000002</v>
      </c>
      <c r="AH111" s="66"/>
      <c r="AI111" s="24">
        <v>2019</v>
      </c>
      <c r="AJ111" s="66">
        <v>8.5</v>
      </c>
      <c r="AL111" s="2"/>
      <c r="AM111" s="211" t="str">
        <f t="shared" si="96"/>
        <v>R-HC_Att_ELC_HPN2-E</v>
      </c>
      <c r="AN111" s="211" t="str">
        <f t="shared" si="96"/>
        <v>Residential Electric Heat Pump - Ground to Water - SH + SC - E rated dwelling</v>
      </c>
      <c r="AO111" s="105" t="s">
        <v>13</v>
      </c>
      <c r="AP111" s="105" t="s">
        <v>180</v>
      </c>
      <c r="AQ111" s="105"/>
      <c r="AR111" s="105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750</v>
      </c>
      <c r="E112" s="30" t="s">
        <v>153</v>
      </c>
      <c r="F112" s="30" t="s">
        <v>563</v>
      </c>
      <c r="G112" s="30" t="s">
        <v>756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8">
        <v>20</v>
      </c>
      <c r="U112" s="29"/>
      <c r="V112" s="40">
        <f t="shared" ref="V112:Y115" si="104">V22/$V$20*$V$110</f>
        <v>17.917910447761191</v>
      </c>
      <c r="W112" s="29">
        <f t="shared" si="104"/>
        <v>16.657910447761193</v>
      </c>
      <c r="X112" s="29">
        <f t="shared" si="104"/>
        <v>15.511310447761197</v>
      </c>
      <c r="Y112" s="58">
        <f t="shared" si="104"/>
        <v>15.397910447761197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103"/>
        <v>0.26805600000000002</v>
      </c>
      <c r="AH112" s="65"/>
      <c r="AI112" s="30">
        <v>2019</v>
      </c>
      <c r="AJ112" s="65">
        <v>8.5</v>
      </c>
      <c r="AL112" s="2"/>
      <c r="AM112" s="211" t="str">
        <f t="shared" si="96"/>
        <v>R-HC_Att_ELC_HPN2-F</v>
      </c>
      <c r="AN112" s="211" t="str">
        <f t="shared" si="96"/>
        <v>Residential Electric Heat Pump - Ground to Water - SH + SC - F rated dwelling</v>
      </c>
      <c r="AO112" s="105" t="s">
        <v>13</v>
      </c>
      <c r="AP112" s="105" t="s">
        <v>180</v>
      </c>
      <c r="AQ112" s="105"/>
      <c r="AR112" s="105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751</v>
      </c>
      <c r="E113" s="24" t="s">
        <v>153</v>
      </c>
      <c r="F113" s="24" t="s">
        <v>563</v>
      </c>
      <c r="G113" s="24" t="s">
        <v>757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7">
        <v>20</v>
      </c>
      <c r="U113" s="23"/>
      <c r="V113" s="22">
        <f t="shared" si="104"/>
        <v>18.850746268656714</v>
      </c>
      <c r="W113" s="23">
        <f t="shared" si="104"/>
        <v>17.590746268656716</v>
      </c>
      <c r="X113" s="23">
        <f t="shared" si="104"/>
        <v>16.44414626865672</v>
      </c>
      <c r="Y113" s="57">
        <f t="shared" si="104"/>
        <v>16.330746268656718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103"/>
        <v>0.26805600000000002</v>
      </c>
      <c r="AH113" s="66"/>
      <c r="AI113" s="24">
        <v>2019</v>
      </c>
      <c r="AJ113" s="66">
        <v>8.5</v>
      </c>
      <c r="AL113" s="2"/>
      <c r="AM113" s="211" t="str">
        <f t="shared" si="96"/>
        <v>R-HC_Att_ELC_HPN2-G</v>
      </c>
      <c r="AN113" s="211" t="str">
        <f t="shared" si="96"/>
        <v>Residential Electric Heat Pump - Ground to Water - SH + SC - G rated dwelling</v>
      </c>
      <c r="AO113" s="105" t="s">
        <v>13</v>
      </c>
      <c r="AP113" s="105" t="s">
        <v>180</v>
      </c>
      <c r="AQ113" s="105"/>
      <c r="AR113" s="105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752</v>
      </c>
      <c r="E114" s="30" t="s">
        <v>153</v>
      </c>
      <c r="F114" s="30" t="s">
        <v>563</v>
      </c>
      <c r="G114" s="30" t="s">
        <v>758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8">
        <v>20</v>
      </c>
      <c r="U114" s="29"/>
      <c r="V114" s="40">
        <f t="shared" si="104"/>
        <v>19.783582089552237</v>
      </c>
      <c r="W114" s="29">
        <f t="shared" si="104"/>
        <v>18.523582089552239</v>
      </c>
      <c r="X114" s="29">
        <f t="shared" si="104"/>
        <v>17.376982089552243</v>
      </c>
      <c r="Y114" s="58">
        <f t="shared" si="104"/>
        <v>17.263582089552237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103"/>
        <v>0.26805600000000002</v>
      </c>
      <c r="AH114" s="65"/>
      <c r="AI114" s="30">
        <v>2019</v>
      </c>
      <c r="AJ114" s="65">
        <v>8.5</v>
      </c>
      <c r="AL114" s="2"/>
      <c r="AM114" s="211" t="str">
        <f>C117</f>
        <v>R-SW_Att_GAS_HPN1</v>
      </c>
      <c r="AN114" s="211" t="str">
        <f>D117</f>
        <v>Residential Gas Absorption Heat Pump - Air to Water - SH + WH</v>
      </c>
      <c r="AO114" s="105" t="s">
        <v>13</v>
      </c>
      <c r="AP114" s="105" t="s">
        <v>180</v>
      </c>
      <c r="AQ114" s="105"/>
      <c r="AR114" s="105" t="s">
        <v>75</v>
      </c>
      <c r="AS114" s="4"/>
    </row>
    <row r="115" spans="3:45" ht="15" x14ac:dyDescent="0.25">
      <c r="C115" s="251" t="str">
        <f>"R-HC_Att"&amp;"_"&amp;RIGHT(E115,3)&amp;"_HPN2-G"</f>
        <v>R-HC_Att_ELC_HPN2-G</v>
      </c>
      <c r="D115" s="27" t="s">
        <v>753</v>
      </c>
      <c r="E115" s="27" t="s">
        <v>153</v>
      </c>
      <c r="F115" s="27" t="s">
        <v>563</v>
      </c>
      <c r="G115" s="27" t="s">
        <v>759</v>
      </c>
      <c r="H115" s="251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51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51"/>
      <c r="Q115" s="26"/>
      <c r="R115" s="26"/>
      <c r="S115" s="59"/>
      <c r="T115" s="520">
        <v>20</v>
      </c>
      <c r="U115" s="26"/>
      <c r="V115" s="251">
        <f t="shared" si="104"/>
        <v>20.71641791044776</v>
      </c>
      <c r="W115" s="26">
        <f t="shared" si="104"/>
        <v>19.456417910447762</v>
      </c>
      <c r="X115" s="26">
        <f t="shared" si="104"/>
        <v>18.309817910447766</v>
      </c>
      <c r="Y115" s="59">
        <f t="shared" si="104"/>
        <v>18.196417910447764</v>
      </c>
      <c r="Z115" s="64">
        <f>JRC_Data!BL20/1000</f>
        <v>0.2</v>
      </c>
      <c r="AA115" s="67"/>
      <c r="AB115" s="521"/>
      <c r="AC115" s="521"/>
      <c r="AD115" s="521"/>
      <c r="AE115" s="521"/>
      <c r="AF115" s="49"/>
      <c r="AG115" s="64">
        <f t="shared" si="103"/>
        <v>0.26805600000000002</v>
      </c>
      <c r="AH115" s="67"/>
      <c r="AI115" s="27">
        <v>2019</v>
      </c>
      <c r="AJ115" s="67">
        <v>8.5</v>
      </c>
      <c r="AL115" s="2"/>
      <c r="AM115" s="211" t="str">
        <f t="shared" ref="AM115:AN115" si="105">C118</f>
        <v>R-SW_Att_GAS_HPN2</v>
      </c>
      <c r="AN115" s="211" t="str">
        <f t="shared" si="105"/>
        <v>Residential Gas Engine Heat Pump - Air to Water - SH + WH</v>
      </c>
      <c r="AO115" s="105" t="s">
        <v>13</v>
      </c>
      <c r="AP115" s="105" t="s">
        <v>180</v>
      </c>
      <c r="AQ115" s="105"/>
      <c r="AR115" s="105" t="s">
        <v>75</v>
      </c>
      <c r="AS115" s="4"/>
    </row>
    <row r="116" spans="3:45" ht="15" x14ac:dyDescent="0.25">
      <c r="C116" s="33" t="s">
        <v>277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24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11" t="str">
        <f>C120</f>
        <v>R-SW_Att_GAS_HHPN1</v>
      </c>
      <c r="AN116" s="211" t="str">
        <f>D120</f>
        <v>Residential Gas Hybrid Heat Pump - Air to Water - SH + WH</v>
      </c>
      <c r="AO116" s="105" t="s">
        <v>13</v>
      </c>
      <c r="AP116" s="105" t="s">
        <v>180</v>
      </c>
      <c r="AQ116" s="105"/>
      <c r="AR116" s="105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116</v>
      </c>
      <c r="E117" s="88" t="s">
        <v>699</v>
      </c>
      <c r="F117" s="88" t="s">
        <v>665</v>
      </c>
      <c r="G117" s="88" t="s">
        <v>727</v>
      </c>
      <c r="H117" s="378">
        <f>JRC_Data!AC28/0.81</f>
        <v>1.6666666666666667</v>
      </c>
      <c r="I117" s="378">
        <f>JRC_Data!AD28/0.81</f>
        <v>1.7901234567901232</v>
      </c>
      <c r="J117" s="378">
        <f>JRC_Data!AE28/0.81</f>
        <v>2.0987654320987654</v>
      </c>
      <c r="K117" s="378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106">I117*0.7</f>
        <v>1.2530864197530862</v>
      </c>
      <c r="R117" s="20">
        <f t="shared" ref="R117:R118" si="107">J117*0.7</f>
        <v>1.4691358024691357</v>
      </c>
      <c r="S117" s="56">
        <f t="shared" ref="S117:S118" si="108">K117*0.7</f>
        <v>1.4691358024691357</v>
      </c>
      <c r="T117" s="88">
        <v>20</v>
      </c>
      <c r="U117" s="48"/>
      <c r="V117" s="19">
        <f>(JRC_Data!BB28/1000)*($U$197/$U$198)</f>
        <v>14.756756756756756</v>
      </c>
      <c r="W117" s="19">
        <f>(JRC_Data!BC28/1000)*($U$197/$U$198)</f>
        <v>13.810810810810811</v>
      </c>
      <c r="X117" s="19">
        <f>(JRC_Data!BD28/1000)*($U$197/$U$198)</f>
        <v>11.918918918918919</v>
      </c>
      <c r="Y117" s="84">
        <f>(JRC_Data!BE28/1000)*($U$197/$U$198)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5"/>
        <v>0.7884000000000001</v>
      </c>
      <c r="AH117" s="87"/>
      <c r="AI117" s="87">
        <v>2019</v>
      </c>
      <c r="AJ117" s="87">
        <v>25</v>
      </c>
      <c r="AL117" s="2"/>
      <c r="AM117" s="211" t="str">
        <f>C122</f>
        <v>R-SW_Att_HET_N1</v>
      </c>
      <c r="AN117" s="211" t="str">
        <f>D122</f>
        <v>Residential District Heating Centralized - SH + WH</v>
      </c>
      <c r="AO117" s="105" t="s">
        <v>13</v>
      </c>
      <c r="AP117" s="105" t="s">
        <v>180</v>
      </c>
      <c r="AQ117" s="105"/>
      <c r="AR117" s="105" t="s">
        <v>75</v>
      </c>
      <c r="AS117" s="4"/>
    </row>
    <row r="118" spans="3:45" ht="15" x14ac:dyDescent="0.25">
      <c r="C118" s="251" t="str">
        <f>"R-SW_Att"&amp;"_"&amp;RIGHT(E118,3)&amp;"_HPN2"</f>
        <v>R-SW_Att_GAS_HPN2</v>
      </c>
      <c r="D118" s="26" t="s">
        <v>117</v>
      </c>
      <c r="E118" s="27" t="s">
        <v>699</v>
      </c>
      <c r="F118" s="27" t="s">
        <v>665</v>
      </c>
      <c r="G118" s="27" t="s">
        <v>727</v>
      </c>
      <c r="H118" s="379">
        <f>JRC_Data!AC30/0.9</f>
        <v>1.6666666666666665</v>
      </c>
      <c r="I118" s="379">
        <f>JRC_Data!AD30/0.9</f>
        <v>1.7222222222222223</v>
      </c>
      <c r="J118" s="379">
        <f>JRC_Data!AE30/0.9</f>
        <v>1.7222222222222223</v>
      </c>
      <c r="K118" s="379">
        <f>JRC_Data!AF30/0.9</f>
        <v>1.7777777777777779</v>
      </c>
      <c r="L118" s="49"/>
      <c r="M118" s="50"/>
      <c r="N118" s="50"/>
      <c r="O118" s="51"/>
      <c r="P118" s="251">
        <f>H118*0.7</f>
        <v>1.1666666666666665</v>
      </c>
      <c r="Q118" s="26">
        <f t="shared" si="106"/>
        <v>1.2055555555555555</v>
      </c>
      <c r="R118" s="26">
        <f t="shared" si="107"/>
        <v>1.2055555555555555</v>
      </c>
      <c r="S118" s="59">
        <f t="shared" si="108"/>
        <v>1.2444444444444445</v>
      </c>
      <c r="T118" s="27">
        <v>15</v>
      </c>
      <c r="U118" s="51"/>
      <c r="V118" s="251">
        <f>(JRC_Data!BB30/1000)*($U$197/$U$198)</f>
        <v>44.932432432432435</v>
      </c>
      <c r="W118" s="251">
        <f>(JRC_Data!BC30/1000)*($U$197/$U$198)</f>
        <v>44.932432432432435</v>
      </c>
      <c r="X118" s="251">
        <f>(JRC_Data!BD30/1000)*($U$197/$U$198)</f>
        <v>44.932432432432435</v>
      </c>
      <c r="Y118" s="64">
        <f>(JRC_Data!BE30/1000)*($U$197/$U$198)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11" t="str">
        <f t="shared" ref="AM118" si="109">C123</f>
        <v>R-SW_Att_HET_N2</v>
      </c>
      <c r="AN118" s="211" t="str">
        <f>D123</f>
        <v>Residential District Heating Decentralized - SH + WH</v>
      </c>
      <c r="AO118" s="105" t="s">
        <v>13</v>
      </c>
      <c r="AP118" s="105" t="s">
        <v>180</v>
      </c>
      <c r="AQ118" s="105"/>
      <c r="AR118" s="105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11" t="str">
        <f>C125</f>
        <v>R-WH_Att_ELC_N1</v>
      </c>
      <c r="AN119" s="211" t="str">
        <f>D125</f>
        <v xml:space="preserve">Residential Electric Water Heater </v>
      </c>
      <c r="AO119" s="105" t="s">
        <v>13</v>
      </c>
      <c r="AP119" s="105" t="s">
        <v>180</v>
      </c>
      <c r="AQ119" s="105"/>
      <c r="AR119" s="105" t="s">
        <v>75</v>
      </c>
    </row>
    <row r="120" spans="3:45" ht="15" x14ac:dyDescent="0.25">
      <c r="C120" s="95" t="str">
        <f>"R-SW_Att"&amp;"_"&amp;RIGHT(E120,3)&amp;"_HHPN1"</f>
        <v>R-SW_Att_GAS_HHPN1</v>
      </c>
      <c r="D120" s="79" t="s">
        <v>125</v>
      </c>
      <c r="E120" s="120" t="s">
        <v>700</v>
      </c>
      <c r="F120" s="120" t="s">
        <v>665</v>
      </c>
      <c r="G120" s="97" t="s">
        <v>727</v>
      </c>
      <c r="H120" s="378">
        <f>1*$AD$48+JRC_Data!AD18*(1.2-$AD$48)</f>
        <v>3.1549999999999998</v>
      </c>
      <c r="I120" s="378">
        <f>1*$AD$48+JRC_Data!AE18*(1.2-$AD$48)</f>
        <v>3.4950000000000001</v>
      </c>
      <c r="J120" s="378">
        <f>1*$AD$48+JRC_Data!AF18*(1.2-$AD$48)</f>
        <v>3.75</v>
      </c>
      <c r="K120" s="378">
        <f>1*$AD$48+JRC_Data!AG18*(1.2-$AD$48)</f>
        <v>3.75</v>
      </c>
      <c r="L120" s="49"/>
      <c r="M120" s="50"/>
      <c r="N120" s="50"/>
      <c r="O120" s="51"/>
      <c r="P120" s="251">
        <f>H120*0.7</f>
        <v>2.2084999999999999</v>
      </c>
      <c r="Q120" s="26">
        <f t="shared" ref="Q120" si="110">I120*0.7</f>
        <v>2.4464999999999999</v>
      </c>
      <c r="R120" s="26">
        <f t="shared" ref="R120" si="111">J120*0.7</f>
        <v>2.625</v>
      </c>
      <c r="S120" s="59">
        <f t="shared" ref="S120" si="112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70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5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11" t="str">
        <f t="shared" ref="AM120" si="113">C126</f>
        <v>R-WH_Att_SOL_N1</v>
      </c>
      <c r="AN120" s="211" t="str">
        <f t="shared" ref="AN120" si="114">D126</f>
        <v xml:space="preserve">Residential Solar Water Heater </v>
      </c>
      <c r="AO120" s="105" t="s">
        <v>13</v>
      </c>
      <c r="AP120" s="105" t="s">
        <v>180</v>
      </c>
      <c r="AQ120" s="105"/>
      <c r="AR120" s="105" t="s">
        <v>75</v>
      </c>
    </row>
    <row r="121" spans="3:45" ht="15" x14ac:dyDescent="0.25">
      <c r="C121" s="33" t="s">
        <v>118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11" t="str">
        <f>C128</f>
        <v>R-SC_Att_ELC_N1</v>
      </c>
      <c r="AN121" s="211" t="str">
        <f>D128</f>
        <v>Residential Electric Air Conditioning</v>
      </c>
      <c r="AO121" s="105" t="s">
        <v>13</v>
      </c>
      <c r="AP121" s="105" t="s">
        <v>180</v>
      </c>
      <c r="AQ121" s="105"/>
      <c r="AR121" s="105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119</v>
      </c>
      <c r="E122" s="88" t="s">
        <v>262</v>
      </c>
      <c r="F122" s="88"/>
      <c r="G122" s="88" t="s">
        <v>727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5">
        <v>1</v>
      </c>
      <c r="Q122" s="246">
        <v>1</v>
      </c>
      <c r="R122" s="246">
        <v>1</v>
      </c>
      <c r="S122" s="247">
        <v>1</v>
      </c>
      <c r="T122" s="52">
        <v>20</v>
      </c>
      <c r="U122" s="48"/>
      <c r="V122" s="19">
        <f>(JRC_Data!BB62/1000)*($U$197/$U$193)</f>
        <v>2.7222222222222219</v>
      </c>
      <c r="W122" s="19">
        <f>(JRC_Data!BC62/1000)*($U$197/$U$193)</f>
        <v>2.7222222222222219</v>
      </c>
      <c r="X122" s="19">
        <f>(JRC_Data!BD62/1000)*($U$197/$U$193)</f>
        <v>2.7222222222222219</v>
      </c>
      <c r="Y122" s="19">
        <f>(JRC_Data!BE62/1000)*($U$197/$U$193)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5"/>
        <v>0.7884000000000001</v>
      </c>
      <c r="AH122" s="87"/>
      <c r="AI122" s="87">
        <v>2019</v>
      </c>
      <c r="AJ122" s="87">
        <v>25</v>
      </c>
      <c r="AL122" s="2"/>
      <c r="AM122" s="211"/>
      <c r="AN122" s="211"/>
      <c r="AO122" s="105"/>
      <c r="AP122" s="105"/>
      <c r="AQ122" s="105"/>
      <c r="AR122" s="105"/>
    </row>
    <row r="123" spans="3:45" ht="15" x14ac:dyDescent="0.25">
      <c r="C123" s="251" t="str">
        <f>"R-SW_Att"&amp;"_"&amp;RIGHT(E123,3)&amp;"_N2"</f>
        <v>R-SW_Att_HET_N2</v>
      </c>
      <c r="D123" s="26" t="s">
        <v>120</v>
      </c>
      <c r="E123" s="27" t="s">
        <v>262</v>
      </c>
      <c r="F123" s="27"/>
      <c r="G123" s="27" t="s">
        <v>727</v>
      </c>
      <c r="H123" s="251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52">
        <v>1</v>
      </c>
      <c r="Q123" s="253">
        <v>1</v>
      </c>
      <c r="R123" s="253">
        <v>1</v>
      </c>
      <c r="S123" s="254">
        <v>1</v>
      </c>
      <c r="T123" s="55">
        <v>20</v>
      </c>
      <c r="U123" s="51"/>
      <c r="V123" s="251">
        <f>(JRC_Data!BB62/1000)*($U$197/$U$193)</f>
        <v>2.7222222222222219</v>
      </c>
      <c r="W123" s="251">
        <f>(JRC_Data!BC62/1000)*($U$197/$U$193)</f>
        <v>2.7222222222222219</v>
      </c>
      <c r="X123" s="251">
        <f>(JRC_Data!BD62/1000)*($U$197/$U$193)</f>
        <v>2.7222222222222219</v>
      </c>
      <c r="Y123" s="251">
        <f>(JRC_Data!BE62/1000)*($U$197/$U$193)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5"/>
        <v>0.7884000000000001</v>
      </c>
      <c r="AH123" s="67"/>
      <c r="AI123" s="67">
        <v>2019</v>
      </c>
      <c r="AJ123" s="67">
        <v>25</v>
      </c>
      <c r="AL123" s="2"/>
      <c r="AM123" s="211"/>
      <c r="AN123" s="211"/>
      <c r="AO123" s="105"/>
      <c r="AP123" s="105"/>
      <c r="AQ123" s="105"/>
      <c r="AR123" s="105"/>
    </row>
    <row r="124" spans="3:45" ht="15" x14ac:dyDescent="0.25">
      <c r="C124" s="33" t="s">
        <v>121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11"/>
      <c r="AN124" s="211"/>
      <c r="AO124" s="105"/>
      <c r="AP124" s="105"/>
      <c r="AQ124" s="105"/>
      <c r="AR124" s="105"/>
    </row>
    <row r="125" spans="3:45" ht="15" x14ac:dyDescent="0.25">
      <c r="C125" s="19" t="str">
        <f>"R-WH_Att"&amp;"_"&amp;RIGHT(E125,3)&amp;"_N1"</f>
        <v>R-WH_Att_ELC_N1</v>
      </c>
      <c r="D125" s="20" t="s">
        <v>122</v>
      </c>
      <c r="E125" s="88" t="s">
        <v>153</v>
      </c>
      <c r="F125" s="88"/>
      <c r="G125" s="56" t="s">
        <v>143</v>
      </c>
      <c r="H125" s="46"/>
      <c r="I125" s="47"/>
      <c r="J125" s="47"/>
      <c r="K125" s="48"/>
      <c r="L125" s="46"/>
      <c r="M125" s="47"/>
      <c r="N125" s="47"/>
      <c r="O125" s="48"/>
      <c r="P125" s="245">
        <v>1</v>
      </c>
      <c r="Q125" s="246">
        <v>1</v>
      </c>
      <c r="R125" s="246">
        <v>1</v>
      </c>
      <c r="S125" s="247">
        <v>1</v>
      </c>
      <c r="T125" s="52">
        <v>20</v>
      </c>
      <c r="U125" s="48"/>
      <c r="V125" s="19">
        <f>(JRC_Data!BB48/1000)*($U$191/$U$191)</f>
        <v>4</v>
      </c>
      <c r="W125" s="19">
        <f>(JRC_Data!BC48/1000)*($U$191/$U$191)</f>
        <v>4</v>
      </c>
      <c r="X125" s="19">
        <f>(JRC_Data!BD48/1000)*($U$191/$U$191)</f>
        <v>4</v>
      </c>
      <c r="Y125" s="19">
        <f>(JRC_Data!BE48/1000)*($U$191/$U$191)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5"/>
        <v>0.18921600000000002</v>
      </c>
      <c r="AH125" s="87"/>
      <c r="AI125" s="87">
        <v>2019</v>
      </c>
      <c r="AJ125" s="87">
        <v>6</v>
      </c>
      <c r="AL125" s="2"/>
      <c r="AM125" s="211"/>
      <c r="AN125" s="211"/>
      <c r="AO125" s="105"/>
      <c r="AP125" s="105"/>
      <c r="AQ125" s="105"/>
      <c r="AR125" s="105"/>
    </row>
    <row r="126" spans="3:45" x14ac:dyDescent="0.2">
      <c r="C126" s="251" t="str">
        <f>"R-WH_Att"&amp;"_"&amp;RIGHT(E126,3)&amp;"_N1"</f>
        <v>R-WH_Att_SOL_N1</v>
      </c>
      <c r="D126" s="26" t="s">
        <v>123</v>
      </c>
      <c r="E126" s="27" t="s">
        <v>271</v>
      </c>
      <c r="F126" s="27"/>
      <c r="G126" s="59" t="s">
        <v>143</v>
      </c>
      <c r="H126" s="49"/>
      <c r="I126" s="50"/>
      <c r="J126" s="50"/>
      <c r="K126" s="51"/>
      <c r="L126" s="49"/>
      <c r="M126" s="50"/>
      <c r="N126" s="50"/>
      <c r="O126" s="51"/>
      <c r="P126" s="242">
        <v>1</v>
      </c>
      <c r="Q126" s="243">
        <v>1</v>
      </c>
      <c r="R126" s="243">
        <v>1</v>
      </c>
      <c r="S126" s="244">
        <v>1</v>
      </c>
      <c r="T126" s="53">
        <v>25</v>
      </c>
      <c r="U126" s="22">
        <v>30</v>
      </c>
      <c r="V126" s="22">
        <f>(JRC_Data!BB45/1000)*($U$191/$U$191)</f>
        <v>5.4</v>
      </c>
      <c r="W126" s="22">
        <f>(JRC_Data!BC45/1000)*($U$191/$U$191)</f>
        <v>5.0999999999999996</v>
      </c>
      <c r="X126" s="22">
        <f>(JRC_Data!BD45/1000)*($U$191/$U$191)</f>
        <v>4.5999999999999996</v>
      </c>
      <c r="Y126" s="22">
        <f>(JRC_Data!BE45/1000)*($U$191/$U$191)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5"/>
        <v>0.18921600000000002</v>
      </c>
      <c r="AH126" s="67"/>
      <c r="AI126" s="66">
        <v>2019</v>
      </c>
      <c r="AJ126" s="66">
        <v>6</v>
      </c>
    </row>
    <row r="127" spans="3:45" x14ac:dyDescent="0.2">
      <c r="C127" s="33" t="s">
        <v>281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5" x14ac:dyDescent="0.2">
      <c r="C128" s="29" t="str">
        <f>"R-SC_Att"&amp;"_"&amp;RIGHT(E128,3)&amp;"_N1"</f>
        <v>R-SC_Att_ELC_N1</v>
      </c>
      <c r="D128" s="96" t="s">
        <v>124</v>
      </c>
      <c r="E128" s="116" t="s">
        <v>153</v>
      </c>
      <c r="F128" s="116"/>
      <c r="G128" s="117" t="s">
        <v>142</v>
      </c>
      <c r="H128" s="114"/>
      <c r="I128" s="115"/>
      <c r="J128" s="115"/>
      <c r="K128" s="115"/>
      <c r="L128" s="257">
        <v>1</v>
      </c>
      <c r="M128" s="258">
        <f>JRC_Data!AD16/JRC_Data!$AC$16</f>
        <v>1.0666666666666667</v>
      </c>
      <c r="N128" s="258">
        <f>JRC_Data!AE16/JRC_Data!$AC$16</f>
        <v>1.2333333333333334</v>
      </c>
      <c r="O128" s="258">
        <f>JRC_Data!AF16/JRC_Data!$AC$16</f>
        <v>1.3333333333333333</v>
      </c>
      <c r="P128" s="115"/>
      <c r="Q128" s="115"/>
      <c r="R128" s="115"/>
      <c r="S128" s="99"/>
      <c r="T128" s="98">
        <v>20</v>
      </c>
      <c r="U128" s="99"/>
      <c r="V128" s="95">
        <f>(JRC_Data!BB16/1000)*($U$192/$U$197)</f>
        <v>1.9786641929499076</v>
      </c>
      <c r="W128" s="95">
        <f>(JRC_Data!BC16/1000)*($U$192/$U$197)</f>
        <v>1.8887249114521845</v>
      </c>
      <c r="X128" s="95">
        <f>(JRC_Data!BD16/1000)*($U$192/$U$197)</f>
        <v>1.7088463484567382</v>
      </c>
      <c r="Y128" s="95">
        <f>(JRC_Data!BE16/1000)*($U$192/$U$197)</f>
        <v>1.6189070669590153</v>
      </c>
      <c r="Z128" s="92">
        <f>JRC_Data!BL16/1000</f>
        <v>3.4000000000000002E-2</v>
      </c>
      <c r="AA128" s="92"/>
      <c r="AB128" s="92"/>
      <c r="AC128" s="92"/>
      <c r="AD128" s="92"/>
      <c r="AE128" s="92"/>
      <c r="AF128" s="92"/>
      <c r="AG128" s="92">
        <f t="shared" si="65"/>
        <v>0.18921600000000002</v>
      </c>
      <c r="AH128" s="91"/>
      <c r="AI128" s="91">
        <v>2019</v>
      </c>
      <c r="AJ128" s="91">
        <v>6</v>
      </c>
      <c r="AL128" s="10" t="s">
        <v>20</v>
      </c>
      <c r="AM128" s="11"/>
      <c r="AN128" s="11"/>
      <c r="AO128" s="11"/>
      <c r="AP128" s="11"/>
      <c r="AQ128" s="11"/>
      <c r="AR128" s="11"/>
    </row>
    <row r="129" spans="3:44" x14ac:dyDescent="0.2">
      <c r="AL129" s="12" t="s">
        <v>27</v>
      </c>
      <c r="AM129" s="12" t="s">
        <v>21</v>
      </c>
      <c r="AN129" s="12" t="s">
        <v>22</v>
      </c>
      <c r="AO129" s="12" t="s">
        <v>28</v>
      </c>
      <c r="AP129" s="12" t="s">
        <v>29</v>
      </c>
      <c r="AQ129" s="12" t="s">
        <v>30</v>
      </c>
      <c r="AR129" s="12" t="s">
        <v>67</v>
      </c>
    </row>
    <row r="130" spans="3:44" ht="33.75" x14ac:dyDescent="0.2">
      <c r="AL130" s="210" t="s">
        <v>69</v>
      </c>
      <c r="AM130" s="210" t="s">
        <v>70</v>
      </c>
      <c r="AN130" s="210" t="s">
        <v>33</v>
      </c>
      <c r="AO130" s="210" t="s">
        <v>71</v>
      </c>
      <c r="AP130" s="210" t="s">
        <v>72</v>
      </c>
      <c r="AQ130" s="210" t="s">
        <v>73</v>
      </c>
      <c r="AR130" s="210" t="s">
        <v>74</v>
      </c>
    </row>
    <row r="131" spans="3:44" ht="15" x14ac:dyDescent="0.25">
      <c r="AL131" s="105" t="s">
        <v>31</v>
      </c>
      <c r="AM131" s="104" t="str">
        <f t="shared" ref="AM131:AM142" si="115">C138</f>
        <v>R-SH_Det_KER_N1</v>
      </c>
      <c r="AN131" s="104" t="str">
        <f t="shared" ref="AN131:AN142" si="116">D138</f>
        <v>Residential Kerosene Heating Oil - New 1 SH</v>
      </c>
      <c r="AO131" s="105" t="s">
        <v>13</v>
      </c>
      <c r="AP131" s="105" t="s">
        <v>180</v>
      </c>
      <c r="AQ131" s="105"/>
      <c r="AR131" s="105" t="s">
        <v>75</v>
      </c>
    </row>
    <row r="132" spans="3:44" ht="15" x14ac:dyDescent="0.25">
      <c r="AL132" s="105"/>
      <c r="AM132" s="104" t="str">
        <f t="shared" si="115"/>
        <v>R-SW_Det_KER_N1</v>
      </c>
      <c r="AN132" s="104" t="str">
        <f t="shared" si="116"/>
        <v>Residential Kerosene Heating Oil - New 2 SH + WH</v>
      </c>
      <c r="AO132" s="105" t="s">
        <v>13</v>
      </c>
      <c r="AP132" s="105" t="s">
        <v>180</v>
      </c>
      <c r="AQ132" s="105"/>
      <c r="AR132" s="105" t="s">
        <v>75</v>
      </c>
    </row>
    <row r="133" spans="3:44" ht="15" x14ac:dyDescent="0.25">
      <c r="H133" s="5" t="s">
        <v>19</v>
      </c>
      <c r="AL133" s="105"/>
      <c r="AM133" s="104" t="str">
        <f t="shared" si="115"/>
        <v>R-SW_Det_KER_N2</v>
      </c>
      <c r="AN133" s="104" t="str">
        <f t="shared" si="116"/>
        <v>Residential Kerosene Heating Oil - New 3 SH+WH + Solar</v>
      </c>
      <c r="AO133" s="105" t="s">
        <v>13</v>
      </c>
      <c r="AP133" s="105" t="s">
        <v>180</v>
      </c>
      <c r="AQ133" s="105"/>
      <c r="AR133" s="105" t="s">
        <v>75</v>
      </c>
    </row>
    <row r="134" spans="3:44" ht="45.75" thickBot="1" x14ac:dyDescent="0.3">
      <c r="C134" s="14" t="s">
        <v>21</v>
      </c>
      <c r="D134" s="15" t="s">
        <v>32</v>
      </c>
      <c r="E134" s="14" t="s">
        <v>23</v>
      </c>
      <c r="F134" s="14" t="s">
        <v>561</v>
      </c>
      <c r="G134" s="14" t="s">
        <v>24</v>
      </c>
      <c r="H134" s="17" t="s">
        <v>734</v>
      </c>
      <c r="I134" s="17" t="s">
        <v>735</v>
      </c>
      <c r="J134" s="17" t="s">
        <v>736</v>
      </c>
      <c r="K134" s="17" t="s">
        <v>737</v>
      </c>
      <c r="L134" s="17" t="s">
        <v>535</v>
      </c>
      <c r="M134" s="17" t="s">
        <v>536</v>
      </c>
      <c r="N134" s="17" t="s">
        <v>537</v>
      </c>
      <c r="O134" s="17" t="s">
        <v>538</v>
      </c>
      <c r="P134" s="17" t="s">
        <v>539</v>
      </c>
      <c r="Q134" s="17" t="s">
        <v>540</v>
      </c>
      <c r="R134" s="17" t="s">
        <v>541</v>
      </c>
      <c r="S134" s="17" t="s">
        <v>542</v>
      </c>
      <c r="T134" s="18" t="s">
        <v>26</v>
      </c>
      <c r="U134" s="18" t="s">
        <v>76</v>
      </c>
      <c r="V134" s="17" t="s">
        <v>241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285</v>
      </c>
      <c r="AC134" s="17" t="s">
        <v>286</v>
      </c>
      <c r="AD134" s="17" t="s">
        <v>287</v>
      </c>
      <c r="AE134" s="17" t="s">
        <v>698</v>
      </c>
      <c r="AF134" s="17" t="s">
        <v>243</v>
      </c>
      <c r="AG134" s="17" t="s">
        <v>77</v>
      </c>
      <c r="AH134" s="17" t="s">
        <v>272</v>
      </c>
      <c r="AI134" s="17" t="s">
        <v>78</v>
      </c>
      <c r="AJ134" s="17" t="s">
        <v>559</v>
      </c>
      <c r="AL134" s="105"/>
      <c r="AM134" s="104" t="str">
        <f t="shared" si="115"/>
        <v>R-SW_Det_KER_N3</v>
      </c>
      <c r="AN134" s="104" t="str">
        <f t="shared" si="116"/>
        <v>Residential Kerosene Heating Oil - New 3 SH+WH + Wood Stove</v>
      </c>
      <c r="AO134" s="106" t="s">
        <v>13</v>
      </c>
      <c r="AP134" s="106" t="s">
        <v>180</v>
      </c>
      <c r="AQ134" s="105"/>
      <c r="AR134" s="105"/>
    </row>
    <row r="135" spans="3:44" ht="38.25" x14ac:dyDescent="0.25">
      <c r="C135" s="16" t="s">
        <v>79</v>
      </c>
      <c r="D135" s="16" t="s">
        <v>33</v>
      </c>
      <c r="E135" s="16" t="s">
        <v>80</v>
      </c>
      <c r="F135" s="16" t="s">
        <v>562</v>
      </c>
      <c r="G135" s="16" t="s">
        <v>81</v>
      </c>
      <c r="H135" s="572" t="s">
        <v>82</v>
      </c>
      <c r="I135" s="573"/>
      <c r="J135" s="573"/>
      <c r="K135" s="574"/>
      <c r="L135" s="572" t="s">
        <v>83</v>
      </c>
      <c r="M135" s="573"/>
      <c r="N135" s="573"/>
      <c r="O135" s="574"/>
      <c r="P135" s="572" t="s">
        <v>84</v>
      </c>
      <c r="Q135" s="573"/>
      <c r="R135" s="573"/>
      <c r="S135" s="574"/>
      <c r="T135" s="572" t="s">
        <v>85</v>
      </c>
      <c r="U135" s="574"/>
      <c r="V135" s="566" t="s">
        <v>86</v>
      </c>
      <c r="W135" s="567"/>
      <c r="X135" s="567"/>
      <c r="Y135" s="568"/>
      <c r="Z135" s="60"/>
      <c r="AA135" s="60"/>
      <c r="AB135" s="68" t="s">
        <v>212</v>
      </c>
      <c r="AC135" s="70" t="s">
        <v>212</v>
      </c>
      <c r="AD135" s="70" t="s">
        <v>212</v>
      </c>
      <c r="AE135" s="70" t="s">
        <v>212</v>
      </c>
      <c r="AF135" s="70" t="s">
        <v>242</v>
      </c>
      <c r="AG135" s="60" t="s">
        <v>66</v>
      </c>
      <c r="AH135" s="60" t="s">
        <v>87</v>
      </c>
      <c r="AI135" s="60"/>
      <c r="AJ135" s="60"/>
      <c r="AL135" s="105"/>
      <c r="AM135" s="104" t="str">
        <f t="shared" si="115"/>
        <v>R-SH_Det_GAS_N1</v>
      </c>
      <c r="AN135" s="104" t="str">
        <f t="shared" si="116"/>
        <v>Residential Natural Gas Heating - New 1 SH</v>
      </c>
      <c r="AO135" s="105" t="s">
        <v>13</v>
      </c>
      <c r="AP135" s="105" t="s">
        <v>180</v>
      </c>
      <c r="AQ135" s="105"/>
      <c r="AR135" s="105" t="s">
        <v>75</v>
      </c>
    </row>
    <row r="136" spans="3:44" ht="30" customHeight="1" thickBot="1" x14ac:dyDescent="0.3">
      <c r="C136" s="14" t="s">
        <v>556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71"/>
      <c r="U136" s="371"/>
      <c r="V136" s="371"/>
      <c r="W136" s="371"/>
      <c r="X136" s="371"/>
      <c r="Y136" s="371"/>
      <c r="Z136" s="371"/>
      <c r="AA136" s="371"/>
      <c r="AB136" s="371"/>
      <c r="AC136" s="371"/>
      <c r="AD136" s="371"/>
      <c r="AE136" s="371"/>
      <c r="AF136" s="371"/>
      <c r="AG136" s="371"/>
      <c r="AH136" s="371"/>
      <c r="AI136" s="371"/>
      <c r="AJ136" s="371"/>
      <c r="AL136" s="105"/>
      <c r="AM136" s="104" t="str">
        <f t="shared" si="115"/>
        <v>R-SW_Det_GAS_N1</v>
      </c>
      <c r="AN136" s="104" t="str">
        <f t="shared" si="116"/>
        <v>Residential Natural Gas Heating - New 2 SH + WH</v>
      </c>
      <c r="AO136" s="105" t="s">
        <v>13</v>
      </c>
      <c r="AP136" s="105" t="s">
        <v>180</v>
      </c>
      <c r="AQ136" s="105"/>
      <c r="AR136" s="105" t="s">
        <v>75</v>
      </c>
    </row>
    <row r="137" spans="3:44" ht="15" x14ac:dyDescent="0.25">
      <c r="C137" s="37" t="s">
        <v>274</v>
      </c>
      <c r="D137" s="38"/>
      <c r="E137" s="38"/>
      <c r="F137" s="38"/>
      <c r="G137" s="39"/>
      <c r="H137" s="569" t="s">
        <v>34</v>
      </c>
      <c r="I137" s="570"/>
      <c r="J137" s="570"/>
      <c r="K137" s="571"/>
      <c r="L137" s="570" t="s">
        <v>34</v>
      </c>
      <c r="M137" s="570"/>
      <c r="N137" s="570"/>
      <c r="O137" s="571"/>
      <c r="P137" s="569" t="s">
        <v>34</v>
      </c>
      <c r="Q137" s="570"/>
      <c r="R137" s="570"/>
      <c r="S137" s="571"/>
      <c r="T137" s="575" t="s">
        <v>68</v>
      </c>
      <c r="U137" s="576"/>
      <c r="V137" s="575" t="s">
        <v>508</v>
      </c>
      <c r="W137" s="577"/>
      <c r="X137" s="577"/>
      <c r="Y137" s="576"/>
      <c r="Z137" s="372" t="s">
        <v>520</v>
      </c>
      <c r="AA137" s="372" t="s">
        <v>93</v>
      </c>
      <c r="AB137" s="373" t="s">
        <v>34</v>
      </c>
      <c r="AC137" s="372" t="s">
        <v>34</v>
      </c>
      <c r="AD137" s="372" t="s">
        <v>34</v>
      </c>
      <c r="AE137" s="372"/>
      <c r="AF137" s="372"/>
      <c r="AG137" s="374" t="s">
        <v>288</v>
      </c>
      <c r="AH137" s="372" t="s">
        <v>34</v>
      </c>
      <c r="AI137" s="372" t="s">
        <v>94</v>
      </c>
      <c r="AJ137" s="372" t="s">
        <v>560</v>
      </c>
      <c r="AL137" s="105"/>
      <c r="AM137" s="104" t="str">
        <f t="shared" si="115"/>
        <v>R-SW_Det_GAS_N2</v>
      </c>
      <c r="AN137" s="104" t="str">
        <f t="shared" si="116"/>
        <v>Residential Natural Gas Heating - New 3 SH + WH + Solar</v>
      </c>
      <c r="AO137" s="105" t="s">
        <v>13</v>
      </c>
      <c r="AP137" s="105" t="s">
        <v>180</v>
      </c>
      <c r="AQ137" s="105"/>
      <c r="AR137" s="105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264</v>
      </c>
      <c r="F138" s="88"/>
      <c r="G138" s="515" t="s">
        <v>729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8">
        <f>V142*1.3</f>
        <v>4.5825000000000005</v>
      </c>
      <c r="W138" s="378">
        <f t="shared" ref="W138:Y138" si="117">W142*1.3</f>
        <v>4.5825000000000005</v>
      </c>
      <c r="X138" s="378">
        <f t="shared" si="117"/>
        <v>4.5825000000000005</v>
      </c>
      <c r="Y138" s="378">
        <f t="shared" si="117"/>
        <v>4.5825000000000005</v>
      </c>
      <c r="Z138" s="378">
        <v>0.12</v>
      </c>
      <c r="AA138" s="65"/>
      <c r="AB138" s="42"/>
      <c r="AC138" s="71"/>
      <c r="AD138" s="71"/>
      <c r="AE138" s="71"/>
      <c r="AF138" s="71"/>
      <c r="AG138" s="62">
        <f t="shared" ref="AG138:AG176" si="118">31.536*(AJ138/1000)</f>
        <v>0.94608000000000003</v>
      </c>
      <c r="AH138" s="65"/>
      <c r="AI138" s="65">
        <v>2019</v>
      </c>
      <c r="AJ138" s="65">
        <v>30</v>
      </c>
      <c r="AL138" s="105"/>
      <c r="AM138" s="104" t="str">
        <f t="shared" si="115"/>
        <v>R-SW_Det_GAS_N3</v>
      </c>
      <c r="AN138" s="104" t="str">
        <f t="shared" si="116"/>
        <v>Residential Natural Gas Heating - New 4 SH + WH + Wood Stove</v>
      </c>
      <c r="AO138" s="105" t="s">
        <v>13</v>
      </c>
      <c r="AP138" s="105" t="s">
        <v>180</v>
      </c>
      <c r="AQ138" s="105"/>
      <c r="AR138" s="105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264</v>
      </c>
      <c r="F139" s="24"/>
      <c r="G139" s="57" t="s">
        <v>730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19">I139*0.7</f>
        <v>0.7</v>
      </c>
      <c r="R139" s="23">
        <f t="shared" ref="R139:R141" si="120">J139*0.7</f>
        <v>0.7</v>
      </c>
      <c r="S139" s="57">
        <f t="shared" ref="S139:S141" si="121">K139*0.7</f>
        <v>0.7</v>
      </c>
      <c r="T139" s="53">
        <v>20</v>
      </c>
      <c r="U139" s="25"/>
      <c r="V139" s="379">
        <f>V143*1.3</f>
        <v>4.9452075289575284</v>
      </c>
      <c r="W139" s="379">
        <f t="shared" ref="W139:Y139" si="122">W143*1.3</f>
        <v>4.9452075289575284</v>
      </c>
      <c r="X139" s="379">
        <f t="shared" si="122"/>
        <v>4.9452075289575284</v>
      </c>
      <c r="Y139" s="379">
        <f t="shared" si="122"/>
        <v>4.9452075289575284</v>
      </c>
      <c r="Z139" s="379">
        <v>0.12</v>
      </c>
      <c r="AA139" s="66"/>
      <c r="AB139" s="44"/>
      <c r="AC139" s="72"/>
      <c r="AD139" s="72"/>
      <c r="AE139" s="72"/>
      <c r="AF139" s="72"/>
      <c r="AG139" s="63">
        <f t="shared" si="118"/>
        <v>1.1983680000000001</v>
      </c>
      <c r="AH139" s="66"/>
      <c r="AI139" s="66">
        <v>2019</v>
      </c>
      <c r="AJ139" s="66">
        <v>38</v>
      </c>
      <c r="AL139" s="105"/>
      <c r="AM139" s="104" t="str">
        <f t="shared" si="115"/>
        <v>R-SH_Det_LPG_N1</v>
      </c>
      <c r="AN139" s="104" t="str">
        <f t="shared" si="116"/>
        <v>Residential Liquid Petroleum Gas- New 1 SH</v>
      </c>
      <c r="AO139" s="105" t="s">
        <v>13</v>
      </c>
      <c r="AP139" s="105" t="s">
        <v>180</v>
      </c>
      <c r="AQ139" s="105"/>
      <c r="AR139" s="105" t="s">
        <v>75</v>
      </c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266</v>
      </c>
      <c r="F140" s="30"/>
      <c r="G140" s="58" t="s">
        <v>730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19"/>
        <v>0.7</v>
      </c>
      <c r="R140" s="29">
        <f t="shared" si="120"/>
        <v>0.7</v>
      </c>
      <c r="S140" s="58">
        <f t="shared" si="121"/>
        <v>0.7</v>
      </c>
      <c r="T140" s="54">
        <v>20</v>
      </c>
      <c r="U140" s="41"/>
      <c r="V140" s="62">
        <f>((JRC_Data!BB7+JRC_Data!BB45)*0.8/1000)*$U$199</f>
        <v>10.359845559845558</v>
      </c>
      <c r="W140" s="62">
        <f>((JRC_Data!BC7+JRC_Data!BC45)*0.8/1000)*$U$199</f>
        <v>10.10084942084942</v>
      </c>
      <c r="X140" s="62">
        <f>((JRC_Data!BD7+JRC_Data!BD45)*0.8/1000)*$U$199</f>
        <v>9.6691891891891899</v>
      </c>
      <c r="Y140" s="62">
        <f>((JRC_Data!BE7+JRC_Data!BE45)*0.8/1000)*$U$199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5">
        <v>5</v>
      </c>
      <c r="AG140" s="62">
        <f t="shared" si="118"/>
        <v>1.1983680000000001</v>
      </c>
      <c r="AH140" s="65"/>
      <c r="AI140" s="65">
        <v>2019</v>
      </c>
      <c r="AJ140" s="65">
        <v>38</v>
      </c>
      <c r="AL140" s="105"/>
      <c r="AM140" s="104" t="str">
        <f t="shared" si="115"/>
        <v>R-SW_Det_LPG_N1</v>
      </c>
      <c r="AN140" s="104" t="str">
        <f t="shared" si="116"/>
        <v>Residential Liquid Petroleum Gas- New 2 SH + WH</v>
      </c>
      <c r="AO140" s="105" t="s">
        <v>13</v>
      </c>
      <c r="AP140" s="105" t="s">
        <v>180</v>
      </c>
      <c r="AQ140" s="105"/>
      <c r="AR140" s="105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267</v>
      </c>
      <c r="F141" s="24"/>
      <c r="G141" s="57" t="s">
        <v>730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19"/>
        <v>0.71749999999999992</v>
      </c>
      <c r="R141" s="23">
        <f t="shared" si="120"/>
        <v>0.71749999999999992</v>
      </c>
      <c r="S141" s="57">
        <f t="shared" si="121"/>
        <v>0.71749999999999992</v>
      </c>
      <c r="T141" s="53">
        <v>20</v>
      </c>
      <c r="U141" s="25"/>
      <c r="V141" s="63">
        <f>((JRC_Data!BB7+JRC_Data!BB11)*0.8/1000)*$U$199</f>
        <v>11.525328185328185</v>
      </c>
      <c r="W141" s="63">
        <f>((JRC_Data!BC7+JRC_Data!BC11)*0.8/1000)*$U$199</f>
        <v>11.525328185328185</v>
      </c>
      <c r="X141" s="63">
        <f>((JRC_Data!BD7+JRC_Data!BD11)*0.8/1000)*$U$199</f>
        <v>12.172818532818532</v>
      </c>
      <c r="Y141" s="63">
        <f>((JRC_Data!BE7+JRC_Data!BE11)*0.8/1000)*$U$199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18"/>
        <v>1.1983680000000001</v>
      </c>
      <c r="AH141" s="66"/>
      <c r="AI141" s="66">
        <v>2019</v>
      </c>
      <c r="AJ141" s="66">
        <v>38</v>
      </c>
      <c r="AL141" s="105"/>
      <c r="AM141" s="104" t="str">
        <f t="shared" si="115"/>
        <v>R-SH_Det_WOO_N1</v>
      </c>
      <c r="AN141" s="104" t="str">
        <f t="shared" si="116"/>
        <v>Residential Biomass Boiler - New 1 SH</v>
      </c>
      <c r="AO141" s="105" t="s">
        <v>13</v>
      </c>
      <c r="AP141" s="105" t="s">
        <v>180</v>
      </c>
      <c r="AQ141" s="105"/>
      <c r="AR141" s="105" t="s">
        <v>75</v>
      </c>
    </row>
    <row r="142" spans="3:44" ht="15.75" thickBot="1" x14ac:dyDescent="0.3">
      <c r="C142" s="40" t="str">
        <f>"R-SH_Det"&amp;"_"&amp;RIGHT(E142,3)&amp;"_N1"</f>
        <v>R-SH_Det_GAS_N1</v>
      </c>
      <c r="D142" s="29" t="s">
        <v>95</v>
      </c>
      <c r="E142" s="30" t="s">
        <v>699</v>
      </c>
      <c r="F142" s="30"/>
      <c r="G142" s="58" t="s">
        <v>729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8">
        <f>3.525</f>
        <v>3.5249999999999999</v>
      </c>
      <c r="W142" s="378">
        <f t="shared" ref="W142:Y142" si="123">3.525</f>
        <v>3.5249999999999999</v>
      </c>
      <c r="X142" s="378">
        <f t="shared" si="123"/>
        <v>3.5249999999999999</v>
      </c>
      <c r="Y142" s="378">
        <f t="shared" si="123"/>
        <v>3.5249999999999999</v>
      </c>
      <c r="Z142" s="378">
        <v>0.12</v>
      </c>
      <c r="AA142" s="65"/>
      <c r="AB142" s="42"/>
      <c r="AC142" s="71"/>
      <c r="AD142" s="71"/>
      <c r="AE142" s="71"/>
      <c r="AF142" s="71"/>
      <c r="AG142" s="62">
        <f t="shared" si="118"/>
        <v>0.94608000000000003</v>
      </c>
      <c r="AH142" s="65"/>
      <c r="AI142" s="65">
        <v>2019</v>
      </c>
      <c r="AJ142" s="65">
        <v>30</v>
      </c>
      <c r="AL142" s="108"/>
      <c r="AM142" s="107" t="str">
        <f t="shared" si="115"/>
        <v>R-SW_Det_WOO_N1</v>
      </c>
      <c r="AN142" s="107" t="str">
        <f t="shared" si="116"/>
        <v>Residential Biomass Boiler - New 2 SH + WH</v>
      </c>
      <c r="AO142" s="108" t="s">
        <v>13</v>
      </c>
      <c r="AP142" s="108" t="s">
        <v>180</v>
      </c>
      <c r="AQ142" s="108"/>
      <c r="AR142" s="108" t="s">
        <v>75</v>
      </c>
    </row>
    <row r="143" spans="3:44" ht="15.75" thickBot="1" x14ac:dyDescent="0.3">
      <c r="C143" s="22" t="str">
        <f>"R-SW_Det"&amp;"_"&amp;RIGHT(E143,3)&amp;"_N1"</f>
        <v>R-SW_Det_GAS_N1</v>
      </c>
      <c r="D143" s="23" t="s">
        <v>99</v>
      </c>
      <c r="E143" s="24" t="s">
        <v>699</v>
      </c>
      <c r="F143" s="24"/>
      <c r="G143" s="57" t="s">
        <v>730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24">I143*0.7</f>
        <v>0.7</v>
      </c>
      <c r="R143" s="23">
        <f t="shared" ref="R143:R145" si="125">J143*0.7</f>
        <v>0.7</v>
      </c>
      <c r="S143" s="57">
        <f t="shared" ref="S143:S145" si="126">K143*0.7</f>
        <v>0.7</v>
      </c>
      <c r="T143" s="53">
        <v>20</v>
      </c>
      <c r="U143" s="25"/>
      <c r="V143" s="379">
        <f>V142*($U$199/$U$198)</f>
        <v>3.8040057915057912</v>
      </c>
      <c r="W143" s="379">
        <f>W142*($U$199/$U$198)</f>
        <v>3.8040057915057912</v>
      </c>
      <c r="X143" s="379">
        <f>X142*($U$199/$U$198)</f>
        <v>3.8040057915057912</v>
      </c>
      <c r="Y143" s="379">
        <f>Y142*($U$199/$U$198)</f>
        <v>3.8040057915057912</v>
      </c>
      <c r="Z143" s="379">
        <v>0.12</v>
      </c>
      <c r="AA143" s="66"/>
      <c r="AB143" s="44"/>
      <c r="AC143" s="72"/>
      <c r="AD143" s="72"/>
      <c r="AE143" s="72"/>
      <c r="AF143" s="72"/>
      <c r="AG143" s="63">
        <f t="shared" si="118"/>
        <v>1.1983680000000001</v>
      </c>
      <c r="AH143" s="66"/>
      <c r="AI143" s="66">
        <v>2019</v>
      </c>
      <c r="AJ143" s="66">
        <v>38</v>
      </c>
      <c r="AL143" s="108"/>
      <c r="AM143" s="442" t="s">
        <v>574</v>
      </c>
      <c r="AN143" s="107" t="str">
        <f>D150</f>
        <v>Residential  Stove New 1 - SH</v>
      </c>
      <c r="AO143" s="105" t="s">
        <v>13</v>
      </c>
      <c r="AP143" s="105" t="s">
        <v>180</v>
      </c>
      <c r="AQ143" s="108"/>
      <c r="AR143" s="108"/>
    </row>
    <row r="144" spans="3:44" ht="15.75" thickBot="1" x14ac:dyDescent="0.3">
      <c r="C144" s="40" t="str">
        <f>"R-SW_Det"&amp;"_"&amp;RIGHT(E144,3)&amp;"_N2"</f>
        <v>R-SW_Det_GAS_N2</v>
      </c>
      <c r="D144" s="29" t="s">
        <v>100</v>
      </c>
      <c r="E144" s="30" t="s">
        <v>701</v>
      </c>
      <c r="F144" s="30"/>
      <c r="G144" s="58" t="s">
        <v>730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24"/>
        <v>0.7</v>
      </c>
      <c r="R144" s="29">
        <f t="shared" si="125"/>
        <v>0.7</v>
      </c>
      <c r="S144" s="58">
        <f t="shared" si="126"/>
        <v>0.7</v>
      </c>
      <c r="T144" s="54">
        <v>20</v>
      </c>
      <c r="U144" s="41"/>
      <c r="V144" s="62">
        <v>13.025</v>
      </c>
      <c r="W144" s="378">
        <f>V144*0.9685</f>
        <v>12.614712500000001</v>
      </c>
      <c r="X144" s="378">
        <f>V144*0.916</f>
        <v>11.930900000000001</v>
      </c>
      <c r="Y144" s="378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5">
        <v>5</v>
      </c>
      <c r="AG144" s="62">
        <f t="shared" si="118"/>
        <v>1.1983680000000001</v>
      </c>
      <c r="AH144" s="65"/>
      <c r="AI144" s="65">
        <v>2019</v>
      </c>
      <c r="AJ144" s="65">
        <v>38</v>
      </c>
      <c r="AL144" s="108"/>
      <c r="AM144" s="442" t="s">
        <v>575</v>
      </c>
      <c r="AN144" s="107" t="str">
        <f>D151</f>
        <v>Residential  Stove with back boiler New 1 - SH +WH</v>
      </c>
      <c r="AO144" s="108" t="s">
        <v>13</v>
      </c>
      <c r="AP144" s="108" t="s">
        <v>180</v>
      </c>
      <c r="AQ144" s="108"/>
      <c r="AR144" s="108"/>
    </row>
    <row r="145" spans="1:44" ht="15.75" thickBot="1" x14ac:dyDescent="0.3">
      <c r="C145" s="22" t="str">
        <f>"R-SW_Det"&amp;"_"&amp;RIGHT(E145,3)&amp;"_N3"</f>
        <v>R-SW_Det_GAS_N3</v>
      </c>
      <c r="D145" s="23" t="s">
        <v>101</v>
      </c>
      <c r="E145" s="24" t="s">
        <v>702</v>
      </c>
      <c r="F145" s="24"/>
      <c r="G145" s="57" t="s">
        <v>730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24"/>
        <v>0.71749999999999992</v>
      </c>
      <c r="R145" s="23">
        <f t="shared" si="125"/>
        <v>0.71749999999999992</v>
      </c>
      <c r="S145" s="57">
        <f t="shared" si="126"/>
        <v>0.71749999999999992</v>
      </c>
      <c r="T145" s="53">
        <v>20</v>
      </c>
      <c r="U145" s="25"/>
      <c r="V145" s="63">
        <f>((JRC_Data!BB9+JRC_Data!BB11)*0.8/1000)*($U$199/$U$196)</f>
        <v>9.9326446280991725</v>
      </c>
      <c r="W145" s="63">
        <f>((JRC_Data!BC9+JRC_Data!BC11)*0.8/1000)*($U$199/$U$196)</f>
        <v>9.9326446280991725</v>
      </c>
      <c r="X145" s="63">
        <f>((JRC_Data!BD9+JRC_Data!BD11)*0.8/1000)*($U$199/$U$196)</f>
        <v>10.625619834710744</v>
      </c>
      <c r="Y145" s="63">
        <f>((JRC_Data!BE9+JRC_Data!BE11)*0.8/1000)*($U$199/$U$196)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18"/>
        <v>1.1983680000000001</v>
      </c>
      <c r="AH145" s="66"/>
      <c r="AI145" s="66">
        <v>2019</v>
      </c>
      <c r="AJ145" s="66">
        <v>38</v>
      </c>
      <c r="AL145" s="108"/>
      <c r="AM145" s="107" t="str">
        <f>C152</f>
        <v>R-SH_Det_HVO_N1</v>
      </c>
      <c r="AN145" s="107" t="str">
        <f>D152</f>
        <v>Residential  Hydrotreated vegetable oil - New 1 SH</v>
      </c>
      <c r="AO145" s="108" t="s">
        <v>13</v>
      </c>
      <c r="AP145" s="108" t="s">
        <v>180</v>
      </c>
      <c r="AQ145" s="108"/>
      <c r="AR145" s="108" t="s">
        <v>75</v>
      </c>
    </row>
    <row r="146" spans="1:44" ht="15.75" thickBot="1" x14ac:dyDescent="0.3">
      <c r="C146" s="40" t="str">
        <f>"R-SH_Det"&amp;"_"&amp;RIGHT(E146,3)&amp;"_N1"</f>
        <v>R-SH_Det_LPG_N1</v>
      </c>
      <c r="D146" s="29" t="s">
        <v>103</v>
      </c>
      <c r="E146" s="30" t="s">
        <v>265</v>
      </c>
      <c r="F146" s="30"/>
      <c r="G146" s="58" t="s">
        <v>729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8">
        <f t="shared" ref="V146:Y147" si="127">V142+0.3</f>
        <v>3.8249999999999997</v>
      </c>
      <c r="W146" s="378">
        <f t="shared" si="127"/>
        <v>3.8249999999999997</v>
      </c>
      <c r="X146" s="378">
        <f t="shared" si="127"/>
        <v>3.8249999999999997</v>
      </c>
      <c r="Y146" s="378">
        <f t="shared" si="127"/>
        <v>3.8249999999999997</v>
      </c>
      <c r="Z146" s="378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18"/>
        <v>0.94608000000000003</v>
      </c>
      <c r="AH146" s="65"/>
      <c r="AI146" s="65">
        <v>2019</v>
      </c>
      <c r="AJ146" s="65">
        <v>30</v>
      </c>
      <c r="AL146" s="108"/>
      <c r="AM146" s="107" t="str">
        <f>C153</f>
        <v>R-SW_Det_HVO_N1</v>
      </c>
      <c r="AN146" s="107" t="str">
        <f>D153</f>
        <v>Residential  Hydrotreated vegetable oil - New 1 SH + WH</v>
      </c>
      <c r="AO146" s="108" t="s">
        <v>13</v>
      </c>
      <c r="AP146" s="108" t="s">
        <v>180</v>
      </c>
      <c r="AQ146" s="108"/>
      <c r="AR146" s="108" t="s">
        <v>75</v>
      </c>
    </row>
    <row r="147" spans="1:44" ht="15.75" thickBot="1" x14ac:dyDescent="0.3">
      <c r="C147" s="22" t="str">
        <f>"R-SW_Det"&amp;"_"&amp;RIGHT(E147,3)&amp;"_N1"</f>
        <v>R-SW_Det_LPG_N1</v>
      </c>
      <c r="D147" s="23" t="s">
        <v>104</v>
      </c>
      <c r="E147" s="24" t="s">
        <v>265</v>
      </c>
      <c r="F147" s="24"/>
      <c r="G147" s="57" t="s">
        <v>730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28">I147*0.7</f>
        <v>0.7</v>
      </c>
      <c r="R147" s="23">
        <f t="shared" ref="R147" si="129">J147*0.7</f>
        <v>0.7</v>
      </c>
      <c r="S147" s="57">
        <f t="shared" ref="S147" si="130">K147*0.7</f>
        <v>0.7</v>
      </c>
      <c r="T147" s="53">
        <v>20</v>
      </c>
      <c r="U147" s="25"/>
      <c r="V147" s="379">
        <f t="shared" si="127"/>
        <v>4.1040057915057915</v>
      </c>
      <c r="W147" s="379">
        <f t="shared" si="127"/>
        <v>4.1040057915057915</v>
      </c>
      <c r="X147" s="379">
        <f t="shared" si="127"/>
        <v>4.1040057915057915</v>
      </c>
      <c r="Y147" s="379">
        <f t="shared" si="127"/>
        <v>4.1040057915057915</v>
      </c>
      <c r="Z147" s="378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18"/>
        <v>1.1983680000000001</v>
      </c>
      <c r="AH147" s="66"/>
      <c r="AI147" s="66">
        <v>2019</v>
      </c>
      <c r="AJ147" s="66">
        <v>38</v>
      </c>
      <c r="AL147" s="109"/>
      <c r="AM147" s="110" t="str">
        <f>C155</f>
        <v>R-SH_Det_ELC_N1</v>
      </c>
      <c r="AN147" s="110" t="str">
        <f>D155</f>
        <v>Residential Electric Heater - New 1 SH</v>
      </c>
      <c r="AO147" s="109" t="s">
        <v>13</v>
      </c>
      <c r="AP147" s="109" t="s">
        <v>180</v>
      </c>
      <c r="AQ147" s="109"/>
      <c r="AR147" s="109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268</v>
      </c>
      <c r="F148" s="30"/>
      <c r="G148" s="58" t="s">
        <v>729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8">
        <v>22.5</v>
      </c>
      <c r="W148" s="378">
        <f>V148*0.96777</f>
        <v>21.774825</v>
      </c>
      <c r="X148" s="378">
        <f>V148*0.914844</f>
        <v>20.58399</v>
      </c>
      <c r="Y148" s="378">
        <f>V148*0.8181</f>
        <v>18.407250000000001</v>
      </c>
      <c r="Z148" s="378">
        <v>0.25</v>
      </c>
      <c r="AA148" s="65"/>
      <c r="AB148" s="42"/>
      <c r="AC148" s="71"/>
      <c r="AD148" s="71"/>
      <c r="AE148" s="71"/>
      <c r="AF148" s="71"/>
      <c r="AG148" s="62">
        <f t="shared" si="118"/>
        <v>0.94608000000000003</v>
      </c>
      <c r="AH148" s="65"/>
      <c r="AI148" s="65">
        <v>2019</v>
      </c>
      <c r="AJ148" s="65">
        <v>30</v>
      </c>
      <c r="AL148" s="103"/>
      <c r="AM148" s="102" t="str">
        <f t="shared" ref="AM148:AN154" si="131">C157</f>
        <v>R-SH_Det_ELC_HPN1</v>
      </c>
      <c r="AN148" s="102" t="str">
        <f t="shared" si="131"/>
        <v>Residential Electric Heat Pump - Air to Air - SH</v>
      </c>
      <c r="AO148" s="103" t="s">
        <v>13</v>
      </c>
      <c r="AP148" s="103" t="s">
        <v>180</v>
      </c>
      <c r="AQ148" s="103"/>
      <c r="AR148" s="103" t="s">
        <v>75</v>
      </c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268</v>
      </c>
      <c r="F149" s="24"/>
      <c r="G149" s="57" t="s">
        <v>730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32">H149*0.7</f>
        <v>0.7</v>
      </c>
      <c r="Q149" s="23">
        <f t="shared" si="132"/>
        <v>0.7</v>
      </c>
      <c r="R149" s="23">
        <f t="shared" si="132"/>
        <v>0.7</v>
      </c>
      <c r="S149" s="57">
        <f t="shared" si="132"/>
        <v>0.7</v>
      </c>
      <c r="T149" s="53">
        <v>20</v>
      </c>
      <c r="U149" s="25"/>
      <c r="V149" s="379">
        <f>V148*($U$197/$U$196)</f>
        <v>22.778925619834713</v>
      </c>
      <c r="W149" s="379">
        <f t="shared" ref="W149" si="133">W148*($U$197/$U$196)</f>
        <v>22.04476084710744</v>
      </c>
      <c r="X149" s="379">
        <f t="shared" ref="X149" si="134">X148*($U$197/$U$196)</f>
        <v>20.839163429752066</v>
      </c>
      <c r="Y149" s="379">
        <f t="shared" ref="Y149" si="135">Y148*($U$197/$U$196)</f>
        <v>18.635439049586779</v>
      </c>
      <c r="Z149" s="379">
        <v>0.25</v>
      </c>
      <c r="AA149" s="66"/>
      <c r="AB149" s="44"/>
      <c r="AC149" s="72"/>
      <c r="AD149" s="72"/>
      <c r="AE149" s="72"/>
      <c r="AF149" s="72"/>
      <c r="AG149" s="63">
        <f t="shared" si="118"/>
        <v>1.1983680000000001</v>
      </c>
      <c r="AH149" s="66"/>
      <c r="AI149" s="66">
        <v>2019</v>
      </c>
      <c r="AJ149" s="66">
        <v>38</v>
      </c>
      <c r="AL149" s="105"/>
      <c r="AM149" s="104" t="str">
        <f t="shared" si="131"/>
        <v>R-HC_Det_ELC_HPN1</v>
      </c>
      <c r="AN149" s="104" t="str">
        <f t="shared" si="131"/>
        <v>Residential Electric Heat Pump - Air to Air - SH + SC</v>
      </c>
      <c r="AO149" s="105" t="s">
        <v>13</v>
      </c>
      <c r="AP149" s="105" t="s">
        <v>180</v>
      </c>
      <c r="AQ149" s="105"/>
      <c r="AR149" s="105" t="s">
        <v>75</v>
      </c>
    </row>
    <row r="150" spans="1:44" ht="15" x14ac:dyDescent="0.25">
      <c r="C150" s="40" t="str">
        <f>"R-SH_Det"&amp;"_"&amp;"FPL"&amp;"_N1"</f>
        <v>R-SH_Det_FPL_N1</v>
      </c>
      <c r="D150" s="29" t="s">
        <v>568</v>
      </c>
      <c r="E150" s="30" t="s">
        <v>565</v>
      </c>
      <c r="F150" s="30"/>
      <c r="G150" s="58" t="s">
        <v>729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9">
        <f>((JRC_Data!BB13)/1000)*$U$198</f>
        <v>2.6</v>
      </c>
      <c r="W150" s="379">
        <f>((JRC_Data!BC13)/1000)*$U$198</f>
        <v>2.6</v>
      </c>
      <c r="X150" s="379">
        <f>((JRC_Data!BD13)/1000)*$U$198</f>
        <v>3.5</v>
      </c>
      <c r="Y150" s="379">
        <f>((JRC_Data!BE13)/1000)*$U$198</f>
        <v>3.5</v>
      </c>
      <c r="Z150" s="379">
        <v>0.12</v>
      </c>
      <c r="AA150" s="66"/>
      <c r="AB150" s="44"/>
      <c r="AC150" s="72"/>
      <c r="AD150" s="72"/>
      <c r="AE150" s="72"/>
      <c r="AF150" s="72"/>
      <c r="AG150" s="63">
        <f t="shared" si="118"/>
        <v>0.94608000000000003</v>
      </c>
      <c r="AH150" s="66"/>
      <c r="AI150" s="65">
        <v>2019</v>
      </c>
      <c r="AJ150" s="66">
        <v>30</v>
      </c>
      <c r="AL150" s="105"/>
      <c r="AM150" s="104" t="str">
        <f t="shared" si="131"/>
        <v>R-SH_Det_ELC_HPN2</v>
      </c>
      <c r="AN150" s="104" t="str">
        <f t="shared" si="131"/>
        <v>Residential Electric Heat Pump - Air to Water - SH</v>
      </c>
      <c r="AO150" s="105" t="s">
        <v>13</v>
      </c>
      <c r="AP150" s="105" t="s">
        <v>180</v>
      </c>
      <c r="AQ150" s="105"/>
      <c r="AR150" s="105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569</v>
      </c>
      <c r="E151" s="24" t="s">
        <v>565</v>
      </c>
      <c r="F151" s="24"/>
      <c r="G151" s="57" t="s">
        <v>730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36">H151*0.7</f>
        <v>0.38500000000000001</v>
      </c>
      <c r="Q151" s="23">
        <f t="shared" ref="Q151:Q153" si="137">I151*0.7</f>
        <v>0.38500000000000001</v>
      </c>
      <c r="R151" s="23">
        <f t="shared" ref="R151:R153" si="138">J151*0.7</f>
        <v>0.38500000000000001</v>
      </c>
      <c r="S151" s="57">
        <f t="shared" ref="S151:S153" si="139">K151*0.7</f>
        <v>0.38500000000000001</v>
      </c>
      <c r="T151" s="53">
        <v>20</v>
      </c>
      <c r="U151" s="25"/>
      <c r="V151" s="379">
        <f>((JRC_Data!BB13)/1000)*$U$199</f>
        <v>2.8057915057915057</v>
      </c>
      <c r="W151" s="379">
        <f>((JRC_Data!BC13)/1000)*$U$199</f>
        <v>2.8057915057915057</v>
      </c>
      <c r="X151" s="379">
        <f>((JRC_Data!BD13)/1000)*$U$199</f>
        <v>3.7770270270270268</v>
      </c>
      <c r="Y151" s="379">
        <f>((JRC_Data!BE13)/1000)*$U$199</f>
        <v>3.7770270270270268</v>
      </c>
      <c r="Z151" s="441">
        <v>0.12</v>
      </c>
      <c r="AA151" s="66"/>
      <c r="AB151" s="44"/>
      <c r="AC151" s="72"/>
      <c r="AD151" s="72"/>
      <c r="AE151" s="72"/>
      <c r="AF151" s="72"/>
      <c r="AG151" s="63">
        <f t="shared" si="118"/>
        <v>1.1983680000000001</v>
      </c>
      <c r="AH151" s="66"/>
      <c r="AI151" s="66">
        <v>2019</v>
      </c>
      <c r="AJ151" s="66">
        <v>38</v>
      </c>
      <c r="AL151" s="105"/>
      <c r="AM151" s="104" t="str">
        <f t="shared" si="131"/>
        <v>R-SW_Det_ELC_HPN1</v>
      </c>
      <c r="AN151" s="104" t="str">
        <f t="shared" si="131"/>
        <v>Residential Electric Heat Pump - Air to Water - SH + WH</v>
      </c>
      <c r="AO151" s="105" t="s">
        <v>13</v>
      </c>
      <c r="AP151" s="105" t="s">
        <v>180</v>
      </c>
      <c r="AQ151" s="105"/>
      <c r="AR151" s="105" t="s">
        <v>75</v>
      </c>
    </row>
    <row r="152" spans="1:44" ht="15" x14ac:dyDescent="0.25">
      <c r="C152" s="40" t="s">
        <v>572</v>
      </c>
      <c r="D152" s="29" t="s">
        <v>261</v>
      </c>
      <c r="E152" s="30" t="s">
        <v>270</v>
      </c>
      <c r="F152" s="30"/>
      <c r="G152" s="58" t="s">
        <v>729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40">W138</f>
        <v>4.5825000000000005</v>
      </c>
      <c r="X152" s="62">
        <f t="shared" si="140"/>
        <v>4.5825000000000005</v>
      </c>
      <c r="Y152" s="62">
        <f t="shared" si="140"/>
        <v>4.5825000000000005</v>
      </c>
      <c r="Z152" s="62">
        <f t="shared" si="140"/>
        <v>0.12</v>
      </c>
      <c r="AA152" s="65"/>
      <c r="AB152" s="42"/>
      <c r="AC152" s="71"/>
      <c r="AD152" s="71"/>
      <c r="AE152" s="71"/>
      <c r="AF152" s="71"/>
      <c r="AG152" s="62">
        <f t="shared" si="118"/>
        <v>0.94608000000000003</v>
      </c>
      <c r="AH152" s="65"/>
      <c r="AI152" s="65">
        <v>2019</v>
      </c>
      <c r="AJ152" s="65">
        <v>30</v>
      </c>
      <c r="AL152" s="211"/>
      <c r="AM152" s="104" t="str">
        <f t="shared" si="131"/>
        <v>R-SW_Det_ELC_HPN2</v>
      </c>
      <c r="AN152" s="104" t="str">
        <f t="shared" si="131"/>
        <v>Residential Electric Heat Pump - Air to Water - SH + WH + Solar</v>
      </c>
      <c r="AO152" s="105" t="s">
        <v>13</v>
      </c>
      <c r="AP152" s="105" t="s">
        <v>180</v>
      </c>
      <c r="AQ152" s="105"/>
      <c r="AR152" s="105" t="s">
        <v>75</v>
      </c>
    </row>
    <row r="153" spans="1:44" ht="15" x14ac:dyDescent="0.25">
      <c r="C153" s="22" t="s">
        <v>573</v>
      </c>
      <c r="D153" s="23" t="s">
        <v>531</v>
      </c>
      <c r="E153" s="24" t="s">
        <v>270</v>
      </c>
      <c r="F153" s="24"/>
      <c r="G153" s="57" t="s">
        <v>730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51">
        <f t="shared" si="136"/>
        <v>0.57399999999999995</v>
      </c>
      <c r="Q153" s="26">
        <f t="shared" si="137"/>
        <v>0.57399999999999995</v>
      </c>
      <c r="R153" s="26">
        <f t="shared" si="138"/>
        <v>0.57399999999999995</v>
      </c>
      <c r="S153" s="59">
        <f t="shared" si="139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41">W139</f>
        <v>4.9452075289575284</v>
      </c>
      <c r="X153" s="62">
        <f t="shared" si="141"/>
        <v>4.9452075289575284</v>
      </c>
      <c r="Y153" s="62">
        <f t="shared" si="141"/>
        <v>4.9452075289575284</v>
      </c>
      <c r="Z153" s="62">
        <f t="shared" si="141"/>
        <v>0.12</v>
      </c>
      <c r="AA153" s="66"/>
      <c r="AB153" s="44"/>
      <c r="AC153" s="72"/>
      <c r="AD153" s="72"/>
      <c r="AE153" s="72"/>
      <c r="AF153" s="72"/>
      <c r="AG153" s="63">
        <f t="shared" si="118"/>
        <v>1.1983680000000001</v>
      </c>
      <c r="AH153" s="67"/>
      <c r="AI153" s="67">
        <v>2019</v>
      </c>
      <c r="AJ153" s="67">
        <v>38</v>
      </c>
      <c r="AL153" s="211"/>
      <c r="AM153" s="104" t="str">
        <f t="shared" si="131"/>
        <v>R-SH_Det_ELC_HPN3</v>
      </c>
      <c r="AN153" s="104" t="str">
        <f t="shared" si="131"/>
        <v>Residential Electric Heat Pump - Ground to Water - SH</v>
      </c>
      <c r="AO153" s="105" t="s">
        <v>13</v>
      </c>
      <c r="AP153" s="105" t="s">
        <v>180</v>
      </c>
      <c r="AQ153" s="105"/>
      <c r="AR153" s="105" t="s">
        <v>75</v>
      </c>
    </row>
    <row r="154" spans="1:44" ht="15.75" thickBot="1" x14ac:dyDescent="0.3">
      <c r="C154" s="33" t="s">
        <v>275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11"/>
      <c r="AM154" s="107" t="str">
        <f t="shared" si="131"/>
        <v>R-HC_Det_ELC_HPN2</v>
      </c>
      <c r="AN154" s="107" t="str">
        <f t="shared" si="131"/>
        <v>Residential Electric Heat Pump - Ground to Water - SH + SC</v>
      </c>
      <c r="AO154" s="108" t="s">
        <v>13</v>
      </c>
      <c r="AP154" s="108" t="s">
        <v>180</v>
      </c>
      <c r="AQ154" s="108"/>
      <c r="AR154" s="108" t="s">
        <v>75</v>
      </c>
    </row>
    <row r="155" spans="1:44" ht="15" x14ac:dyDescent="0.25">
      <c r="C155" s="95" t="str">
        <f>"R-SH_Det"&amp;"_"&amp;RIGHT(E155,3)&amp;"_N1"</f>
        <v>R-SH_Det_ELC_N1</v>
      </c>
      <c r="D155" s="79" t="s">
        <v>107</v>
      </c>
      <c r="E155" s="120" t="s">
        <v>153</v>
      </c>
      <c r="F155" s="120"/>
      <c r="G155" s="80" t="s">
        <v>729</v>
      </c>
      <c r="H155" s="248">
        <v>1</v>
      </c>
      <c r="I155" s="249">
        <v>1</v>
      </c>
      <c r="J155" s="249">
        <v>1</v>
      </c>
      <c r="K155" s="250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(JRC_Data!BB48/1000)*($U$198/$U$196)</f>
        <v>4.2809917355371896</v>
      </c>
      <c r="W155" s="78">
        <f>(JRC_Data!BC48/1000)*($U$198/$U$196)</f>
        <v>4.2809917355371896</v>
      </c>
      <c r="X155" s="78">
        <f>(JRC_Data!BD48/1000)*($U$198/$U$196)</f>
        <v>4.2809917355371896</v>
      </c>
      <c r="Y155" s="78">
        <f>(JRC_Data!BE48/1000)*($U$198/$U$196)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18"/>
        <v>0.94608000000000003</v>
      </c>
      <c r="AH155" s="82"/>
      <c r="AI155" s="82">
        <v>2019</v>
      </c>
      <c r="AJ155" s="82">
        <v>30</v>
      </c>
      <c r="AL155" s="112"/>
      <c r="AM155" s="102" t="str">
        <f>C165</f>
        <v>R-SW_Det_GAS_HPN1</v>
      </c>
      <c r="AN155" s="102" t="str">
        <f>D165</f>
        <v>Residential Gas Absorption Heat Pump - Air to Water - SH + WH</v>
      </c>
      <c r="AO155" s="103" t="s">
        <v>13</v>
      </c>
      <c r="AP155" s="103" t="s">
        <v>180</v>
      </c>
      <c r="AQ155" s="103"/>
      <c r="AR155" s="103" t="s">
        <v>75</v>
      </c>
    </row>
    <row r="156" spans="1:44" ht="15.75" thickBot="1" x14ac:dyDescent="0.3">
      <c r="C156" s="33" t="s">
        <v>276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212"/>
      <c r="AM156" s="107" t="str">
        <f>C166</f>
        <v>R-SW_Det_GAS_HPN2</v>
      </c>
      <c r="AN156" s="107" t="str">
        <f>D166</f>
        <v>Residential Gas Engine Heat Pump - Air to Water - SH + WH</v>
      </c>
      <c r="AO156" s="108" t="s">
        <v>13</v>
      </c>
      <c r="AP156" s="108" t="s">
        <v>180</v>
      </c>
      <c r="AQ156" s="108"/>
      <c r="AR156" s="108" t="s">
        <v>75</v>
      </c>
    </row>
    <row r="157" spans="1:44" ht="15.75" thickBot="1" x14ac:dyDescent="0.3">
      <c r="C157" s="19" t="str">
        <f>"R-SH_Det"&amp;"_"&amp;RIGHT(E157,3)&amp;"_HPN1"</f>
        <v>R-SH_Det_ELC_HPN1</v>
      </c>
      <c r="D157" s="20" t="s">
        <v>109</v>
      </c>
      <c r="E157" s="88" t="s">
        <v>153</v>
      </c>
      <c r="F157" s="88" t="s">
        <v>563</v>
      </c>
      <c r="G157" s="56" t="s">
        <v>729</v>
      </c>
      <c r="H157" s="19">
        <v>1</v>
      </c>
      <c r="I157" s="20">
        <v>1.0666666666666667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19"/>
      <c r="Q157" s="20"/>
      <c r="R157" s="20"/>
      <c r="S157" s="56"/>
      <c r="T157" s="52">
        <v>20</v>
      </c>
      <c r="U157" s="48"/>
      <c r="V157" s="19">
        <f>(JRC_Data!BB16/1000)*($U$198/$U$197)</f>
        <v>2.3257142857142861</v>
      </c>
      <c r="W157" s="19">
        <f>(JRC_Data!BC16/1000)*($U$198/$U$197)</f>
        <v>2.2200000000000002</v>
      </c>
      <c r="X157" s="19">
        <f>(JRC_Data!BD16/1000)*($U$198/$U$197)</f>
        <v>2.0085714285714285</v>
      </c>
      <c r="Y157" s="19">
        <f>(JRC_Data!BE16/1000)*($U$198/$U$197)</f>
        <v>1.902857142857143</v>
      </c>
      <c r="Z157" s="84">
        <f>JRC_Data!BL16/1000</f>
        <v>3.4000000000000002E-2</v>
      </c>
      <c r="AA157" s="84"/>
      <c r="AB157" s="84"/>
      <c r="AC157" s="84"/>
      <c r="AD157" s="84"/>
      <c r="AE157" s="84"/>
      <c r="AF157" s="84"/>
      <c r="AG157" s="84">
        <f t="shared" si="118"/>
        <v>0.31536000000000003</v>
      </c>
      <c r="AH157" s="87"/>
      <c r="AI157" s="87">
        <v>2100</v>
      </c>
      <c r="AJ157" s="87">
        <v>10</v>
      </c>
      <c r="AL157" s="213"/>
      <c r="AM157" s="110" t="str">
        <f>C168</f>
        <v>R-SW_Det_GAS_HHPN1</v>
      </c>
      <c r="AN157" s="110" t="str">
        <f>D168</f>
        <v>Residential Gas Hybrid Heat Pump - Air to Water - SH + WH</v>
      </c>
      <c r="AO157" s="109" t="s">
        <v>13</v>
      </c>
      <c r="AP157" s="109" t="s">
        <v>180</v>
      </c>
      <c r="AQ157" s="109"/>
      <c r="AR157" s="109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153</v>
      </c>
      <c r="F158" s="24" t="s">
        <v>563</v>
      </c>
      <c r="G158" s="57" t="s">
        <v>731</v>
      </c>
      <c r="H158" s="22">
        <v>1</v>
      </c>
      <c r="I158" s="23">
        <v>1.0666666666666667</v>
      </c>
      <c r="J158" s="23">
        <v>1.2333333333333334</v>
      </c>
      <c r="K158" s="57">
        <v>1.3333333333333333</v>
      </c>
      <c r="L158" s="22">
        <v>1</v>
      </c>
      <c r="M158" s="23">
        <v>1.0666666666666667</v>
      </c>
      <c r="N158" s="23">
        <v>1.2333333333333334</v>
      </c>
      <c r="O158" s="57">
        <v>1.3333333333333333</v>
      </c>
      <c r="P158" s="22"/>
      <c r="Q158" s="23"/>
      <c r="R158" s="23"/>
      <c r="S158" s="57"/>
      <c r="T158" s="53">
        <v>20</v>
      </c>
      <c r="U158" s="45"/>
      <c r="V158" s="22">
        <f>(JRC_Data!BB16/1000)*($U$199/$U$197)</f>
        <v>2.5097959183673471</v>
      </c>
      <c r="W158" s="22">
        <f>(JRC_Data!BC16/1000)*($U$199/$U$197)</f>
        <v>2.3957142857142855</v>
      </c>
      <c r="X158" s="22">
        <f>(JRC_Data!BD16/1000)*($U$199/$U$197)</f>
        <v>2.1675510204081632</v>
      </c>
      <c r="Y158" s="22">
        <f>(JRC_Data!BE16/1000)*($U$199/$U$197)</f>
        <v>2.053469387755102</v>
      </c>
      <c r="Z158" s="63">
        <f>JRC_Data!BL16/1000</f>
        <v>3.4000000000000002E-2</v>
      </c>
      <c r="AA158" s="63"/>
      <c r="AB158" s="63"/>
      <c r="AC158" s="63"/>
      <c r="AD158" s="63"/>
      <c r="AE158" s="63"/>
      <c r="AF158" s="63"/>
      <c r="AG158" s="63">
        <f t="shared" si="118"/>
        <v>0.37843200000000005</v>
      </c>
      <c r="AH158" s="66"/>
      <c r="AI158" s="66">
        <v>2100</v>
      </c>
      <c r="AJ158" s="66">
        <v>12</v>
      </c>
      <c r="AL158" s="214"/>
      <c r="AM158" s="102" t="str">
        <f>C170</f>
        <v>R-SW_Det_HET_N1</v>
      </c>
      <c r="AN158" s="102" t="str">
        <f>D170</f>
        <v>Residential District Heating Centralized - SH + WH</v>
      </c>
      <c r="AO158" s="103" t="s">
        <v>13</v>
      </c>
      <c r="AP158" s="103" t="s">
        <v>180</v>
      </c>
      <c r="AQ158" s="103"/>
      <c r="AR158" s="103" t="s">
        <v>75</v>
      </c>
    </row>
    <row r="159" spans="1:44" ht="15.75" thickBot="1" x14ac:dyDescent="0.3">
      <c r="C159" s="40" t="str">
        <f>"R-SH_Det"&amp;"_"&amp;RIGHT(E159,3)&amp;"_HPN2"</f>
        <v>R-SH_Det_ELC_HPN2</v>
      </c>
      <c r="D159" s="29" t="s">
        <v>111</v>
      </c>
      <c r="E159" s="30" t="s">
        <v>153</v>
      </c>
      <c r="F159" s="30" t="s">
        <v>563</v>
      </c>
      <c r="G159" s="58" t="s">
        <v>729</v>
      </c>
      <c r="H159" s="40">
        <v>1</v>
      </c>
      <c r="I159" s="29">
        <v>1.0999999999999999</v>
      </c>
      <c r="J159" s="29">
        <v>1.2333333333333334</v>
      </c>
      <c r="K159" s="58">
        <v>1.3333333333333333</v>
      </c>
      <c r="L159" s="40"/>
      <c r="M159" s="29"/>
      <c r="N159" s="29"/>
      <c r="O159" s="58"/>
      <c r="P159" s="40"/>
      <c r="Q159" s="29"/>
      <c r="R159" s="29"/>
      <c r="S159" s="58"/>
      <c r="T159" s="54">
        <v>20</v>
      </c>
      <c r="U159" s="43"/>
      <c r="V159" s="378">
        <v>9.8469999999999995</v>
      </c>
      <c r="W159" s="378">
        <f>V159*0.91</f>
        <v>8.9607700000000001</v>
      </c>
      <c r="X159" s="378">
        <f>W159*0.91</f>
        <v>8.1543007000000003</v>
      </c>
      <c r="Y159" s="378">
        <f>V159*0.82</f>
        <v>8.0745399999999989</v>
      </c>
      <c r="Z159" s="378">
        <v>0.1</v>
      </c>
      <c r="AA159" s="62"/>
      <c r="AB159" s="62"/>
      <c r="AC159" s="62"/>
      <c r="AD159" s="62"/>
      <c r="AE159" s="62"/>
      <c r="AF159" s="62"/>
      <c r="AG159" s="62">
        <f t="shared" si="118"/>
        <v>0.31536000000000003</v>
      </c>
      <c r="AH159" s="65"/>
      <c r="AI159" s="65">
        <v>2019</v>
      </c>
      <c r="AJ159" s="65">
        <v>10</v>
      </c>
      <c r="AL159" s="113"/>
      <c r="AM159" s="107" t="str">
        <f>C171</f>
        <v>R-SW_Det_HET_N2</v>
      </c>
      <c r="AN159" s="107" t="str">
        <f>D171</f>
        <v>Residential District Heating Decentralized - SH + WH</v>
      </c>
      <c r="AO159" s="108" t="s">
        <v>13</v>
      </c>
      <c r="AP159" s="108" t="s">
        <v>180</v>
      </c>
      <c r="AQ159" s="108"/>
      <c r="AR159" s="108" t="s">
        <v>75</v>
      </c>
    </row>
    <row r="160" spans="1:44" ht="15" x14ac:dyDescent="0.25">
      <c r="C160" s="22" t="str">
        <f>"R-SW_Det"&amp;"_"&amp;RIGHT(E160,3)&amp;"_HPN1"</f>
        <v>R-SW_Det_ELC_HPN1</v>
      </c>
      <c r="D160" s="23" t="s">
        <v>112</v>
      </c>
      <c r="E160" s="24" t="s">
        <v>153</v>
      </c>
      <c r="F160" s="24" t="s">
        <v>665</v>
      </c>
      <c r="G160" s="57" t="s">
        <v>730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>
        <f>H160*0.7</f>
        <v>0.7</v>
      </c>
      <c r="Q160" s="23">
        <f t="shared" ref="Q160:Q161" si="142">I160*0.7</f>
        <v>0.76999999999999991</v>
      </c>
      <c r="R160" s="23">
        <f t="shared" ref="R160:R161" si="143">J160*0.7</f>
        <v>0.86333333333333329</v>
      </c>
      <c r="S160" s="57">
        <f t="shared" ref="S160:S161" si="144">K160*0.7</f>
        <v>0.93333333333333324</v>
      </c>
      <c r="T160" s="53">
        <v>20</v>
      </c>
      <c r="U160" s="45"/>
      <c r="V160" s="379">
        <f>V159*($U$195/$U$194)</f>
        <v>9.9300970464135023</v>
      </c>
      <c r="W160" s="379">
        <f t="shared" ref="W160" si="145">W159*($U$195/$U$194)</f>
        <v>9.0363883122362889</v>
      </c>
      <c r="X160" s="379">
        <f t="shared" ref="X160" si="146">X159*($U$195/$U$194)</f>
        <v>8.2231133641350223</v>
      </c>
      <c r="Y160" s="379">
        <f t="shared" ref="Y160" si="147">Y159*($U$195/$U$194)</f>
        <v>8.1426795780590719</v>
      </c>
      <c r="Z160" s="379">
        <v>0.1</v>
      </c>
      <c r="AA160" s="63"/>
      <c r="AB160" s="63"/>
      <c r="AC160" s="63"/>
      <c r="AD160" s="63"/>
      <c r="AE160" s="63"/>
      <c r="AF160" s="63"/>
      <c r="AG160" s="63">
        <f t="shared" si="118"/>
        <v>0.37843200000000005</v>
      </c>
      <c r="AH160" s="66"/>
      <c r="AI160" s="66">
        <v>2019</v>
      </c>
      <c r="AJ160" s="66">
        <v>12</v>
      </c>
      <c r="AL160" s="214"/>
      <c r="AM160" s="102" t="str">
        <f>C173</f>
        <v>R-WH_Det_ELC_N1</v>
      </c>
      <c r="AN160" s="102" t="str">
        <f>D173</f>
        <v xml:space="preserve">Residential Electric Water Heater </v>
      </c>
      <c r="AO160" s="103" t="s">
        <v>13</v>
      </c>
      <c r="AP160" s="103" t="s">
        <v>180</v>
      </c>
      <c r="AQ160" s="103"/>
      <c r="AR160" s="103" t="s">
        <v>75</v>
      </c>
    </row>
    <row r="161" spans="3:44" ht="15.75" thickBot="1" x14ac:dyDescent="0.3">
      <c r="C161" s="40" t="str">
        <f>"R-SW_Det"&amp;"_"&amp;RIGHT(E161,3)&amp;"_HPN2"</f>
        <v>R-SW_Det_ELC_HPN2</v>
      </c>
      <c r="D161" s="29" t="s">
        <v>113</v>
      </c>
      <c r="E161" s="30" t="s">
        <v>555</v>
      </c>
      <c r="F161" s="30" t="s">
        <v>665</v>
      </c>
      <c r="G161" s="58" t="s">
        <v>730</v>
      </c>
      <c r="H161" s="40">
        <v>1</v>
      </c>
      <c r="I161" s="29">
        <v>1.1100000000000001</v>
      </c>
      <c r="J161" s="29">
        <v>1.19</v>
      </c>
      <c r="K161" s="58">
        <v>1.19</v>
      </c>
      <c r="L161" s="40"/>
      <c r="M161" s="29"/>
      <c r="N161" s="29"/>
      <c r="O161" s="58"/>
      <c r="P161" s="40">
        <f>H161*0.7</f>
        <v>0.7</v>
      </c>
      <c r="Q161" s="29">
        <f t="shared" si="142"/>
        <v>0.77700000000000002</v>
      </c>
      <c r="R161" s="29">
        <f t="shared" si="143"/>
        <v>0.83299999999999996</v>
      </c>
      <c r="S161" s="58">
        <f t="shared" si="144"/>
        <v>0.83299999999999996</v>
      </c>
      <c r="T161" s="54">
        <v>20</v>
      </c>
      <c r="U161" s="43"/>
      <c r="V161" s="40">
        <f>((JRC_Data!BB18+JRC_Data!BB45)*0.8/1000)*($U$199/$U$196)</f>
        <v>15.153057851239668</v>
      </c>
      <c r="W161" s="40">
        <f>((JRC_Data!BC18+JRC_Data!BC45)*0.8/1000)*($U$199/$U$196)</f>
        <v>13.95190082644628</v>
      </c>
      <c r="X161" s="40">
        <f>((JRC_Data!BD18+JRC_Data!BD45)*0.8/1000)*($U$199/$U$196)</f>
        <v>13.489917355371901</v>
      </c>
      <c r="Y161" s="40">
        <f>((JRC_Data!BE18+JRC_Data!BE45)*0.8/1000)*($U$199/$U$196)</f>
        <v>11.734380165289256</v>
      </c>
      <c r="Z161" s="62">
        <f>((JRC_Data!BL18+JRC_Data!BL45)*0.8)/1000</f>
        <v>0.16960000000000003</v>
      </c>
      <c r="AA161" s="62"/>
      <c r="AB161" s="71">
        <v>0.66</v>
      </c>
      <c r="AC161" s="62"/>
      <c r="AD161" s="62"/>
      <c r="AE161" s="62"/>
      <c r="AF161" s="215">
        <v>5</v>
      </c>
      <c r="AG161" s="62">
        <f t="shared" si="118"/>
        <v>0.37843200000000005</v>
      </c>
      <c r="AH161" s="65"/>
      <c r="AI161" s="65">
        <v>2019</v>
      </c>
      <c r="AJ161" s="65">
        <v>12</v>
      </c>
      <c r="AL161" s="2"/>
      <c r="AM161" s="104" t="str">
        <f>C174</f>
        <v>R-WH_Det_SOL_N1</v>
      </c>
      <c r="AN161" s="104" t="str">
        <f>D174</f>
        <v xml:space="preserve">Residential Solar Water Heater </v>
      </c>
      <c r="AO161" s="105" t="s">
        <v>13</v>
      </c>
      <c r="AP161" s="105" t="s">
        <v>180</v>
      </c>
      <c r="AQ161" s="105"/>
      <c r="AR161" s="105" t="s">
        <v>75</v>
      </c>
    </row>
    <row r="162" spans="3:44" ht="15" x14ac:dyDescent="0.25">
      <c r="C162" s="22" t="str">
        <f>"R-SH_Det"&amp;"_"&amp;RIGHT(E162,3)&amp;"_HPN3"</f>
        <v>R-SH_Det_ELC_HPN3</v>
      </c>
      <c r="D162" s="23" t="s">
        <v>114</v>
      </c>
      <c r="E162" s="24" t="s">
        <v>153</v>
      </c>
      <c r="F162" s="24" t="s">
        <v>563</v>
      </c>
      <c r="G162" s="57" t="s">
        <v>729</v>
      </c>
      <c r="H162" s="22">
        <v>1.0999999999999999</v>
      </c>
      <c r="I162" s="23">
        <v>1.1666666666666667</v>
      </c>
      <c r="J162" s="23">
        <v>1.3333333333333333</v>
      </c>
      <c r="K162" s="57">
        <v>1.5</v>
      </c>
      <c r="L162" s="22"/>
      <c r="M162" s="23"/>
      <c r="N162" s="23"/>
      <c r="O162" s="57"/>
      <c r="P162" s="22"/>
      <c r="Q162" s="23"/>
      <c r="R162" s="23"/>
      <c r="S162" s="57"/>
      <c r="T162" s="53">
        <v>20</v>
      </c>
      <c r="U162" s="45"/>
      <c r="V162" s="22">
        <f>(JRC_Data!BB20/1000)*($U$198/$U$197)</f>
        <v>14.8</v>
      </c>
      <c r="W162" s="22">
        <f>(JRC_Data!BC20/1000)*($U$198/$U$197)</f>
        <v>13.742857142857144</v>
      </c>
      <c r="X162" s="22">
        <f>(JRC_Data!BD20/1000)*($U$198/$U$197)</f>
        <v>12.685714285714287</v>
      </c>
      <c r="Y162" s="22">
        <f>(JRC_Data!BE20/1000)*($U$198/$U$197)</f>
        <v>11.628571428571428</v>
      </c>
      <c r="Z162" s="63">
        <f>JRC_Data!BL20/1000</f>
        <v>0.2</v>
      </c>
      <c r="AA162" s="63"/>
      <c r="AB162" s="63"/>
      <c r="AC162" s="63"/>
      <c r="AD162" s="63"/>
      <c r="AE162" s="63"/>
      <c r="AF162" s="63"/>
      <c r="AG162" s="63">
        <f t="shared" si="118"/>
        <v>0.31536000000000003</v>
      </c>
      <c r="AH162" s="66"/>
      <c r="AI162" s="66">
        <v>2019</v>
      </c>
      <c r="AJ162" s="66">
        <v>10</v>
      </c>
      <c r="AL162" s="2"/>
      <c r="AM162" s="104" t="str">
        <f>C176</f>
        <v>R-SC_Det_ELC_N1</v>
      </c>
      <c r="AN162" s="104" t="str">
        <f>D176</f>
        <v>Residential Electric Air Conditioning</v>
      </c>
      <c r="AO162" s="103" t="s">
        <v>13</v>
      </c>
      <c r="AP162" s="103" t="s">
        <v>180</v>
      </c>
      <c r="AQ162" s="103"/>
      <c r="AR162" s="103" t="s">
        <v>75</v>
      </c>
    </row>
    <row r="163" spans="3:44" x14ac:dyDescent="0.2">
      <c r="C163" s="93" t="str">
        <f>"R-HC_Det"&amp;"_"&amp;RIGHT(E163,3)&amp;"_HPN2"</f>
        <v>R-HC_Det_ELC_HPN2</v>
      </c>
      <c r="D163" s="89" t="s">
        <v>115</v>
      </c>
      <c r="E163" s="118" t="s">
        <v>153</v>
      </c>
      <c r="F163" s="118" t="s">
        <v>563</v>
      </c>
      <c r="G163" s="94" t="s">
        <v>731</v>
      </c>
      <c r="H163" s="93">
        <v>1.0999999999999999</v>
      </c>
      <c r="I163" s="89">
        <v>1.1666666666666667</v>
      </c>
      <c r="J163" s="89">
        <v>1.3333333333333333</v>
      </c>
      <c r="K163" s="94">
        <v>1.5</v>
      </c>
      <c r="L163" s="93">
        <v>1.0999999999999999</v>
      </c>
      <c r="M163" s="89">
        <v>1.1666666666666667</v>
      </c>
      <c r="N163" s="89">
        <v>1.3333333333333333</v>
      </c>
      <c r="O163" s="94">
        <v>1.5</v>
      </c>
      <c r="P163" s="93"/>
      <c r="Q163" s="89"/>
      <c r="R163" s="89"/>
      <c r="S163" s="94"/>
      <c r="T163" s="100">
        <v>20</v>
      </c>
      <c r="U163" s="101"/>
      <c r="V163" s="93">
        <f>(JRC_Data!BB20/1000)*($U$199/$U$197)</f>
        <v>15.97142857142857</v>
      </c>
      <c r="W163" s="93">
        <f>(JRC_Data!BC20/1000)*($U$199/$U$197)</f>
        <v>14.830612244897958</v>
      </c>
      <c r="X163" s="93">
        <f>(JRC_Data!BD20/1000)*($U$199/$U$197)</f>
        <v>13.689795918367345</v>
      </c>
      <c r="Y163" s="93">
        <f>(JRC_Data!BE20/1000)*($U$199/$U$197)</f>
        <v>12.548979591836734</v>
      </c>
      <c r="Z163" s="85">
        <f>JRC_Data!BL20/1000</f>
        <v>0.2</v>
      </c>
      <c r="AA163" s="85"/>
      <c r="AB163" s="85"/>
      <c r="AC163" s="85"/>
      <c r="AD163" s="85"/>
      <c r="AE163" s="85"/>
      <c r="AF163" s="85"/>
      <c r="AG163" s="85">
        <f t="shared" si="118"/>
        <v>0.37843200000000005</v>
      </c>
      <c r="AH163" s="90"/>
      <c r="AI163" s="90">
        <v>2019</v>
      </c>
      <c r="AJ163" s="90">
        <v>12</v>
      </c>
    </row>
    <row r="164" spans="3:44" x14ac:dyDescent="0.2">
      <c r="C164" s="33" t="s">
        <v>277</v>
      </c>
      <c r="D164" s="33"/>
      <c r="E164" s="34"/>
      <c r="F164" s="34"/>
      <c r="G164" s="34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4"/>
      <c r="U164" s="34"/>
      <c r="V164" s="33"/>
      <c r="W164" s="33"/>
      <c r="X164" s="33"/>
      <c r="Y164" s="33"/>
      <c r="Z164" s="33"/>
      <c r="AA164" s="86"/>
      <c r="AB164" s="36"/>
      <c r="AC164" s="36"/>
      <c r="AD164" s="36"/>
      <c r="AE164" s="36"/>
      <c r="AF164" s="36"/>
      <c r="AG164" s="33"/>
      <c r="AH164" s="34"/>
      <c r="AI164" s="34"/>
      <c r="AJ164" s="34"/>
    </row>
    <row r="165" spans="3:44" x14ac:dyDescent="0.2">
      <c r="C165" s="19" t="str">
        <f>"R-SW_Det"&amp;"_"&amp;RIGHT(E165,3)&amp;"_HPN1"</f>
        <v>R-SW_Det_GAS_HPN1</v>
      </c>
      <c r="D165" s="20" t="s">
        <v>116</v>
      </c>
      <c r="E165" s="88" t="s">
        <v>699</v>
      </c>
      <c r="F165" s="88" t="s">
        <v>665</v>
      </c>
      <c r="G165" s="88" t="s">
        <v>730</v>
      </c>
      <c r="H165" s="378">
        <f>JRC_Data!AC28/0.81</f>
        <v>1.6666666666666667</v>
      </c>
      <c r="I165" s="378">
        <f>JRC_Data!AD28/0.81</f>
        <v>1.7901234567901232</v>
      </c>
      <c r="J165" s="378">
        <f>JRC_Data!AE28/0.81</f>
        <v>2.0987654320987654</v>
      </c>
      <c r="K165" s="378">
        <f>JRC_Data!AF28/0.81</f>
        <v>2.0987654320987654</v>
      </c>
      <c r="L165" s="46"/>
      <c r="M165" s="47"/>
      <c r="N165" s="47"/>
      <c r="O165" s="48"/>
      <c r="P165" s="19">
        <f>H165*0.7</f>
        <v>1.1666666666666667</v>
      </c>
      <c r="Q165" s="20">
        <f t="shared" ref="Q165:Q166" si="148">I165*0.7</f>
        <v>1.2530864197530862</v>
      </c>
      <c r="R165" s="20">
        <f t="shared" ref="R165:R166" si="149">J165*0.7</f>
        <v>1.4691358024691357</v>
      </c>
      <c r="S165" s="56">
        <f t="shared" ref="S165:S166" si="150">K165*0.7</f>
        <v>1.4691358024691357</v>
      </c>
      <c r="T165" s="88">
        <v>20</v>
      </c>
      <c r="U165" s="48"/>
      <c r="V165" s="19">
        <f>(JRC_Data!BB28/1000)*($U$199/$U$198)</f>
        <v>16.834749034749034</v>
      </c>
      <c r="W165" s="19">
        <f>(JRC_Data!BC28/1000)*($U$199/$U$198)</f>
        <v>15.755598455598454</v>
      </c>
      <c r="X165" s="19">
        <f>(JRC_Data!BD28/1000)*($U$199/$U$198)</f>
        <v>13.597297297297297</v>
      </c>
      <c r="Y165" s="19">
        <f>(JRC_Data!BE28/1000)*($U$199/$U$198)</f>
        <v>13.597297297297297</v>
      </c>
      <c r="Z165" s="84">
        <f>JRC_Data!BL28/1000</f>
        <v>0.23499999999999999</v>
      </c>
      <c r="AA165" s="84"/>
      <c r="AB165" s="56"/>
      <c r="AC165" s="84"/>
      <c r="AD165" s="84"/>
      <c r="AE165" s="84"/>
      <c r="AF165" s="84"/>
      <c r="AG165" s="84">
        <f t="shared" si="118"/>
        <v>1.1983680000000001</v>
      </c>
      <c r="AH165" s="87"/>
      <c r="AI165" s="65">
        <v>2019</v>
      </c>
      <c r="AJ165" s="87">
        <v>38</v>
      </c>
    </row>
    <row r="166" spans="3:44" ht="14.25" customHeight="1" x14ac:dyDescent="0.2">
      <c r="C166" s="251" t="str">
        <f>"R-SW_Det"&amp;"_"&amp;RIGHT(E166,3)&amp;"_HPN2"</f>
        <v>R-SW_Det_GAS_HPN2</v>
      </c>
      <c r="D166" s="26" t="s">
        <v>117</v>
      </c>
      <c r="E166" s="27" t="s">
        <v>699</v>
      </c>
      <c r="F166" s="27" t="s">
        <v>665</v>
      </c>
      <c r="G166" s="27" t="s">
        <v>730</v>
      </c>
      <c r="H166" s="379">
        <f>JRC_Data!AC30/0.9</f>
        <v>1.6666666666666665</v>
      </c>
      <c r="I166" s="379">
        <f>JRC_Data!AD30/0.9</f>
        <v>1.7222222222222223</v>
      </c>
      <c r="J166" s="379">
        <f>JRC_Data!AE30/0.9</f>
        <v>1.7222222222222223</v>
      </c>
      <c r="K166" s="379">
        <f>JRC_Data!AF30/0.9</f>
        <v>1.7777777777777779</v>
      </c>
      <c r="L166" s="49"/>
      <c r="M166" s="50"/>
      <c r="N166" s="50"/>
      <c r="O166" s="51"/>
      <c r="P166" s="251">
        <f>H166*0.7</f>
        <v>1.1666666666666665</v>
      </c>
      <c r="Q166" s="26">
        <f t="shared" si="148"/>
        <v>1.2055555555555555</v>
      </c>
      <c r="R166" s="26">
        <f t="shared" si="149"/>
        <v>1.2055555555555555</v>
      </c>
      <c r="S166" s="59">
        <f t="shared" si="150"/>
        <v>1.2444444444444445</v>
      </c>
      <c r="T166" s="27">
        <v>15</v>
      </c>
      <c r="U166" s="51"/>
      <c r="V166" s="251">
        <f>(JRC_Data!BB30/1000)*($U$199/$U$198)</f>
        <v>51.259652509652504</v>
      </c>
      <c r="W166" s="251">
        <f>(JRC_Data!BC30/1000)*($U$199/$U$198)</f>
        <v>51.259652509652504</v>
      </c>
      <c r="X166" s="251">
        <f>(JRC_Data!BD30/1000)*($U$199/$U$198)</f>
        <v>51.259652509652504</v>
      </c>
      <c r="Y166" s="251">
        <f>(JRC_Data!BE30/1000)*($U$199/$U$198)</f>
        <v>51.259652509652504</v>
      </c>
      <c r="Z166" s="64">
        <f>JRC_Data!BL28/1000</f>
        <v>0.23499999999999999</v>
      </c>
      <c r="AA166" s="64"/>
      <c r="AB166" s="59"/>
      <c r="AC166" s="64"/>
      <c r="AD166" s="64"/>
      <c r="AE166" s="64"/>
      <c r="AF166" s="64"/>
      <c r="AG166" s="64">
        <f t="shared" si="118"/>
        <v>1.1983680000000001</v>
      </c>
      <c r="AH166" s="67"/>
      <c r="AI166" s="66">
        <v>2019</v>
      </c>
      <c r="AJ166" s="67">
        <v>38</v>
      </c>
    </row>
    <row r="167" spans="3:44" x14ac:dyDescent="0.2">
      <c r="C167" s="33" t="s">
        <v>108</v>
      </c>
      <c r="D167" s="33"/>
      <c r="E167" s="34"/>
      <c r="F167" s="34"/>
      <c r="G167" s="34"/>
      <c r="H167" s="34"/>
      <c r="I167" s="34"/>
      <c r="J167" s="34"/>
      <c r="K167" s="34"/>
      <c r="L167" s="35"/>
      <c r="M167" s="35"/>
      <c r="N167" s="35"/>
      <c r="O167" s="35"/>
      <c r="P167" s="33"/>
      <c r="Q167" s="33"/>
      <c r="R167" s="33"/>
      <c r="S167" s="33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3"/>
      <c r="AH167" s="34"/>
      <c r="AI167" s="34"/>
      <c r="AJ167" s="34"/>
    </row>
    <row r="168" spans="3:44" x14ac:dyDescent="0.2">
      <c r="C168" s="95" t="str">
        <f>"R-SW_Det"&amp;"_"&amp;RIGHT(E168,3)&amp;"_HHPN1"</f>
        <v>R-SW_Det_GAS_HHPN1</v>
      </c>
      <c r="D168" s="79" t="s">
        <v>125</v>
      </c>
      <c r="E168" s="120" t="s">
        <v>700</v>
      </c>
      <c r="F168" s="120" t="s">
        <v>665</v>
      </c>
      <c r="G168" s="97" t="s">
        <v>730</v>
      </c>
      <c r="H168" s="378">
        <f>1*$AD$48+JRC_Data!AD18*(1.2-$AD$48)</f>
        <v>3.1549999999999998</v>
      </c>
      <c r="I168" s="378">
        <f>1*$AD$48+JRC_Data!AE18*(1.2-$AD$48)</f>
        <v>3.4950000000000001</v>
      </c>
      <c r="J168" s="378">
        <f>1*$AD$48+JRC_Data!AF18*(1.2-$AD$48)</f>
        <v>3.75</v>
      </c>
      <c r="K168" s="378">
        <f>1*$AD$48+JRC_Data!AG18*(1.2-$AD$48)</f>
        <v>3.75</v>
      </c>
      <c r="L168" s="49"/>
      <c r="M168" s="50"/>
      <c r="N168" s="50"/>
      <c r="O168" s="51"/>
      <c r="P168" s="251">
        <f>H168*0.7</f>
        <v>2.2084999999999999</v>
      </c>
      <c r="Q168" s="26">
        <f t="shared" ref="Q168" si="151">I168*0.7</f>
        <v>2.4464999999999999</v>
      </c>
      <c r="R168" s="26">
        <f t="shared" ref="R168" si="152">J168*0.7</f>
        <v>2.625</v>
      </c>
      <c r="S168" s="59">
        <f t="shared" ref="S168" si="153">K168*0.7</f>
        <v>2.625</v>
      </c>
      <c r="T168" s="3">
        <v>20</v>
      </c>
      <c r="V168" s="78">
        <f>(V160+V143)*0.8</f>
        <v>10.987282270335434</v>
      </c>
      <c r="W168" s="78">
        <f t="shared" ref="W168:Y168" si="154">(W160+W143)*0.8</f>
        <v>10.272315282993665</v>
      </c>
      <c r="X168" s="78">
        <f t="shared" si="154"/>
        <v>9.6216953245126504</v>
      </c>
      <c r="Y168" s="78">
        <f t="shared" si="154"/>
        <v>9.5573482956518898</v>
      </c>
      <c r="Z168" s="370">
        <f>(JRC_Data!BL9+JRC_Data!BL18)*0.8/1000</f>
        <v>0.308</v>
      </c>
      <c r="AA168" s="82"/>
      <c r="AB168" s="83"/>
      <c r="AC168" s="83"/>
      <c r="AD168" s="83">
        <v>0.35</v>
      </c>
      <c r="AE168" s="72">
        <f>AD168</f>
        <v>0.35</v>
      </c>
      <c r="AF168" s="82">
        <v>5</v>
      </c>
      <c r="AG168" s="81">
        <f t="shared" si="118"/>
        <v>0.66540960000000005</v>
      </c>
      <c r="AH168" s="82"/>
      <c r="AI168" s="82">
        <v>2019</v>
      </c>
      <c r="AJ168" s="82">
        <f>AJ143*AD168+AJ161*(1-AD168)</f>
        <v>21.1</v>
      </c>
    </row>
    <row r="169" spans="3:44" x14ac:dyDescent="0.2">
      <c r="C169" s="33" t="s">
        <v>118</v>
      </c>
      <c r="D169" s="33"/>
      <c r="E169" s="34"/>
      <c r="F169" s="34"/>
      <c r="G169" s="34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4"/>
      <c r="U169" s="34"/>
      <c r="V169" s="33"/>
      <c r="W169" s="33"/>
      <c r="X169" s="33"/>
      <c r="Y169" s="33"/>
      <c r="Z169" s="33"/>
      <c r="AA169" s="34"/>
      <c r="AB169" s="36"/>
      <c r="AC169" s="36"/>
      <c r="AD169" s="36"/>
      <c r="AE169" s="36"/>
      <c r="AF169" s="36"/>
      <c r="AG169" s="33"/>
      <c r="AH169" s="34"/>
      <c r="AI169" s="34"/>
      <c r="AJ169" s="34"/>
    </row>
    <row r="170" spans="3:44" x14ac:dyDescent="0.2">
      <c r="C170" s="19" t="str">
        <f>"R-SW_Det"&amp;"_"&amp;RIGHT(E170,3)&amp;"_N1"</f>
        <v>R-SW_Det_HET_N1</v>
      </c>
      <c r="D170" s="20" t="s">
        <v>119</v>
      </c>
      <c r="E170" s="88" t="s">
        <v>262</v>
      </c>
      <c r="F170" s="88"/>
      <c r="G170" s="88" t="s">
        <v>730</v>
      </c>
      <c r="H170" s="19">
        <v>1</v>
      </c>
      <c r="I170" s="20">
        <v>1</v>
      </c>
      <c r="J170" s="20">
        <v>1</v>
      </c>
      <c r="K170" s="56">
        <v>1</v>
      </c>
      <c r="L170" s="46"/>
      <c r="M170" s="47"/>
      <c r="N170" s="47"/>
      <c r="O170" s="48"/>
      <c r="P170" s="245">
        <v>1</v>
      </c>
      <c r="Q170" s="246">
        <v>1</v>
      </c>
      <c r="R170" s="246">
        <v>1</v>
      </c>
      <c r="S170" s="247">
        <v>1</v>
      </c>
      <c r="T170" s="52">
        <v>20</v>
      </c>
      <c r="U170" s="48"/>
      <c r="V170" s="19">
        <f>(JRC_Data!BB62/1000)*($U$199/$U$193)*1.5</f>
        <v>4.6583333333333332</v>
      </c>
      <c r="W170" s="19">
        <f>(JRC_Data!BC62/1000)*($U$199/$U$193)*1.5</f>
        <v>4.6583333333333332</v>
      </c>
      <c r="X170" s="19">
        <f>(JRC_Data!BD62/1000)*($U$199/$U$193)*1.5</f>
        <v>4.6583333333333332</v>
      </c>
      <c r="Y170" s="19">
        <f>(JRC_Data!BE62/1000)*($U$199/$U$193)*1.5</f>
        <v>4.6583333333333332</v>
      </c>
      <c r="Z170" s="84">
        <f>JRC_Data!BL62/1000</f>
        <v>0.15</v>
      </c>
      <c r="AA170" s="84"/>
      <c r="AB170" s="84"/>
      <c r="AC170" s="84"/>
      <c r="AD170" s="84"/>
      <c r="AE170" s="84"/>
      <c r="AF170" s="84"/>
      <c r="AG170" s="84">
        <f t="shared" si="118"/>
        <v>1.1983680000000001</v>
      </c>
      <c r="AH170" s="87"/>
      <c r="AI170" s="65">
        <v>2100</v>
      </c>
      <c r="AJ170" s="87">
        <v>38</v>
      </c>
    </row>
    <row r="171" spans="3:44" x14ac:dyDescent="0.2">
      <c r="C171" s="251" t="str">
        <f>"R-SW_Det"&amp;"_"&amp;RIGHT(E171,3)&amp;"_N2"</f>
        <v>R-SW_Det_HET_N2</v>
      </c>
      <c r="D171" s="26" t="s">
        <v>120</v>
      </c>
      <c r="E171" s="27" t="s">
        <v>262</v>
      </c>
      <c r="F171" s="27"/>
      <c r="G171" s="27" t="s">
        <v>730</v>
      </c>
      <c r="H171" s="251">
        <v>1</v>
      </c>
      <c r="I171" s="26">
        <v>1</v>
      </c>
      <c r="J171" s="26">
        <v>1</v>
      </c>
      <c r="K171" s="59">
        <v>1</v>
      </c>
      <c r="L171" s="49"/>
      <c r="M171" s="50"/>
      <c r="N171" s="50"/>
      <c r="O171" s="51"/>
      <c r="P171" s="252">
        <v>1</v>
      </c>
      <c r="Q171" s="253">
        <v>1</v>
      </c>
      <c r="R171" s="253">
        <v>1</v>
      </c>
      <c r="S171" s="254">
        <v>1</v>
      </c>
      <c r="T171" s="55">
        <v>20</v>
      </c>
      <c r="U171" s="51"/>
      <c r="V171" s="251">
        <f>(JRC_Data!BB62/1000)*($U$199/$U$193)*1.5</f>
        <v>4.6583333333333332</v>
      </c>
      <c r="W171" s="251">
        <f>(JRC_Data!BC62/1000)*($U$199/$U$193)*1.5</f>
        <v>4.6583333333333332</v>
      </c>
      <c r="X171" s="251">
        <f>(JRC_Data!BD62/1000)*($U$199/$U$193)*1.5</f>
        <v>4.6583333333333332</v>
      </c>
      <c r="Y171" s="251">
        <f>(JRC_Data!BE62/1000)*($U$199/$U$193)*1.5</f>
        <v>4.6583333333333332</v>
      </c>
      <c r="Z171" s="64">
        <f>JRC_Data!BL62/1000</f>
        <v>0.15</v>
      </c>
      <c r="AA171" s="64"/>
      <c r="AB171" s="64"/>
      <c r="AC171" s="64"/>
      <c r="AD171" s="64"/>
      <c r="AE171" s="64"/>
      <c r="AF171" s="64"/>
      <c r="AG171" s="64">
        <f t="shared" si="118"/>
        <v>1.1983680000000001</v>
      </c>
      <c r="AH171" s="67"/>
      <c r="AI171" s="66">
        <v>2100</v>
      </c>
      <c r="AJ171" s="67">
        <v>38</v>
      </c>
    </row>
    <row r="172" spans="3:44" x14ac:dyDescent="0.2">
      <c r="C172" s="33" t="s">
        <v>121</v>
      </c>
      <c r="D172" s="33"/>
      <c r="E172" s="34"/>
      <c r="F172" s="34"/>
      <c r="G172" s="34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4"/>
      <c r="U172" s="34"/>
      <c r="V172" s="33"/>
      <c r="W172" s="33"/>
      <c r="X172" s="33"/>
      <c r="Y172" s="33"/>
      <c r="Z172" s="33"/>
      <c r="AA172" s="34"/>
      <c r="AB172" s="36"/>
      <c r="AC172" s="36"/>
      <c r="AD172" s="36"/>
      <c r="AE172" s="36"/>
      <c r="AF172" s="36"/>
      <c r="AG172" s="33"/>
      <c r="AH172" s="34"/>
      <c r="AI172" s="34"/>
      <c r="AJ172" s="34"/>
    </row>
    <row r="173" spans="3:44" x14ac:dyDescent="0.2">
      <c r="C173" s="19" t="str">
        <f>"R-WH_Det"&amp;"_"&amp;RIGHT(E173,3)&amp;"_N1"</f>
        <v>R-WH_Det_ELC_N1</v>
      </c>
      <c r="D173" s="20" t="s">
        <v>122</v>
      </c>
      <c r="E173" s="88" t="s">
        <v>153</v>
      </c>
      <c r="F173" s="88"/>
      <c r="G173" s="56" t="s">
        <v>150</v>
      </c>
      <c r="H173" s="46"/>
      <c r="I173" s="47"/>
      <c r="J173" s="47"/>
      <c r="K173" s="48"/>
      <c r="L173" s="46"/>
      <c r="M173" s="47"/>
      <c r="N173" s="47"/>
      <c r="O173" s="48"/>
      <c r="P173" s="245">
        <v>1</v>
      </c>
      <c r="Q173" s="246">
        <v>1</v>
      </c>
      <c r="R173" s="246">
        <v>1</v>
      </c>
      <c r="S173" s="247">
        <v>1</v>
      </c>
      <c r="T173" s="52">
        <v>20</v>
      </c>
      <c r="U173" s="48"/>
      <c r="V173" s="19">
        <f>(JRC_Data!BB48/1000)*($U$192/$U$191)</f>
        <v>4.3022222222222215</v>
      </c>
      <c r="W173" s="19">
        <f>(JRC_Data!BC48/1000)*($U$192/$U$191)</f>
        <v>4.3022222222222215</v>
      </c>
      <c r="X173" s="19">
        <f>(JRC_Data!BD48/1000)*($U$192/$U$191)</f>
        <v>4.3022222222222215</v>
      </c>
      <c r="Y173" s="19">
        <f>(JRC_Data!BE48/1000)*($U$192/$U$191)</f>
        <v>4.3022222222222215</v>
      </c>
      <c r="Z173" s="84">
        <f>JRC_Data!BL48/1000</f>
        <v>0.05</v>
      </c>
      <c r="AA173" s="84"/>
      <c r="AB173" s="84"/>
      <c r="AC173" s="84"/>
      <c r="AD173" s="84"/>
      <c r="AE173" s="84"/>
      <c r="AF173" s="84"/>
      <c r="AG173" s="84">
        <f t="shared" si="118"/>
        <v>0.25228800000000001</v>
      </c>
      <c r="AH173" s="87"/>
      <c r="AI173" s="87">
        <v>2019</v>
      </c>
      <c r="AJ173" s="87">
        <v>8</v>
      </c>
    </row>
    <row r="174" spans="3:44" x14ac:dyDescent="0.2">
      <c r="C174" s="251" t="str">
        <f>"R-WH_Det"&amp;"_"&amp;RIGHT(E174,3)&amp;"_N1"</f>
        <v>R-WH_Det_SOL_N1</v>
      </c>
      <c r="D174" s="26" t="s">
        <v>123</v>
      </c>
      <c r="E174" s="27" t="s">
        <v>271</v>
      </c>
      <c r="F174" s="27"/>
      <c r="G174" s="59" t="s">
        <v>150</v>
      </c>
      <c r="H174" s="49"/>
      <c r="I174" s="50"/>
      <c r="J174" s="50"/>
      <c r="K174" s="51"/>
      <c r="L174" s="49"/>
      <c r="M174" s="50"/>
      <c r="N174" s="50"/>
      <c r="O174" s="51"/>
      <c r="P174" s="242">
        <v>1</v>
      </c>
      <c r="Q174" s="243">
        <v>1</v>
      </c>
      <c r="R174" s="243">
        <v>1</v>
      </c>
      <c r="S174" s="244">
        <v>1</v>
      </c>
      <c r="T174" s="53">
        <v>25</v>
      </c>
      <c r="U174" s="22">
        <v>30</v>
      </c>
      <c r="V174" s="22">
        <f>(JRC_Data!BB45/1000)*($U$192/$U$191)</f>
        <v>5.8079999999999998</v>
      </c>
      <c r="W174" s="22">
        <f>(JRC_Data!BC45/1000)*($U$192/$U$191)</f>
        <v>5.4853333333333323</v>
      </c>
      <c r="X174" s="22">
        <f>(JRC_Data!BD45/1000)*($U$192/$U$191)</f>
        <v>4.9475555555555539</v>
      </c>
      <c r="Y174" s="22">
        <f>(JRC_Data!BE45/1000)*($U$192/$U$191)</f>
        <v>3.9795555555555553</v>
      </c>
      <c r="Z174" s="63">
        <f>JRC_Data!BL45/1000</f>
        <v>6.2E-2</v>
      </c>
      <c r="AA174" s="63"/>
      <c r="AB174" s="63"/>
      <c r="AC174" s="63"/>
      <c r="AD174" s="63"/>
      <c r="AE174" s="63"/>
      <c r="AF174" s="63"/>
      <c r="AG174" s="63">
        <f t="shared" si="118"/>
        <v>0.25228800000000001</v>
      </c>
      <c r="AH174" s="67"/>
      <c r="AI174" s="66">
        <v>2019</v>
      </c>
      <c r="AJ174" s="66">
        <v>8</v>
      </c>
    </row>
    <row r="175" spans="3:44" x14ac:dyDescent="0.2">
      <c r="C175" s="33" t="s">
        <v>281</v>
      </c>
      <c r="D175" s="33"/>
      <c r="E175" s="34"/>
      <c r="F175" s="34"/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4"/>
      <c r="U175" s="34"/>
      <c r="V175" s="33"/>
      <c r="W175" s="33"/>
      <c r="X175" s="33"/>
      <c r="Y175" s="33"/>
      <c r="Z175" s="33"/>
      <c r="AA175" s="34"/>
      <c r="AB175" s="36"/>
      <c r="AC175" s="36"/>
      <c r="AD175" s="36"/>
      <c r="AE175" s="36"/>
      <c r="AF175" s="36"/>
      <c r="AG175" s="33"/>
      <c r="AH175" s="34"/>
      <c r="AI175" s="34"/>
      <c r="AJ175" s="34"/>
    </row>
    <row r="176" spans="3:44" x14ac:dyDescent="0.2">
      <c r="C176" s="29" t="str">
        <f>"R-SC_Det"&amp;"_"&amp;RIGHT(E176,3)&amp;"_N1"</f>
        <v>R-SC_Det_ELC_N1</v>
      </c>
      <c r="D176" s="96" t="s">
        <v>124</v>
      </c>
      <c r="E176" s="116" t="s">
        <v>153</v>
      </c>
      <c r="F176" s="116"/>
      <c r="G176" s="117" t="s">
        <v>149</v>
      </c>
      <c r="H176" s="114"/>
      <c r="I176" s="115"/>
      <c r="J176" s="115"/>
      <c r="K176" s="115"/>
      <c r="L176" s="257">
        <v>1</v>
      </c>
      <c r="M176" s="258">
        <v>1.0666666666666667</v>
      </c>
      <c r="N176" s="258">
        <v>1.2333333333333334</v>
      </c>
      <c r="O176" s="258">
        <v>1.3333333333333333</v>
      </c>
      <c r="P176" s="115"/>
      <c r="Q176" s="115"/>
      <c r="R176" s="115"/>
      <c r="S176" s="99"/>
      <c r="T176" s="98">
        <v>20</v>
      </c>
      <c r="U176" s="99"/>
      <c r="V176" s="95">
        <f>(JRC_Data!BB16/1000)*($U$193/$U$197)</f>
        <v>2.0204081632653064</v>
      </c>
      <c r="W176" s="95">
        <f>(JRC_Data!BC16/1000)*($U$193/$U$197)</f>
        <v>1.9285714285714286</v>
      </c>
      <c r="X176" s="95">
        <f>(JRC_Data!BD16/1000)*($U$193/$U$197)</f>
        <v>1.7448979591836735</v>
      </c>
      <c r="Y176" s="95">
        <f>(JRC_Data!BE16/1000)*($U$193/$U$197)</f>
        <v>1.653061224489796</v>
      </c>
      <c r="Z176" s="92">
        <f>JRC_Data!BL16/1000</f>
        <v>3.4000000000000002E-2</v>
      </c>
      <c r="AA176" s="92"/>
      <c r="AB176" s="92"/>
      <c r="AC176" s="92"/>
      <c r="AD176" s="92"/>
      <c r="AE176" s="92"/>
      <c r="AF176" s="92"/>
      <c r="AG176" s="92">
        <f t="shared" si="118"/>
        <v>0.25228800000000001</v>
      </c>
      <c r="AH176" s="91"/>
      <c r="AI176" s="91">
        <v>2019</v>
      </c>
      <c r="AJ176" s="91">
        <v>8</v>
      </c>
    </row>
    <row r="178" spans="3:26" ht="15" x14ac:dyDescent="0.25">
      <c r="C178" s="4"/>
      <c r="I178" s="6"/>
      <c r="J178" s="6"/>
      <c r="K178" s="6"/>
      <c r="L178" s="6"/>
      <c r="M178" s="1"/>
      <c r="N178" s="1"/>
      <c r="O178" s="9"/>
      <c r="P178" s="8"/>
      <c r="Q178" s="9"/>
      <c r="R178" s="9"/>
      <c r="S178" s="7"/>
      <c r="T178" s="9"/>
      <c r="U178" s="9"/>
      <c r="V178" s="7"/>
      <c r="W178" s="7"/>
      <c r="Z178" s="6"/>
    </row>
    <row r="179" spans="3:26" ht="15" x14ac:dyDescent="0.25">
      <c r="I179" s="6"/>
      <c r="J179" s="6"/>
      <c r="K179" s="6"/>
      <c r="L179" s="6"/>
      <c r="M179" s="1"/>
      <c r="N179" s="1"/>
      <c r="O179" s="9"/>
      <c r="P179" s="8"/>
      <c r="Q179" s="9"/>
      <c r="R179" s="9"/>
      <c r="S179" s="7"/>
      <c r="T179" s="9"/>
      <c r="U179" s="9"/>
      <c r="V179" s="7"/>
      <c r="W179" s="7"/>
      <c r="Z179" s="6"/>
    </row>
    <row r="181" spans="3:26" x14ac:dyDescent="0.2">
      <c r="J181" s="11"/>
    </row>
    <row r="184" spans="3:26" x14ac:dyDescent="0.2">
      <c r="J184" s="11"/>
    </row>
    <row r="187" spans="3:26" x14ac:dyDescent="0.2">
      <c r="J187" s="11"/>
    </row>
    <row r="188" spans="3:26" x14ac:dyDescent="0.2">
      <c r="J188" s="11"/>
      <c r="T188" s="3" t="s">
        <v>524</v>
      </c>
    </row>
    <row r="189" spans="3:26" x14ac:dyDescent="0.2">
      <c r="J189" s="11"/>
      <c r="T189" s="3" t="s">
        <v>215</v>
      </c>
      <c r="U189" s="3" t="s">
        <v>526</v>
      </c>
      <c r="V189" s="3" t="s">
        <v>521</v>
      </c>
    </row>
    <row r="190" spans="3:26" x14ac:dyDescent="0.2">
      <c r="J190" s="11"/>
      <c r="T190" s="375">
        <v>3</v>
      </c>
      <c r="U190" s="376">
        <f t="shared" ref="U190:U199" si="155">V190/$V$198</f>
        <v>0.72929037751472525</v>
      </c>
      <c r="V190" s="377">
        <f>(V191/V195)*V192</f>
        <v>1888.8620777631384</v>
      </c>
    </row>
    <row r="191" spans="3:26" x14ac:dyDescent="0.2">
      <c r="J191" s="11"/>
      <c r="T191" s="375">
        <v>5</v>
      </c>
      <c r="U191" s="376">
        <f t="shared" si="155"/>
        <v>0.79101166159768732</v>
      </c>
      <c r="V191" s="377">
        <f>(V192/V196)*V193</f>
        <v>2048.7202035380101</v>
      </c>
    </row>
    <row r="192" spans="3:26" x14ac:dyDescent="0.2">
      <c r="T192" s="375">
        <v>8</v>
      </c>
      <c r="U192" s="376">
        <f t="shared" si="155"/>
        <v>0.85077698714062355</v>
      </c>
      <c r="V192" s="377">
        <f>(V193/V196)*V194</f>
        <v>2203.5123966942151</v>
      </c>
    </row>
    <row r="193" spans="13:22" x14ac:dyDescent="0.2">
      <c r="T193" s="375">
        <v>10</v>
      </c>
      <c r="U193" s="376">
        <f t="shared" si="155"/>
        <v>0.86872586872586877</v>
      </c>
      <c r="V193" s="375">
        <f>V196-(V198-V196)</f>
        <v>2250</v>
      </c>
    </row>
    <row r="194" spans="13:22" x14ac:dyDescent="0.2">
      <c r="M194" s="34" t="s">
        <v>509</v>
      </c>
      <c r="N194" s="34"/>
      <c r="O194" s="34"/>
      <c r="P194" s="34"/>
      <c r="Q194" s="34"/>
      <c r="T194" s="3">
        <v>15</v>
      </c>
      <c r="U194" s="366">
        <f t="shared" si="155"/>
        <v>0.91505791505791501</v>
      </c>
      <c r="V194" s="3">
        <v>2370</v>
      </c>
    </row>
    <row r="195" spans="13:22" x14ac:dyDescent="0.2">
      <c r="M195" s="3" t="s">
        <v>517</v>
      </c>
      <c r="N195" s="3" t="s">
        <v>518</v>
      </c>
      <c r="O195" s="4" t="s">
        <v>515</v>
      </c>
      <c r="P195" s="365" t="s">
        <v>519</v>
      </c>
      <c r="Q195" s="4" t="s">
        <v>514</v>
      </c>
      <c r="T195" s="3">
        <v>18</v>
      </c>
      <c r="U195" s="366">
        <f t="shared" si="155"/>
        <v>0.92277992277992282</v>
      </c>
      <c r="V195" s="3">
        <v>2390</v>
      </c>
    </row>
    <row r="196" spans="13:22" x14ac:dyDescent="0.2">
      <c r="M196" s="4">
        <v>111</v>
      </c>
      <c r="N196" s="4" t="s">
        <v>259</v>
      </c>
      <c r="O196" s="4">
        <v>24</v>
      </c>
      <c r="P196" s="4">
        <f>O196/M196</f>
        <v>0.21621621621621623</v>
      </c>
      <c r="Q196" s="4">
        <f>O196*1.25</f>
        <v>30</v>
      </c>
      <c r="T196" s="375">
        <v>20</v>
      </c>
      <c r="U196" s="376">
        <f t="shared" si="155"/>
        <v>0.93436293436293438</v>
      </c>
      <c r="V196" s="375">
        <f>AVERAGE(V195,V197)</f>
        <v>2420</v>
      </c>
    </row>
    <row r="197" spans="13:22" x14ac:dyDescent="0.2">
      <c r="M197" s="4">
        <v>70</v>
      </c>
      <c r="N197" s="4" t="s">
        <v>510</v>
      </c>
      <c r="O197" s="4">
        <v>15</v>
      </c>
      <c r="P197" s="4">
        <f>O197/M197</f>
        <v>0.21428571428571427</v>
      </c>
      <c r="Q197" s="4">
        <f>O197*1.25</f>
        <v>18.75</v>
      </c>
      <c r="T197" s="3">
        <v>24</v>
      </c>
      <c r="U197" s="366">
        <f t="shared" si="155"/>
        <v>0.94594594594594594</v>
      </c>
      <c r="V197" s="3">
        <v>2450</v>
      </c>
    </row>
    <row r="198" spans="13:22" x14ac:dyDescent="0.2">
      <c r="M198" s="4">
        <v>99</v>
      </c>
      <c r="N198" s="4" t="s">
        <v>511</v>
      </c>
      <c r="O198" s="4">
        <v>20</v>
      </c>
      <c r="P198" s="4">
        <f>O198/M198</f>
        <v>0.20202020202020202</v>
      </c>
      <c r="Q198" s="4">
        <f>O198*1.25</f>
        <v>25</v>
      </c>
      <c r="T198" s="3">
        <v>30</v>
      </c>
      <c r="U198" s="366">
        <f t="shared" si="155"/>
        <v>1</v>
      </c>
      <c r="V198" s="3">
        <v>2590</v>
      </c>
    </row>
    <row r="199" spans="13:22" x14ac:dyDescent="0.2">
      <c r="M199" s="4">
        <v>150</v>
      </c>
      <c r="N199" s="4" t="s">
        <v>512</v>
      </c>
      <c r="O199" s="4">
        <v>30</v>
      </c>
      <c r="P199" s="4">
        <f>O199/M199</f>
        <v>0.2</v>
      </c>
      <c r="Q199" s="4">
        <f>O199*1.25</f>
        <v>37.5</v>
      </c>
      <c r="T199" s="3">
        <v>35</v>
      </c>
      <c r="U199" s="366">
        <f t="shared" si="155"/>
        <v>1.0791505791505791</v>
      </c>
      <c r="V199" s="3">
        <v>2795</v>
      </c>
    </row>
    <row r="200" spans="13:22" x14ac:dyDescent="0.2">
      <c r="M200" s="4"/>
      <c r="N200" s="4"/>
      <c r="O200" s="4"/>
      <c r="P200" s="4"/>
      <c r="Q200" s="4"/>
    </row>
    <row r="201" spans="13:22" x14ac:dyDescent="0.2">
      <c r="M201" s="4" t="s">
        <v>513</v>
      </c>
      <c r="N201" s="4"/>
      <c r="O201" s="4"/>
      <c r="P201" s="4"/>
      <c r="Q201" s="4"/>
    </row>
    <row r="202" spans="13:22" x14ac:dyDescent="0.2">
      <c r="M202" s="4" t="s">
        <v>516</v>
      </c>
      <c r="N202" s="4"/>
      <c r="O202" s="4"/>
      <c r="P202" s="4"/>
      <c r="Q202" s="4"/>
    </row>
    <row r="203" spans="13:22" x14ac:dyDescent="0.2">
      <c r="M203" s="206" t="s">
        <v>522</v>
      </c>
    </row>
    <row r="204" spans="13:22" x14ac:dyDescent="0.2">
      <c r="M204" s="3" t="s">
        <v>523</v>
      </c>
    </row>
  </sheetData>
  <mergeCells count="30"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H64:K64"/>
    <mergeCell ref="L64:O64"/>
    <mergeCell ref="P64:S64"/>
    <mergeCell ref="T64:U64"/>
    <mergeCell ref="V64:Y64"/>
    <mergeCell ref="H62:K62"/>
    <mergeCell ref="L62:O62"/>
    <mergeCell ref="P62:S62"/>
    <mergeCell ref="T62:U62"/>
    <mergeCell ref="V62:Y6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203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3:27" x14ac:dyDescent="0.2">
      <c r="C3" s="384"/>
      <c r="D3" s="384"/>
      <c r="E3" s="384"/>
      <c r="F3" s="5" t="s">
        <v>19</v>
      </c>
      <c r="G3" s="384"/>
      <c r="H3" s="384"/>
      <c r="I3" s="384"/>
      <c r="J3" s="384"/>
      <c r="K3" s="384"/>
      <c r="L3" s="384"/>
      <c r="M3" s="384"/>
      <c r="N3" s="384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6" t="s">
        <v>85</v>
      </c>
      <c r="H5" s="126"/>
      <c r="I5" s="126"/>
      <c r="J5" s="126"/>
      <c r="K5" s="126"/>
      <c r="L5" s="566" t="s">
        <v>86</v>
      </c>
      <c r="M5" s="567"/>
      <c r="N5" s="567"/>
      <c r="O5" s="568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75" t="s">
        <v>508</v>
      </c>
      <c r="M6" s="577"/>
      <c r="N6" s="577"/>
      <c r="O6" s="576"/>
      <c r="P6" s="372" t="s">
        <v>520</v>
      </c>
      <c r="Q6" s="61" t="s">
        <v>34</v>
      </c>
      <c r="R6" s="372" t="s">
        <v>296</v>
      </c>
      <c r="S6" s="61" t="s">
        <v>94</v>
      </c>
      <c r="U6" s="61" t="s">
        <v>215</v>
      </c>
      <c r="V6" s="69" t="s">
        <v>218</v>
      </c>
      <c r="W6" s="61" t="s">
        <v>216</v>
      </c>
    </row>
    <row r="7" spans="3:27" x14ac:dyDescent="0.2">
      <c r="C7" s="142" t="str">
        <f>D20</f>
        <v>R-RSDRF_N1</v>
      </c>
      <c r="D7" s="132" t="str">
        <f>E20</f>
        <v>Residential Refrigeration - New</v>
      </c>
      <c r="E7" s="132" t="s">
        <v>153</v>
      </c>
      <c r="F7" s="143" t="s">
        <v>154</v>
      </c>
      <c r="G7" s="147">
        <v>15</v>
      </c>
      <c r="H7" s="137">
        <v>0.8</v>
      </c>
      <c r="I7" s="138">
        <v>0.8</v>
      </c>
      <c r="J7" s="138">
        <v>0.82</v>
      </c>
      <c r="K7" s="139">
        <v>0.85</v>
      </c>
      <c r="L7" s="261">
        <f>L35/$V7/1000</f>
        <v>0.432</v>
      </c>
      <c r="M7" s="261">
        <f>M35/$V7/1000</f>
        <v>0.432</v>
      </c>
      <c r="N7" s="261">
        <f>N35/$V7/1000</f>
        <v>0.432</v>
      </c>
      <c r="O7" s="261">
        <f>O35/$V7/1000</f>
        <v>0.432</v>
      </c>
      <c r="P7" s="147"/>
      <c r="Q7" s="147"/>
      <c r="R7" s="405">
        <f>31.536*(U7/1000)</f>
        <v>5.6764799999999994E-3</v>
      </c>
      <c r="S7" s="147">
        <v>2020</v>
      </c>
      <c r="U7" s="207">
        <v>0.18</v>
      </c>
      <c r="V7" s="207">
        <f>1/U7</f>
        <v>5.5555555555555554</v>
      </c>
      <c r="W7" s="207">
        <f>L35/V7</f>
        <v>432</v>
      </c>
      <c r="AA7" s="403">
        <f>1/V7</f>
        <v>0.18</v>
      </c>
    </row>
    <row r="8" spans="3:27" x14ac:dyDescent="0.2">
      <c r="C8" s="140" t="str">
        <f>D21</f>
        <v>R-RSDCK_ELC_N1</v>
      </c>
      <c r="D8" s="131" t="str">
        <f>LEFT($E$21,20)&amp;"_"&amp;RIGHT(E8,3)&amp;" - New"</f>
        <v>Residential Cooking _ELC - New</v>
      </c>
      <c r="E8" s="131" t="s">
        <v>153</v>
      </c>
      <c r="F8" s="141" t="s">
        <v>155</v>
      </c>
      <c r="G8" s="148">
        <v>15</v>
      </c>
      <c r="H8" s="140">
        <v>0.74</v>
      </c>
      <c r="I8" s="131">
        <v>0.75</v>
      </c>
      <c r="J8" s="131">
        <v>0.8</v>
      </c>
      <c r="K8" s="141">
        <v>0.85</v>
      </c>
      <c r="L8" s="262">
        <f>$W$8/1000</f>
        <v>0.86975000000000002</v>
      </c>
      <c r="M8" s="262">
        <f>$W$8/1000</f>
        <v>0.86975000000000002</v>
      </c>
      <c r="N8" s="262">
        <f>$W$8/1000</f>
        <v>0.86975000000000002</v>
      </c>
      <c r="O8" s="262">
        <f>$W$8/1000</f>
        <v>0.86975000000000002</v>
      </c>
      <c r="P8" s="148"/>
      <c r="Q8" s="148"/>
      <c r="R8" s="406">
        <f t="shared" ref="R8:R13" si="0">31.536*(U8/1000)</f>
        <v>9.4608000000000012E-2</v>
      </c>
      <c r="S8" s="148">
        <v>2020</v>
      </c>
      <c r="U8" s="207">
        <v>3</v>
      </c>
      <c r="V8" s="207">
        <f>1/U8</f>
        <v>0.33333333333333331</v>
      </c>
      <c r="W8" s="207">
        <f>W9*1.42</f>
        <v>869.75</v>
      </c>
    </row>
    <row r="9" spans="3:27" x14ac:dyDescent="0.2">
      <c r="C9" s="140" t="str">
        <f t="shared" ref="C9:D15" si="1">D22</f>
        <v>R-RSDCK_GAS_N1</v>
      </c>
      <c r="D9" s="132" t="str">
        <f t="shared" ref="D9:D10" si="2">LEFT($E$21,20)&amp;"_"&amp;RIGHT(E9,3)&amp;" - New"</f>
        <v>Residential Cooking _GAS - New</v>
      </c>
      <c r="E9" s="132" t="s">
        <v>269</v>
      </c>
      <c r="F9" s="143" t="s">
        <v>155</v>
      </c>
      <c r="G9" s="149">
        <v>15</v>
      </c>
      <c r="H9" s="142">
        <v>0.57999999999999996</v>
      </c>
      <c r="I9" s="142">
        <v>0.57999999999999996</v>
      </c>
      <c r="J9" s="142">
        <v>0.57999999999999996</v>
      </c>
      <c r="K9" s="142">
        <v>0.57999999999999996</v>
      </c>
      <c r="L9" s="263">
        <f t="shared" ref="L9:O13" si="3">L37/$V9/1000</f>
        <v>0.61250000000000004</v>
      </c>
      <c r="M9" s="263">
        <f t="shared" si="3"/>
        <v>0.61250000000000004</v>
      </c>
      <c r="N9" s="263">
        <f t="shared" si="3"/>
        <v>0.61250000000000004</v>
      </c>
      <c r="O9" s="263">
        <f t="shared" si="3"/>
        <v>0.61250000000000004</v>
      </c>
      <c r="P9" s="149"/>
      <c r="Q9" s="149"/>
      <c r="R9" s="407">
        <f t="shared" si="0"/>
        <v>0.110376</v>
      </c>
      <c r="S9" s="149">
        <v>2020</v>
      </c>
      <c r="U9" s="207">
        <v>3.5</v>
      </c>
      <c r="V9" s="207">
        <f t="shared" ref="V9:V13" si="4">1/U9</f>
        <v>0.2857142857142857</v>
      </c>
      <c r="W9" s="207">
        <f>L37/V9</f>
        <v>612.5</v>
      </c>
    </row>
    <row r="10" spans="3:27" x14ac:dyDescent="0.2">
      <c r="C10" s="140" t="str">
        <f t="shared" si="1"/>
        <v>R-RSDCK_LPG_N1</v>
      </c>
      <c r="D10" s="131" t="str">
        <f t="shared" si="2"/>
        <v>Residential Cooking _LPG - New</v>
      </c>
      <c r="E10" s="131" t="s">
        <v>265</v>
      </c>
      <c r="F10" s="141" t="s">
        <v>155</v>
      </c>
      <c r="G10" s="148">
        <v>15</v>
      </c>
      <c r="H10" s="140">
        <v>0.57999999999999996</v>
      </c>
      <c r="I10" s="140">
        <v>0.57999999999999996</v>
      </c>
      <c r="J10" s="140">
        <v>0.57999999999999996</v>
      </c>
      <c r="K10" s="140">
        <v>0.57999999999999996</v>
      </c>
      <c r="L10" s="262">
        <f t="shared" si="3"/>
        <v>0.61250000000000004</v>
      </c>
      <c r="M10" s="262">
        <f t="shared" si="3"/>
        <v>0.61250000000000004</v>
      </c>
      <c r="N10" s="262">
        <f t="shared" si="3"/>
        <v>0.61250000000000004</v>
      </c>
      <c r="O10" s="262">
        <f t="shared" si="3"/>
        <v>0.61250000000000004</v>
      </c>
      <c r="P10" s="148"/>
      <c r="Q10" s="148"/>
      <c r="R10" s="406">
        <f t="shared" si="0"/>
        <v>0.110376</v>
      </c>
      <c r="S10" s="148">
        <v>2020</v>
      </c>
      <c r="U10" s="207">
        <v>3.5</v>
      </c>
      <c r="V10" s="207">
        <f t="shared" si="4"/>
        <v>0.2857142857142857</v>
      </c>
      <c r="W10" s="207">
        <f>L38/V10</f>
        <v>612.5</v>
      </c>
    </row>
    <row r="11" spans="3:27" x14ac:dyDescent="0.2">
      <c r="C11" s="142" t="str">
        <f t="shared" si="1"/>
        <v>R-RSDCW_N1</v>
      </c>
      <c r="D11" s="132" t="str">
        <f t="shared" si="1"/>
        <v>Residential Cloth Washing demand - New</v>
      </c>
      <c r="E11" s="132" t="s">
        <v>153</v>
      </c>
      <c r="F11" s="143" t="s">
        <v>156</v>
      </c>
      <c r="G11" s="149">
        <v>10</v>
      </c>
      <c r="H11" s="142">
        <v>0.7</v>
      </c>
      <c r="I11" s="132">
        <v>0.7</v>
      </c>
      <c r="J11" s="132">
        <v>0.7</v>
      </c>
      <c r="K11" s="143">
        <v>0.7</v>
      </c>
      <c r="L11" s="263">
        <f t="shared" si="3"/>
        <v>0.55220000000000002</v>
      </c>
      <c r="M11" s="263">
        <f t="shared" si="3"/>
        <v>0.55220000000000002</v>
      </c>
      <c r="N11" s="263">
        <f t="shared" si="3"/>
        <v>0.55220000000000002</v>
      </c>
      <c r="O11" s="263">
        <f t="shared" si="3"/>
        <v>0.55220000000000002</v>
      </c>
      <c r="P11" s="149"/>
      <c r="Q11" s="149"/>
      <c r="R11" s="407">
        <f t="shared" si="0"/>
        <v>6.9379200000000002E-2</v>
      </c>
      <c r="S11" s="149">
        <v>2020</v>
      </c>
      <c r="U11" s="207">
        <v>2.2000000000000002</v>
      </c>
      <c r="V11" s="207">
        <f t="shared" si="4"/>
        <v>0.45454545454545453</v>
      </c>
      <c r="W11" s="207">
        <f>L39/V11</f>
        <v>552.20000000000005</v>
      </c>
    </row>
    <row r="12" spans="3:27" x14ac:dyDescent="0.2">
      <c r="C12" s="140" t="str">
        <f t="shared" si="1"/>
        <v>R-RSDCD_N1</v>
      </c>
      <c r="D12" s="131" t="str">
        <f t="shared" si="1"/>
        <v>Residential Cloth Drying demand - New</v>
      </c>
      <c r="E12" s="131" t="s">
        <v>153</v>
      </c>
      <c r="F12" s="141" t="s">
        <v>157</v>
      </c>
      <c r="G12" s="148">
        <v>10</v>
      </c>
      <c r="H12" s="140">
        <v>0.6</v>
      </c>
      <c r="I12" s="131">
        <v>0.6</v>
      </c>
      <c r="J12" s="131">
        <v>0.6</v>
      </c>
      <c r="K12" s="141">
        <v>0.6</v>
      </c>
      <c r="L12" s="262">
        <f t="shared" si="3"/>
        <v>0.53500000000000003</v>
      </c>
      <c r="M12" s="262">
        <f t="shared" si="3"/>
        <v>0.53500000000000003</v>
      </c>
      <c r="N12" s="262">
        <f t="shared" si="3"/>
        <v>0.53500000000000003</v>
      </c>
      <c r="O12" s="262">
        <f t="shared" si="3"/>
        <v>0.53500000000000003</v>
      </c>
      <c r="P12" s="148"/>
      <c r="Q12" s="148"/>
      <c r="R12" s="406">
        <f t="shared" si="0"/>
        <v>7.8840000000000007E-2</v>
      </c>
      <c r="S12" s="148">
        <v>2020</v>
      </c>
      <c r="U12" s="207">
        <v>2.5</v>
      </c>
      <c r="V12" s="207">
        <f t="shared" si="4"/>
        <v>0.4</v>
      </c>
      <c r="W12" s="207">
        <f>L40/V12</f>
        <v>535</v>
      </c>
    </row>
    <row r="13" spans="3:27" x14ac:dyDescent="0.2">
      <c r="C13" s="142" t="str">
        <f t="shared" si="1"/>
        <v>R-RSDDW_N1</v>
      </c>
      <c r="D13" s="132" t="str">
        <f t="shared" si="1"/>
        <v>Residential Dish Washing demand - New</v>
      </c>
      <c r="E13" s="132" t="s">
        <v>153</v>
      </c>
      <c r="F13" s="143" t="s">
        <v>158</v>
      </c>
      <c r="G13" s="149">
        <v>10</v>
      </c>
      <c r="H13" s="142">
        <v>0.7</v>
      </c>
      <c r="I13" s="132">
        <v>0.7</v>
      </c>
      <c r="J13" s="132">
        <v>0.7</v>
      </c>
      <c r="K13" s="143">
        <v>0.7</v>
      </c>
      <c r="L13" s="263">
        <f t="shared" si="3"/>
        <v>0.42019999999999996</v>
      </c>
      <c r="M13" s="263">
        <f t="shared" si="3"/>
        <v>0.42019999999999996</v>
      </c>
      <c r="N13" s="263">
        <f t="shared" si="3"/>
        <v>0.42019999999999996</v>
      </c>
      <c r="O13" s="263">
        <f t="shared" si="3"/>
        <v>0.42019999999999996</v>
      </c>
      <c r="P13" s="149"/>
      <c r="Q13" s="149"/>
      <c r="R13" s="407">
        <f t="shared" si="0"/>
        <v>6.9379200000000002E-2</v>
      </c>
      <c r="S13" s="149">
        <v>2020</v>
      </c>
      <c r="U13" s="207">
        <v>2.2000000000000002</v>
      </c>
      <c r="V13" s="207">
        <f t="shared" si="4"/>
        <v>0.45454545454545453</v>
      </c>
      <c r="W13" s="207">
        <f>L41/V13</f>
        <v>420.2</v>
      </c>
    </row>
    <row r="14" spans="3:27" x14ac:dyDescent="0.2">
      <c r="C14" s="140" t="str">
        <f t="shared" si="1"/>
        <v>R-RSDOE_N1</v>
      </c>
      <c r="D14" s="131" t="str">
        <f t="shared" si="1"/>
        <v>Residential ELC Appliances - New</v>
      </c>
      <c r="E14" s="131" t="s">
        <v>153</v>
      </c>
      <c r="F14" s="141" t="s">
        <v>159</v>
      </c>
      <c r="G14" s="148">
        <v>10</v>
      </c>
      <c r="H14" s="140">
        <v>0.85</v>
      </c>
      <c r="I14" s="131">
        <v>0.85</v>
      </c>
      <c r="J14" s="131">
        <v>0.85</v>
      </c>
      <c r="K14" s="141">
        <v>0.85</v>
      </c>
      <c r="L14" s="265">
        <f>L42/$V7/1000</f>
        <v>0.9</v>
      </c>
      <c r="M14" s="265">
        <f>M42/$V7/1000</f>
        <v>0.9</v>
      </c>
      <c r="N14" s="265">
        <f>N42/$V7/1000</f>
        <v>0.9</v>
      </c>
      <c r="O14" s="265">
        <f>O42/$V7/1000</f>
        <v>0.9</v>
      </c>
      <c r="P14" s="148"/>
      <c r="Q14" s="148"/>
      <c r="R14" s="264">
        <f>31.536*(U7/1000)</f>
        <v>5.6764799999999994E-3</v>
      </c>
      <c r="S14" s="148">
        <v>2020</v>
      </c>
    </row>
    <row r="15" spans="3:27" x14ac:dyDescent="0.2">
      <c r="C15" s="142" t="str">
        <f t="shared" si="1"/>
        <v>R-RSDOA_N1</v>
      </c>
      <c r="D15" s="132" t="str">
        <f t="shared" si="1"/>
        <v>Residential Other Applications - New</v>
      </c>
      <c r="E15" s="132" t="s">
        <v>153</v>
      </c>
      <c r="F15" s="143" t="s">
        <v>160</v>
      </c>
      <c r="G15" s="150">
        <v>10</v>
      </c>
      <c r="H15" s="144">
        <v>0.85</v>
      </c>
      <c r="I15" s="145">
        <v>0.85</v>
      </c>
      <c r="J15" s="145">
        <v>0.85</v>
      </c>
      <c r="K15" s="146">
        <v>0.85</v>
      </c>
      <c r="L15" s="266">
        <f>L43/$V7/1000</f>
        <v>0.9</v>
      </c>
      <c r="M15" s="266">
        <f>M43/$V7/1000</f>
        <v>0.9</v>
      </c>
      <c r="N15" s="266">
        <f>N43/$V7/1000</f>
        <v>0.9</v>
      </c>
      <c r="O15" s="266">
        <f>O43/$V7/1000</f>
        <v>0.9</v>
      </c>
      <c r="P15" s="150"/>
      <c r="Q15" s="150"/>
      <c r="R15" s="404">
        <f>31.536*(U7/1000)</f>
        <v>5.6764799999999994E-3</v>
      </c>
      <c r="S15" s="150">
        <v>2020</v>
      </c>
      <c r="U15" s="129" t="s">
        <v>213</v>
      </c>
      <c r="V15" s="206" t="s">
        <v>211</v>
      </c>
    </row>
    <row r="18" spans="3:17" x14ac:dyDescent="0.2">
      <c r="C18" s="3" t="s">
        <v>20</v>
      </c>
    </row>
    <row r="19" spans="3:17" x14ac:dyDescent="0.2">
      <c r="C19" s="133" t="s">
        <v>27</v>
      </c>
      <c r="D19" s="134" t="s">
        <v>21</v>
      </c>
      <c r="E19" s="134" t="s">
        <v>22</v>
      </c>
      <c r="F19" s="134" t="s">
        <v>28</v>
      </c>
      <c r="G19" s="134" t="s">
        <v>29</v>
      </c>
      <c r="H19" s="134" t="s">
        <v>139</v>
      </c>
      <c r="I19" s="134" t="s">
        <v>30</v>
      </c>
      <c r="J19" s="135" t="s">
        <v>67</v>
      </c>
    </row>
    <row r="20" spans="3:17" x14ac:dyDescent="0.2">
      <c r="C20" s="121" t="s">
        <v>31</v>
      </c>
      <c r="D20" s="122" t="s">
        <v>289</v>
      </c>
      <c r="E20" s="122" t="s">
        <v>161</v>
      </c>
      <c r="F20" s="122" t="s">
        <v>13</v>
      </c>
      <c r="G20" s="122" t="s">
        <v>126</v>
      </c>
      <c r="H20" s="122"/>
      <c r="I20" s="122"/>
      <c r="J20" s="123" t="s">
        <v>558</v>
      </c>
    </row>
    <row r="21" spans="3:17" x14ac:dyDescent="0.2">
      <c r="C21" s="121" t="s">
        <v>31</v>
      </c>
      <c r="D21" s="122" t="str">
        <f>_xlfn.TEXTJOIN("_",TRUE,"R-RSDCK",RIGHT(E8,3),"N1")</f>
        <v>R-RSDCK_ELC_N1</v>
      </c>
      <c r="E21" s="122" t="s">
        <v>532</v>
      </c>
      <c r="F21" s="122" t="s">
        <v>13</v>
      </c>
      <c r="G21" s="122" t="s">
        <v>126</v>
      </c>
      <c r="H21" s="122"/>
      <c r="I21" s="122"/>
      <c r="J21" s="123" t="s">
        <v>558</v>
      </c>
    </row>
    <row r="22" spans="3:17" x14ac:dyDescent="0.2">
      <c r="C22" s="121" t="s">
        <v>31</v>
      </c>
      <c r="D22" s="122" t="str">
        <f t="shared" ref="D22:D23" si="5">_xlfn.TEXTJOIN("_",TRUE,"R-RSDCK",RIGHT(E9,3),"N1")</f>
        <v>R-RSDCK_GAS_N1</v>
      </c>
      <c r="E22" s="122" t="s">
        <v>533</v>
      </c>
      <c r="F22" s="122" t="s">
        <v>13</v>
      </c>
      <c r="G22" s="122" t="s">
        <v>126</v>
      </c>
      <c r="H22" s="122"/>
      <c r="I22" s="122"/>
      <c r="J22" s="123" t="s">
        <v>558</v>
      </c>
    </row>
    <row r="23" spans="3:17" x14ac:dyDescent="0.2">
      <c r="C23" s="121" t="s">
        <v>31</v>
      </c>
      <c r="D23" s="122" t="str">
        <f t="shared" si="5"/>
        <v>R-RSDCK_LPG_N1</v>
      </c>
      <c r="E23" s="122" t="s">
        <v>534</v>
      </c>
      <c r="F23" s="122" t="s">
        <v>13</v>
      </c>
      <c r="G23" s="122" t="s">
        <v>126</v>
      </c>
      <c r="H23" s="122"/>
      <c r="I23" s="122"/>
      <c r="J23" s="123" t="s">
        <v>558</v>
      </c>
    </row>
    <row r="24" spans="3:17" x14ac:dyDescent="0.2">
      <c r="C24" s="121" t="s">
        <v>31</v>
      </c>
      <c r="D24" s="122" t="s">
        <v>291</v>
      </c>
      <c r="E24" s="122" t="s">
        <v>163</v>
      </c>
      <c r="F24" s="122" t="s">
        <v>13</v>
      </c>
      <c r="G24" s="122" t="s">
        <v>126</v>
      </c>
      <c r="H24" s="122"/>
      <c r="I24" s="122"/>
      <c r="J24" s="123" t="s">
        <v>558</v>
      </c>
    </row>
    <row r="25" spans="3:17" x14ac:dyDescent="0.2">
      <c r="C25" s="121" t="s">
        <v>31</v>
      </c>
      <c r="D25" s="122" t="s">
        <v>292</v>
      </c>
      <c r="E25" s="122" t="s">
        <v>164</v>
      </c>
      <c r="F25" s="122" t="s">
        <v>13</v>
      </c>
      <c r="G25" s="122" t="s">
        <v>126</v>
      </c>
      <c r="H25" s="122"/>
      <c r="I25" s="122"/>
      <c r="J25" s="123" t="s">
        <v>558</v>
      </c>
    </row>
    <row r="26" spans="3:17" x14ac:dyDescent="0.2">
      <c r="C26" s="121" t="s">
        <v>31</v>
      </c>
      <c r="D26" s="122" t="s">
        <v>293</v>
      </c>
      <c r="E26" s="122" t="s">
        <v>165</v>
      </c>
      <c r="F26" s="122" t="s">
        <v>13</v>
      </c>
      <c r="G26" s="122" t="s">
        <v>126</v>
      </c>
      <c r="H26" s="122"/>
      <c r="I26" s="122"/>
      <c r="J26" s="123" t="s">
        <v>558</v>
      </c>
      <c r="Q26" s="129"/>
    </row>
    <row r="27" spans="3:17" x14ac:dyDescent="0.2">
      <c r="C27" s="121" t="s">
        <v>31</v>
      </c>
      <c r="D27" s="122" t="s">
        <v>294</v>
      </c>
      <c r="E27" s="122" t="s">
        <v>166</v>
      </c>
      <c r="F27" s="122" t="s">
        <v>13</v>
      </c>
      <c r="G27" s="122" t="s">
        <v>126</v>
      </c>
      <c r="H27" s="122"/>
      <c r="I27" s="122"/>
      <c r="J27" s="123" t="s">
        <v>558</v>
      </c>
    </row>
    <row r="28" spans="3:17" x14ac:dyDescent="0.2">
      <c r="C28" s="121" t="s">
        <v>31</v>
      </c>
      <c r="D28" s="124" t="s">
        <v>295</v>
      </c>
      <c r="E28" s="124" t="s">
        <v>167</v>
      </c>
      <c r="F28" s="124" t="s">
        <v>13</v>
      </c>
      <c r="G28" s="122" t="s">
        <v>126</v>
      </c>
      <c r="H28" s="124"/>
      <c r="I28" s="124"/>
      <c r="J28" s="125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66" t="s">
        <v>86</v>
      </c>
      <c r="M33" s="567"/>
      <c r="N33" s="567"/>
      <c r="O33" s="568"/>
    </row>
    <row r="34" spans="8:15" x14ac:dyDescent="0.2">
      <c r="H34" s="3" t="s">
        <v>138</v>
      </c>
      <c r="L34" s="575" t="s">
        <v>91</v>
      </c>
      <c r="M34" s="577"/>
      <c r="N34" s="577"/>
      <c r="O34" s="576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7">
        <v>2400</v>
      </c>
      <c r="M35" s="137">
        <v>2400</v>
      </c>
      <c r="N35" s="137">
        <v>2400</v>
      </c>
      <c r="O35" s="137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0">
        <v>175</v>
      </c>
      <c r="M36" s="140">
        <v>175</v>
      </c>
      <c r="N36" s="140">
        <v>175</v>
      </c>
      <c r="O36" s="140">
        <v>175</v>
      </c>
    </row>
    <row r="37" spans="8:15" x14ac:dyDescent="0.2">
      <c r="J37" s="3" t="s">
        <v>269</v>
      </c>
      <c r="L37" s="142">
        <v>175</v>
      </c>
      <c r="M37" s="142">
        <v>175</v>
      </c>
      <c r="N37" s="142">
        <v>175</v>
      </c>
      <c r="O37" s="142">
        <v>175</v>
      </c>
    </row>
    <row r="38" spans="8:15" x14ac:dyDescent="0.2">
      <c r="J38" s="3" t="s">
        <v>265</v>
      </c>
      <c r="L38" s="140">
        <v>175</v>
      </c>
      <c r="M38" s="140">
        <v>175</v>
      </c>
      <c r="N38" s="140">
        <v>175</v>
      </c>
      <c r="O38" s="140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2">
        <v>251</v>
      </c>
      <c r="M39" s="142">
        <v>251</v>
      </c>
      <c r="N39" s="142">
        <v>251</v>
      </c>
      <c r="O39" s="142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0">
        <v>214</v>
      </c>
      <c r="M40" s="140">
        <v>214</v>
      </c>
      <c r="N40" s="140">
        <v>214</v>
      </c>
      <c r="O40" s="140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2">
        <v>191</v>
      </c>
      <c r="M41" s="142">
        <v>191</v>
      </c>
      <c r="N41" s="142">
        <v>191</v>
      </c>
      <c r="O41" s="142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0">
        <v>5000</v>
      </c>
      <c r="M42" s="140">
        <v>5000</v>
      </c>
      <c r="N42" s="140">
        <v>5000</v>
      </c>
      <c r="O42" s="140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4">
        <v>5000</v>
      </c>
      <c r="M43" s="144">
        <v>5000</v>
      </c>
      <c r="N43" s="144">
        <v>5000</v>
      </c>
      <c r="O43" s="144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6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6" t="s">
        <v>85</v>
      </c>
      <c r="H4" s="572" t="s">
        <v>65</v>
      </c>
      <c r="I4" s="573"/>
      <c r="J4" s="574"/>
      <c r="K4" s="566" t="s">
        <v>86</v>
      </c>
      <c r="L4" s="567"/>
      <c r="M4" s="568"/>
      <c r="N4" s="60"/>
      <c r="O4" s="60" t="s">
        <v>87</v>
      </c>
      <c r="P4" s="60" t="s">
        <v>66</v>
      </c>
      <c r="Q4" s="60"/>
      <c r="X4" s="60" t="s">
        <v>214</v>
      </c>
      <c r="AA4" s="206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0" t="s">
        <v>68</v>
      </c>
      <c r="H5" s="578" t="s">
        <v>34</v>
      </c>
      <c r="I5" s="579"/>
      <c r="J5" s="580"/>
      <c r="K5" s="578" t="s">
        <v>297</v>
      </c>
      <c r="L5" s="579"/>
      <c r="M5" s="580"/>
      <c r="N5" s="381" t="s">
        <v>92</v>
      </c>
      <c r="O5" s="381" t="s">
        <v>34</v>
      </c>
      <c r="P5" s="382" t="s">
        <v>296</v>
      </c>
      <c r="Q5" s="381" t="s">
        <v>94</v>
      </c>
      <c r="X5" s="61" t="s">
        <v>215</v>
      </c>
      <c r="AA5" s="206"/>
      <c r="AB5" s="581" t="s">
        <v>546</v>
      </c>
      <c r="AC5" s="581"/>
      <c r="AD5" s="383"/>
      <c r="AE5" s="582" t="s">
        <v>65</v>
      </c>
      <c r="AF5" s="582"/>
      <c r="AG5" s="582" t="s">
        <v>547</v>
      </c>
      <c r="AH5" s="582"/>
      <c r="AI5" s="583" t="s">
        <v>548</v>
      </c>
      <c r="AJ5" s="583"/>
    </row>
    <row r="6" spans="3:37" x14ac:dyDescent="0.2">
      <c r="C6" s="427" t="str">
        <f t="shared" ref="C6:D11" si="0">D16</f>
        <v>R-LT_Apt_N1</v>
      </c>
      <c r="D6" s="428" t="str">
        <f t="shared" si="0"/>
        <v>Residential Lighting Apartment New</v>
      </c>
      <c r="E6" s="429" t="s">
        <v>153</v>
      </c>
      <c r="F6" s="430" t="s">
        <v>135</v>
      </c>
      <c r="G6" s="385">
        <v>10</v>
      </c>
      <c r="H6" s="386">
        <v>0.4</v>
      </c>
      <c r="I6" s="387">
        <f>H6*(AC9/AB9)</f>
        <v>0.54333333333333333</v>
      </c>
      <c r="J6" s="388">
        <f>H6*(AD9/AC9)</f>
        <v>0.73128834355828232</v>
      </c>
      <c r="K6" s="386">
        <f>L29/1000*$X6</f>
        <v>1.1375E-2</v>
      </c>
      <c r="L6" s="387">
        <f t="shared" ref="L6:M6" si="1">M29/1000*$X6</f>
        <v>1.1375E-2</v>
      </c>
      <c r="M6" s="388">
        <f t="shared" si="1"/>
        <v>1.1375E-2</v>
      </c>
      <c r="N6" s="408"/>
      <c r="O6" s="409"/>
      <c r="P6" s="422">
        <f>31.536*(X6/1000)</f>
        <v>2.0498399999999999E-4</v>
      </c>
      <c r="Q6" s="410">
        <v>2020</v>
      </c>
      <c r="S6" s="129" t="s">
        <v>219</v>
      </c>
      <c r="U6" s="209" t="s">
        <v>222</v>
      </c>
      <c r="X6" s="207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1" t="str">
        <f t="shared" si="0"/>
        <v>R-PF_Apt_N1</v>
      </c>
      <c r="D7" s="140" t="str">
        <f t="shared" si="0"/>
        <v>Residential Pumps &amp; Fans Apartment New</v>
      </c>
      <c r="E7" s="439" t="s">
        <v>153</v>
      </c>
      <c r="F7" s="440" t="s">
        <v>136</v>
      </c>
      <c r="G7" s="389">
        <v>15</v>
      </c>
      <c r="H7" s="390">
        <v>0.6</v>
      </c>
      <c r="I7" s="262">
        <v>0.6</v>
      </c>
      <c r="J7" s="391">
        <v>0.6</v>
      </c>
      <c r="K7" s="390">
        <f t="shared" ref="K7:M7" si="2">L30/1000*$X7</f>
        <v>0.15000000000000002</v>
      </c>
      <c r="L7" s="262">
        <f t="shared" si="2"/>
        <v>0.15000000000000002</v>
      </c>
      <c r="M7" s="391">
        <f t="shared" si="2"/>
        <v>0.15000000000000002</v>
      </c>
      <c r="N7" s="417"/>
      <c r="O7" s="418"/>
      <c r="P7" s="423">
        <f t="shared" ref="P7:P10" si="3">31.536*(X7/1000)</f>
        <v>1.5768000000000002E-3</v>
      </c>
      <c r="Q7" s="419">
        <v>2020</v>
      </c>
      <c r="S7" s="206" t="s">
        <v>220</v>
      </c>
      <c r="X7" s="207">
        <v>0.05</v>
      </c>
      <c r="AA7" s="3" t="s">
        <v>549</v>
      </c>
      <c r="AB7" s="3">
        <v>17</v>
      </c>
      <c r="AC7" s="3">
        <v>17</v>
      </c>
      <c r="AE7" s="392">
        <f>AB7/683</f>
        <v>2.4890190336749635E-2</v>
      </c>
      <c r="AF7" s="392">
        <f>AC7/683</f>
        <v>2.4890190336749635E-2</v>
      </c>
      <c r="AG7" s="393">
        <v>0.03</v>
      </c>
      <c r="AI7" s="394">
        <f t="shared" ref="AI7:AJ10" si="4">AE7*AG7</f>
        <v>7.4670571010248903E-4</v>
      </c>
      <c r="AJ7" s="394">
        <f>AF7*AH7</f>
        <v>0</v>
      </c>
    </row>
    <row r="8" spans="3:37" x14ac:dyDescent="0.2">
      <c r="C8" s="432" t="str">
        <f t="shared" si="0"/>
        <v>R-LT_Att_N1</v>
      </c>
      <c r="D8" s="137" t="str">
        <f t="shared" si="0"/>
        <v>Residential Lighting Attached New</v>
      </c>
      <c r="E8" s="433" t="s">
        <v>153</v>
      </c>
      <c r="F8" s="438" t="s">
        <v>144</v>
      </c>
      <c r="G8" s="395">
        <v>10</v>
      </c>
      <c r="H8" s="396">
        <v>0.4</v>
      </c>
      <c r="I8" s="261">
        <f>H8*(AC9/AB9)</f>
        <v>0.54333333333333333</v>
      </c>
      <c r="J8" s="397">
        <f>H6*(AD9/AC9)</f>
        <v>0.73128834355828232</v>
      </c>
      <c r="K8" s="396">
        <f t="shared" ref="K8:M8" si="5">L31/1000*$X8</f>
        <v>1.1375E-2</v>
      </c>
      <c r="L8" s="261">
        <f t="shared" si="5"/>
        <v>1.1375E-2</v>
      </c>
      <c r="M8" s="397">
        <f t="shared" si="5"/>
        <v>1.1375E-2</v>
      </c>
      <c r="N8" s="420"/>
      <c r="O8" s="147"/>
      <c r="P8" s="424">
        <f t="shared" si="3"/>
        <v>2.0498399999999999E-4</v>
      </c>
      <c r="Q8" s="421">
        <v>2020</v>
      </c>
      <c r="S8" s="129" t="s">
        <v>221</v>
      </c>
      <c r="X8" s="207">
        <v>6.4999999999999997E-3</v>
      </c>
      <c r="AA8" s="3" t="s">
        <v>550</v>
      </c>
      <c r="AB8" s="3">
        <v>24</v>
      </c>
      <c r="AC8" s="3">
        <v>24</v>
      </c>
      <c r="AE8" s="392">
        <f t="shared" ref="AE8:AF10" si="6">AB8/683</f>
        <v>3.5139092240117131E-2</v>
      </c>
      <c r="AF8" s="392">
        <f t="shared" si="6"/>
        <v>3.5139092240117131E-2</v>
      </c>
      <c r="AG8" s="393">
        <v>0.05</v>
      </c>
      <c r="AH8" s="393">
        <v>0.01</v>
      </c>
      <c r="AI8" s="394">
        <f t="shared" si="4"/>
        <v>1.7569546120058566E-3</v>
      </c>
      <c r="AJ8" s="394">
        <f t="shared" si="4"/>
        <v>3.5139092240117132E-4</v>
      </c>
    </row>
    <row r="9" spans="3:37" x14ac:dyDescent="0.2">
      <c r="C9" s="431" t="str">
        <f t="shared" si="0"/>
        <v>R-PF_Att_N1</v>
      </c>
      <c r="D9" s="140" t="str">
        <f t="shared" si="0"/>
        <v>Residential Pumps &amp; Fans Attached New</v>
      </c>
      <c r="E9" s="439" t="s">
        <v>153</v>
      </c>
      <c r="F9" s="440" t="s">
        <v>145</v>
      </c>
      <c r="G9" s="389">
        <v>15</v>
      </c>
      <c r="H9" s="390">
        <v>0.6</v>
      </c>
      <c r="I9" s="262">
        <v>0.6</v>
      </c>
      <c r="J9" s="391">
        <v>0.6</v>
      </c>
      <c r="K9" s="390">
        <f t="shared" ref="K9:M9" si="7">L32/1000*$X9</f>
        <v>0.15000000000000002</v>
      </c>
      <c r="L9" s="262">
        <f t="shared" si="7"/>
        <v>0.15000000000000002</v>
      </c>
      <c r="M9" s="391">
        <f t="shared" si="7"/>
        <v>0.15000000000000002</v>
      </c>
      <c r="N9" s="417"/>
      <c r="O9" s="418"/>
      <c r="P9" s="423">
        <f t="shared" si="3"/>
        <v>1.5768000000000002E-3</v>
      </c>
      <c r="Q9" s="419">
        <v>2020</v>
      </c>
      <c r="X9" s="207">
        <v>0.05</v>
      </c>
      <c r="AA9" s="3" t="s">
        <v>551</v>
      </c>
      <c r="AB9" s="3">
        <v>120</v>
      </c>
      <c r="AC9" s="3">
        <v>163</v>
      </c>
      <c r="AD9" s="3">
        <v>298</v>
      </c>
      <c r="AE9" s="392">
        <f t="shared" si="6"/>
        <v>0.17569546120058566</v>
      </c>
      <c r="AF9" s="392">
        <f t="shared" si="6"/>
        <v>0.23865300146412885</v>
      </c>
      <c r="AG9" s="393">
        <v>0.46</v>
      </c>
      <c r="AH9" s="393">
        <v>0.87</v>
      </c>
      <c r="AI9" s="394">
        <f>AE9*AG9</f>
        <v>8.0819912152269399E-2</v>
      </c>
      <c r="AJ9" s="394">
        <f t="shared" si="4"/>
        <v>0.2076281112737921</v>
      </c>
    </row>
    <row r="10" spans="3:37" x14ac:dyDescent="0.2">
      <c r="C10" s="432" t="str">
        <f t="shared" si="0"/>
        <v>R-LT_Det_N1</v>
      </c>
      <c r="D10" s="137" t="str">
        <f t="shared" si="0"/>
        <v>Residential Lighting Detached New</v>
      </c>
      <c r="E10" s="433" t="s">
        <v>153</v>
      </c>
      <c r="F10" s="438" t="s">
        <v>151</v>
      </c>
      <c r="G10" s="395">
        <v>10</v>
      </c>
      <c r="H10" s="396">
        <v>0.4</v>
      </c>
      <c r="I10" s="261">
        <f>H10*(AC9/AB9)</f>
        <v>0.54333333333333333</v>
      </c>
      <c r="J10" s="397">
        <f>H10*(AD9/AC9)</f>
        <v>0.73128834355828232</v>
      </c>
      <c r="K10" s="396">
        <f t="shared" ref="K10:M10" si="8">L33/1000*$X10</f>
        <v>1.1375E-2</v>
      </c>
      <c r="L10" s="261">
        <f t="shared" si="8"/>
        <v>1.1375E-2</v>
      </c>
      <c r="M10" s="397">
        <f t="shared" si="8"/>
        <v>1.1375E-2</v>
      </c>
      <c r="N10" s="414"/>
      <c r="O10" s="415"/>
      <c r="P10" s="425">
        <f t="shared" si="3"/>
        <v>2.0498399999999999E-4</v>
      </c>
      <c r="Q10" s="416">
        <v>2020</v>
      </c>
      <c r="X10" s="207">
        <v>6.4999999999999997E-3</v>
      </c>
      <c r="AA10" s="3" t="s">
        <v>552</v>
      </c>
      <c r="AB10" s="3">
        <v>100</v>
      </c>
      <c r="AC10" s="3">
        <v>100</v>
      </c>
      <c r="AE10" s="392">
        <f t="shared" si="6"/>
        <v>0.14641288433382138</v>
      </c>
      <c r="AF10" s="392">
        <f t="shared" si="6"/>
        <v>0.14641288433382138</v>
      </c>
      <c r="AG10" s="393">
        <v>0.46</v>
      </c>
      <c r="AH10" s="393">
        <v>0.12</v>
      </c>
      <c r="AI10" s="394">
        <f>AE10*AG10</f>
        <v>6.7349926793557835E-2</v>
      </c>
      <c r="AJ10" s="394">
        <f t="shared" si="4"/>
        <v>1.7569546120058566E-2</v>
      </c>
    </row>
    <row r="11" spans="3:37" ht="13.5" thickBot="1" x14ac:dyDescent="0.25">
      <c r="C11" s="434" t="str">
        <f t="shared" si="0"/>
        <v>R-PF_Det_N1</v>
      </c>
      <c r="D11" s="435" t="str">
        <f t="shared" si="0"/>
        <v>Residential Pumps &amp; Fans Detached New</v>
      </c>
      <c r="E11" s="436" t="s">
        <v>153</v>
      </c>
      <c r="F11" s="437" t="s">
        <v>152</v>
      </c>
      <c r="G11" s="398">
        <v>15</v>
      </c>
      <c r="H11" s="399">
        <v>0.6</v>
      </c>
      <c r="I11" s="400">
        <v>0.6</v>
      </c>
      <c r="J11" s="401">
        <v>0.6</v>
      </c>
      <c r="K11" s="399">
        <f t="shared" ref="K11:M11" si="9">L34/1000*$X11</f>
        <v>0.15000000000000002</v>
      </c>
      <c r="L11" s="400">
        <f t="shared" si="9"/>
        <v>0.15000000000000002</v>
      </c>
      <c r="M11" s="401">
        <f t="shared" si="9"/>
        <v>0.15000000000000002</v>
      </c>
      <c r="N11" s="411"/>
      <c r="O11" s="412"/>
      <c r="P11" s="426">
        <f>31.536*(X11/1000)</f>
        <v>1.5768000000000002E-3</v>
      </c>
      <c r="Q11" s="413">
        <v>2020</v>
      </c>
      <c r="X11" s="207">
        <v>0.05</v>
      </c>
      <c r="AA11" s="3" t="s">
        <v>553</v>
      </c>
      <c r="AB11" s="3">
        <v>275</v>
      </c>
      <c r="AE11" s="392">
        <f>AB11/683</f>
        <v>0.40263543191800877</v>
      </c>
      <c r="AI11" s="394"/>
    </row>
    <row r="12" spans="3:37" x14ac:dyDescent="0.2">
      <c r="AA12" s="3" t="s">
        <v>554</v>
      </c>
      <c r="AB12" s="3">
        <v>280</v>
      </c>
      <c r="AE12" s="392">
        <f>AB12/683</f>
        <v>0.40995607613469986</v>
      </c>
      <c r="AI12" s="394"/>
    </row>
    <row r="13" spans="3:37" x14ac:dyDescent="0.2">
      <c r="AA13" s="3" t="s">
        <v>548</v>
      </c>
      <c r="AI13" s="402">
        <f>SUM(AI7:AI10)</f>
        <v>0.15067349926793558</v>
      </c>
      <c r="AJ13" s="402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3" t="s">
        <v>27</v>
      </c>
      <c r="D15" s="134" t="s">
        <v>21</v>
      </c>
      <c r="E15" s="134" t="s">
        <v>22</v>
      </c>
      <c r="F15" s="134" t="s">
        <v>28</v>
      </c>
      <c r="G15" s="134" t="s">
        <v>29</v>
      </c>
      <c r="H15" s="134" t="s">
        <v>139</v>
      </c>
      <c r="I15" s="135" t="s">
        <v>30</v>
      </c>
      <c r="J15" s="135" t="s">
        <v>67</v>
      </c>
    </row>
    <row r="16" spans="3:37" x14ac:dyDescent="0.2">
      <c r="C16" s="121" t="s">
        <v>31</v>
      </c>
      <c r="D16" s="129" t="s">
        <v>168</v>
      </c>
      <c r="E16" s="3" t="s">
        <v>169</v>
      </c>
      <c r="F16" s="3" t="s">
        <v>13</v>
      </c>
      <c r="G16" s="3" t="s">
        <v>126</v>
      </c>
      <c r="H16" s="122"/>
      <c r="I16" s="123"/>
      <c r="J16" s="123" t="s">
        <v>558</v>
      </c>
    </row>
    <row r="17" spans="3:21" x14ac:dyDescent="0.2">
      <c r="C17" s="121" t="s">
        <v>31</v>
      </c>
      <c r="D17" s="3" t="s">
        <v>170</v>
      </c>
      <c r="E17" s="3" t="s">
        <v>171</v>
      </c>
      <c r="F17" s="3" t="s">
        <v>13</v>
      </c>
      <c r="G17" s="122" t="s">
        <v>126</v>
      </c>
      <c r="H17" s="122"/>
      <c r="I17" s="123"/>
      <c r="J17" s="123" t="s">
        <v>558</v>
      </c>
    </row>
    <row r="18" spans="3:21" x14ac:dyDescent="0.2">
      <c r="C18" s="121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4"/>
      <c r="I18" s="125"/>
      <c r="J18" s="123" t="s">
        <v>558</v>
      </c>
    </row>
    <row r="19" spans="3:21" x14ac:dyDescent="0.2">
      <c r="C19" s="121" t="s">
        <v>31</v>
      </c>
      <c r="D19" s="3" t="s">
        <v>174</v>
      </c>
      <c r="E19" s="3" t="s">
        <v>175</v>
      </c>
      <c r="F19" s="3" t="s">
        <v>13</v>
      </c>
      <c r="G19" s="122" t="s">
        <v>126</v>
      </c>
      <c r="H19" s="122"/>
      <c r="I19" s="123"/>
      <c r="J19" s="123" t="s">
        <v>558</v>
      </c>
      <c r="T19" s="208"/>
      <c r="U19" s="208"/>
    </row>
    <row r="20" spans="3:21" x14ac:dyDescent="0.2">
      <c r="C20" s="121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2"/>
      <c r="I20" s="123"/>
      <c r="J20" s="123" t="s">
        <v>558</v>
      </c>
      <c r="T20" s="208"/>
      <c r="U20" s="208"/>
    </row>
    <row r="21" spans="3:21" x14ac:dyDescent="0.2">
      <c r="C21" s="121" t="s">
        <v>31</v>
      </c>
      <c r="D21" s="3" t="s">
        <v>178</v>
      </c>
      <c r="E21" s="3" t="s">
        <v>179</v>
      </c>
      <c r="F21" s="3" t="s">
        <v>13</v>
      </c>
      <c r="G21" s="122" t="s">
        <v>126</v>
      </c>
      <c r="H21" s="124"/>
      <c r="I21" s="125"/>
      <c r="J21" s="123" t="s">
        <v>558</v>
      </c>
      <c r="T21" s="208"/>
      <c r="U21" s="208"/>
    </row>
    <row r="22" spans="3:21" x14ac:dyDescent="0.2">
      <c r="T22" s="208"/>
      <c r="U22" s="208"/>
    </row>
    <row r="23" spans="3:21" x14ac:dyDescent="0.2">
      <c r="T23" s="208"/>
      <c r="U23" s="208"/>
    </row>
    <row r="24" spans="3:21" x14ac:dyDescent="0.2">
      <c r="T24" s="208"/>
      <c r="U24" s="208"/>
    </row>
    <row r="25" spans="3:21" x14ac:dyDescent="0.2">
      <c r="T25" s="208"/>
      <c r="U25" s="208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8"/>
      <c r="U26" s="208"/>
    </row>
    <row r="27" spans="3:21" x14ac:dyDescent="0.2">
      <c r="J27" s="3" t="s">
        <v>79</v>
      </c>
      <c r="K27" s="3" t="s">
        <v>33</v>
      </c>
      <c r="L27" s="566" t="s">
        <v>86</v>
      </c>
      <c r="M27" s="567"/>
      <c r="N27" s="567"/>
      <c r="O27" s="568"/>
      <c r="T27" s="208"/>
      <c r="U27" s="208"/>
    </row>
    <row r="28" spans="3:21" x14ac:dyDescent="0.2">
      <c r="J28" s="3" t="s">
        <v>138</v>
      </c>
      <c r="L28" s="569" t="s">
        <v>91</v>
      </c>
      <c r="M28" s="570"/>
      <c r="N28" s="570"/>
      <c r="O28" s="571"/>
      <c r="T28" s="208"/>
      <c r="U28" s="208"/>
    </row>
    <row r="29" spans="3:21" x14ac:dyDescent="0.2">
      <c r="J29" s="3" t="s">
        <v>168</v>
      </c>
      <c r="K29" s="3" t="s">
        <v>169</v>
      </c>
      <c r="L29" s="137">
        <v>1750</v>
      </c>
      <c r="M29" s="137">
        <v>1750</v>
      </c>
      <c r="N29" s="137">
        <v>1750</v>
      </c>
      <c r="O29" s="137">
        <v>1750</v>
      </c>
      <c r="T29" s="208"/>
      <c r="U29" s="208"/>
    </row>
    <row r="30" spans="3:21" x14ac:dyDescent="0.2">
      <c r="J30" s="3" t="s">
        <v>170</v>
      </c>
      <c r="K30" s="3" t="s">
        <v>171</v>
      </c>
      <c r="L30" s="140">
        <v>3000</v>
      </c>
      <c r="M30" s="140">
        <v>3000</v>
      </c>
      <c r="N30" s="140">
        <v>3000</v>
      </c>
      <c r="O30" s="140">
        <v>3000</v>
      </c>
      <c r="T30" s="208"/>
      <c r="U30" s="208"/>
    </row>
    <row r="31" spans="3:21" x14ac:dyDescent="0.2">
      <c r="J31" s="3" t="s">
        <v>172</v>
      </c>
      <c r="K31" s="3" t="s">
        <v>173</v>
      </c>
      <c r="L31" s="137">
        <v>1750</v>
      </c>
      <c r="M31" s="137">
        <v>1750</v>
      </c>
      <c r="N31" s="137">
        <v>1750</v>
      </c>
      <c r="O31" s="137">
        <v>1750</v>
      </c>
      <c r="T31" s="208"/>
      <c r="U31" s="208"/>
    </row>
    <row r="32" spans="3:21" x14ac:dyDescent="0.2">
      <c r="J32" s="3" t="s">
        <v>174</v>
      </c>
      <c r="K32" s="3" t="s">
        <v>175</v>
      </c>
      <c r="L32" s="140">
        <v>3000</v>
      </c>
      <c r="M32" s="140">
        <v>3000</v>
      </c>
      <c r="N32" s="140">
        <v>3000</v>
      </c>
      <c r="O32" s="140">
        <v>3000</v>
      </c>
      <c r="T32" s="208"/>
      <c r="U32" s="208"/>
    </row>
    <row r="33" spans="10:21" x14ac:dyDescent="0.2">
      <c r="J33" s="3" t="s">
        <v>176</v>
      </c>
      <c r="K33" s="3" t="s">
        <v>177</v>
      </c>
      <c r="L33" s="137">
        <v>1750</v>
      </c>
      <c r="M33" s="137">
        <v>1750</v>
      </c>
      <c r="N33" s="137">
        <v>1750</v>
      </c>
      <c r="O33" s="137">
        <v>1750</v>
      </c>
      <c r="T33" s="208"/>
      <c r="U33" s="208"/>
    </row>
    <row r="34" spans="10:21" x14ac:dyDescent="0.2">
      <c r="J34" s="3" t="s">
        <v>178</v>
      </c>
      <c r="K34" s="3" t="s">
        <v>179</v>
      </c>
      <c r="L34" s="140">
        <v>3000</v>
      </c>
      <c r="M34" s="140">
        <v>3000</v>
      </c>
      <c r="N34" s="140">
        <v>3000</v>
      </c>
      <c r="O34" s="140">
        <v>3000</v>
      </c>
      <c r="T34" s="208"/>
      <c r="U34" s="208"/>
    </row>
    <row r="35" spans="10:21" x14ac:dyDescent="0.2">
      <c r="T35" s="208"/>
      <c r="U35" s="208"/>
    </row>
    <row r="36" spans="10:21" x14ac:dyDescent="0.2">
      <c r="T36" s="208"/>
      <c r="U36" s="208"/>
    </row>
    <row r="37" spans="10:21" x14ac:dyDescent="0.2">
      <c r="T37" s="208"/>
      <c r="U37" s="208"/>
    </row>
    <row r="38" spans="10:21" x14ac:dyDescent="0.2">
      <c r="T38" s="208"/>
      <c r="U38" s="208"/>
    </row>
    <row r="39" spans="10:21" x14ac:dyDescent="0.2">
      <c r="T39" s="208"/>
      <c r="U39" s="208"/>
    </row>
    <row r="40" spans="10:21" x14ac:dyDescent="0.2">
      <c r="T40" s="208"/>
      <c r="U40" s="208"/>
    </row>
    <row r="41" spans="10:21" x14ac:dyDescent="0.2">
      <c r="T41" s="208"/>
      <c r="U41" s="208"/>
    </row>
    <row r="42" spans="10:21" ht="14.25" customHeight="1" x14ac:dyDescent="0.2">
      <c r="T42" s="208"/>
      <c r="U42" s="208"/>
    </row>
    <row r="43" spans="10:21" x14ac:dyDescent="0.2">
      <c r="T43" s="208"/>
      <c r="U43" s="208"/>
    </row>
    <row r="44" spans="10:21" x14ac:dyDescent="0.2">
      <c r="T44" s="208"/>
      <c r="U44" s="208"/>
    </row>
    <row r="45" spans="10:21" x14ac:dyDescent="0.2">
      <c r="T45" s="208"/>
      <c r="U45" s="208"/>
    </row>
    <row r="46" spans="10:21" x14ac:dyDescent="0.2">
      <c r="T46" s="208"/>
      <c r="U46" s="208"/>
    </row>
    <row r="47" spans="10:21" x14ac:dyDescent="0.2">
      <c r="T47" s="208"/>
      <c r="U47" s="208"/>
    </row>
    <row r="48" spans="10:21" x14ac:dyDescent="0.2">
      <c r="T48" s="208"/>
      <c r="U48" s="208"/>
    </row>
    <row r="49" spans="20:21" x14ac:dyDescent="0.2">
      <c r="T49" s="208"/>
      <c r="U49" s="208"/>
    </row>
    <row r="50" spans="20:21" x14ac:dyDescent="0.2">
      <c r="T50" s="208"/>
      <c r="U50" s="208"/>
    </row>
    <row r="51" spans="20:21" x14ac:dyDescent="0.2">
      <c r="T51" s="208"/>
      <c r="U51" s="208"/>
    </row>
    <row r="52" spans="20:21" x14ac:dyDescent="0.2">
      <c r="T52" s="208"/>
      <c r="U52" s="208"/>
    </row>
    <row r="53" spans="20:21" x14ac:dyDescent="0.2">
      <c r="T53" s="208"/>
      <c r="U53" s="208"/>
    </row>
    <row r="54" spans="20:21" x14ac:dyDescent="0.2">
      <c r="T54" s="208"/>
      <c r="U54" s="208"/>
    </row>
    <row r="55" spans="20:21" x14ac:dyDescent="0.2">
      <c r="T55" s="208"/>
      <c r="U55" s="208"/>
    </row>
    <row r="56" spans="20:21" x14ac:dyDescent="0.2">
      <c r="T56" s="208"/>
      <c r="U56" s="208"/>
    </row>
    <row r="57" spans="20:21" x14ac:dyDescent="0.2">
      <c r="T57" s="208"/>
      <c r="U57" s="208"/>
    </row>
    <row r="58" spans="20:21" x14ac:dyDescent="0.2">
      <c r="T58" s="208"/>
      <c r="U58" s="208"/>
    </row>
    <row r="59" spans="20:21" x14ac:dyDescent="0.2">
      <c r="T59" s="208"/>
      <c r="U59" s="208"/>
    </row>
    <row r="60" spans="20:21" x14ac:dyDescent="0.2">
      <c r="T60" s="208"/>
      <c r="U60" s="208"/>
    </row>
    <row r="61" spans="20:21" x14ac:dyDescent="0.2">
      <c r="T61" s="208"/>
      <c r="U61" s="208"/>
    </row>
    <row r="62" spans="20:21" x14ac:dyDescent="0.2">
      <c r="T62" s="208"/>
      <c r="U62" s="208"/>
    </row>
    <row r="63" spans="20:21" x14ac:dyDescent="0.2">
      <c r="T63" s="208"/>
      <c r="U63" s="208"/>
    </row>
    <row r="64" spans="20:21" x14ac:dyDescent="0.2">
      <c r="T64" s="208"/>
      <c r="U64" s="208"/>
    </row>
    <row r="65" spans="20:21" x14ac:dyDescent="0.2">
      <c r="T65" s="208"/>
      <c r="U65" s="208"/>
    </row>
    <row r="66" spans="20:21" x14ac:dyDescent="0.2">
      <c r="T66" s="208"/>
      <c r="U66" s="208"/>
    </row>
    <row r="67" spans="20:21" x14ac:dyDescent="0.2">
      <c r="T67" s="208"/>
      <c r="U67" s="208"/>
    </row>
    <row r="68" spans="20:21" x14ac:dyDescent="0.2">
      <c r="T68" s="208"/>
      <c r="U68" s="208"/>
    </row>
    <row r="69" spans="20:21" x14ac:dyDescent="0.2">
      <c r="T69" s="208"/>
      <c r="U69" s="208"/>
    </row>
    <row r="70" spans="20:21" x14ac:dyDescent="0.2">
      <c r="T70" s="208"/>
      <c r="U70" s="208"/>
    </row>
    <row r="71" spans="20:21" x14ac:dyDescent="0.2">
      <c r="T71" s="208"/>
      <c r="U71" s="208"/>
    </row>
    <row r="72" spans="20:21" x14ac:dyDescent="0.2">
      <c r="T72" s="208"/>
      <c r="U72" s="208"/>
    </row>
    <row r="73" spans="20:21" x14ac:dyDescent="0.2">
      <c r="T73" s="208"/>
      <c r="U73" s="208"/>
    </row>
    <row r="74" spans="20:21" x14ac:dyDescent="0.2">
      <c r="T74" s="208"/>
      <c r="U74" s="208"/>
    </row>
    <row r="75" spans="20:21" x14ac:dyDescent="0.2">
      <c r="T75" s="208"/>
      <c r="U75" s="208"/>
    </row>
    <row r="76" spans="20:21" x14ac:dyDescent="0.2">
      <c r="T76" s="208"/>
      <c r="U76" s="208"/>
    </row>
    <row r="77" spans="20:21" x14ac:dyDescent="0.2">
      <c r="T77" s="208"/>
      <c r="U77" s="208"/>
    </row>
    <row r="78" spans="20:21" x14ac:dyDescent="0.2">
      <c r="T78" s="208"/>
      <c r="U78" s="208"/>
    </row>
    <row r="79" spans="20:21" x14ac:dyDescent="0.2">
      <c r="T79" s="208"/>
      <c r="U79" s="208"/>
    </row>
    <row r="80" spans="20:21" x14ac:dyDescent="0.2">
      <c r="T80" s="208"/>
      <c r="U80" s="208"/>
    </row>
    <row r="81" spans="20:21" x14ac:dyDescent="0.2">
      <c r="T81" s="208"/>
      <c r="U81" s="208"/>
    </row>
    <row r="82" spans="20:21" x14ac:dyDescent="0.2">
      <c r="T82" s="208"/>
      <c r="U82" s="208"/>
    </row>
    <row r="83" spans="20:21" x14ac:dyDescent="0.2">
      <c r="T83" s="208"/>
      <c r="U83" s="208"/>
    </row>
    <row r="84" spans="20:21" x14ac:dyDescent="0.2">
      <c r="T84" s="208"/>
      <c r="U84" s="208"/>
    </row>
    <row r="85" spans="20:21" x14ac:dyDescent="0.2">
      <c r="T85" s="208"/>
      <c r="U85" s="208"/>
    </row>
    <row r="86" spans="20:21" x14ac:dyDescent="0.2">
      <c r="T86" s="208"/>
      <c r="U86" s="208"/>
    </row>
    <row r="87" spans="20:21" x14ac:dyDescent="0.2">
      <c r="T87" s="208"/>
      <c r="U87" s="208"/>
    </row>
    <row r="88" spans="20:21" x14ac:dyDescent="0.2">
      <c r="T88" s="208"/>
      <c r="U88" s="208"/>
    </row>
    <row r="89" spans="20:21" x14ac:dyDescent="0.2">
      <c r="T89" s="208"/>
      <c r="U89" s="208"/>
    </row>
    <row r="90" spans="20:21" x14ac:dyDescent="0.2">
      <c r="T90" s="208"/>
      <c r="U90" s="208"/>
    </row>
    <row r="91" spans="20:21" x14ac:dyDescent="0.2">
      <c r="T91" s="208"/>
      <c r="U91" s="208"/>
    </row>
    <row r="92" spans="20:21" x14ac:dyDescent="0.2">
      <c r="T92" s="208"/>
      <c r="U92" s="208"/>
    </row>
    <row r="93" spans="20:21" x14ac:dyDescent="0.2">
      <c r="T93" s="208"/>
      <c r="U93" s="208"/>
    </row>
    <row r="94" spans="20:21" x14ac:dyDescent="0.2">
      <c r="T94" s="208"/>
      <c r="U94" s="208"/>
    </row>
    <row r="95" spans="20:21" x14ac:dyDescent="0.2">
      <c r="T95" s="208"/>
      <c r="U95" s="208"/>
    </row>
    <row r="96" spans="20:21" x14ac:dyDescent="0.2">
      <c r="T96" s="208"/>
      <c r="U96" s="208"/>
    </row>
    <row r="97" spans="20:21" x14ac:dyDescent="0.2">
      <c r="T97" s="208"/>
      <c r="U97" s="208"/>
    </row>
    <row r="98" spans="20:21" x14ac:dyDescent="0.2">
      <c r="T98" s="208"/>
      <c r="U98" s="208"/>
    </row>
    <row r="99" spans="20:21" x14ac:dyDescent="0.2">
      <c r="T99" s="208"/>
      <c r="U99" s="208"/>
    </row>
    <row r="100" spans="20:21" x14ac:dyDescent="0.2">
      <c r="T100" s="208"/>
      <c r="U100" s="208"/>
    </row>
    <row r="101" spans="20:21" x14ac:dyDescent="0.2">
      <c r="T101" s="208"/>
      <c r="U101" s="208"/>
    </row>
    <row r="102" spans="20:21" x14ac:dyDescent="0.2">
      <c r="T102" s="208"/>
      <c r="U102" s="208"/>
    </row>
    <row r="103" spans="20:21" x14ac:dyDescent="0.2">
      <c r="T103" s="208"/>
      <c r="U103" s="208"/>
    </row>
    <row r="104" spans="20:21" x14ac:dyDescent="0.2">
      <c r="T104" s="208"/>
      <c r="U104" s="208"/>
    </row>
    <row r="105" spans="20:21" x14ac:dyDescent="0.2">
      <c r="T105" s="208"/>
      <c r="U105" s="208"/>
    </row>
    <row r="106" spans="20:21" x14ac:dyDescent="0.2">
      <c r="T106" s="208"/>
      <c r="U106" s="208"/>
    </row>
    <row r="107" spans="20:21" x14ac:dyDescent="0.2">
      <c r="T107" s="208"/>
      <c r="U107" s="208"/>
    </row>
    <row r="108" spans="20:21" x14ac:dyDescent="0.2">
      <c r="T108" s="208"/>
      <c r="U108" s="208"/>
    </row>
    <row r="109" spans="20:21" x14ac:dyDescent="0.2">
      <c r="T109" s="208"/>
      <c r="U109" s="208"/>
    </row>
    <row r="110" spans="20:21" x14ac:dyDescent="0.2">
      <c r="T110" s="208"/>
      <c r="U110" s="208"/>
    </row>
    <row r="111" spans="20:21" x14ac:dyDescent="0.2">
      <c r="T111" s="208"/>
      <c r="U111" s="208"/>
    </row>
    <row r="112" spans="20:21" x14ac:dyDescent="0.2">
      <c r="T112" s="208"/>
      <c r="U112" s="208"/>
    </row>
    <row r="113" spans="20:21" x14ac:dyDescent="0.2">
      <c r="T113" s="208"/>
      <c r="U113" s="208"/>
    </row>
    <row r="114" spans="20:21" x14ac:dyDescent="0.2">
      <c r="T114" s="208"/>
      <c r="U114" s="208"/>
    </row>
    <row r="115" spans="20:21" x14ac:dyDescent="0.2">
      <c r="T115" s="208"/>
      <c r="U115" s="208"/>
    </row>
    <row r="116" spans="20:21" x14ac:dyDescent="0.2">
      <c r="T116" s="208"/>
      <c r="U116" s="208"/>
    </row>
    <row r="117" spans="20:21" x14ac:dyDescent="0.2">
      <c r="T117" s="208"/>
      <c r="U117" s="208"/>
    </row>
    <row r="118" spans="20:21" x14ac:dyDescent="0.2">
      <c r="T118" s="208"/>
      <c r="U118" s="208"/>
    </row>
    <row r="119" spans="20:21" x14ac:dyDescent="0.2">
      <c r="T119" s="208"/>
      <c r="U119" s="208"/>
    </row>
    <row r="120" spans="20:21" x14ac:dyDescent="0.2">
      <c r="T120" s="208"/>
      <c r="U120" s="208"/>
    </row>
    <row r="121" spans="20:21" x14ac:dyDescent="0.2">
      <c r="T121" s="208"/>
      <c r="U121" s="208"/>
    </row>
    <row r="122" spans="20:21" x14ac:dyDescent="0.2">
      <c r="T122" s="208"/>
      <c r="U122" s="208"/>
    </row>
    <row r="123" spans="20:21" x14ac:dyDescent="0.2">
      <c r="T123" s="208"/>
      <c r="U123" s="208"/>
    </row>
    <row r="124" spans="20:21" x14ac:dyDescent="0.2">
      <c r="T124" s="208"/>
      <c r="U124" s="208"/>
    </row>
    <row r="125" spans="20:21" x14ac:dyDescent="0.2">
      <c r="T125" s="208"/>
      <c r="U125" s="208"/>
    </row>
    <row r="126" spans="20:21" x14ac:dyDescent="0.2">
      <c r="T126" s="208"/>
      <c r="U126" s="208"/>
    </row>
    <row r="127" spans="20:21" x14ac:dyDescent="0.2">
      <c r="T127" s="208"/>
      <c r="U127" s="208"/>
    </row>
    <row r="128" spans="20:21" x14ac:dyDescent="0.2">
      <c r="T128" s="208"/>
      <c r="U128" s="208"/>
    </row>
    <row r="129" spans="20:21" x14ac:dyDescent="0.2">
      <c r="T129" s="208"/>
      <c r="U129" s="208"/>
    </row>
    <row r="130" spans="20:21" x14ac:dyDescent="0.2">
      <c r="T130" s="208"/>
      <c r="U130" s="208"/>
    </row>
    <row r="131" spans="20:21" x14ac:dyDescent="0.2">
      <c r="T131" s="208"/>
      <c r="U131" s="208"/>
    </row>
    <row r="132" spans="20:21" x14ac:dyDescent="0.2">
      <c r="T132" s="208"/>
      <c r="U132" s="208"/>
    </row>
    <row r="133" spans="20:21" x14ac:dyDescent="0.2">
      <c r="T133" s="208"/>
      <c r="U133" s="208"/>
    </row>
    <row r="134" spans="20:21" x14ac:dyDescent="0.2">
      <c r="T134" s="208"/>
      <c r="U134" s="208"/>
    </row>
    <row r="135" spans="20:21" x14ac:dyDescent="0.2">
      <c r="T135" s="208"/>
      <c r="U135" s="208"/>
    </row>
    <row r="136" spans="20:21" x14ac:dyDescent="0.2">
      <c r="T136" s="208"/>
      <c r="U136" s="208"/>
    </row>
    <row r="137" spans="20:21" x14ac:dyDescent="0.2">
      <c r="T137" s="208"/>
      <c r="U137" s="208"/>
    </row>
    <row r="138" spans="20:21" x14ac:dyDescent="0.2">
      <c r="T138" s="208"/>
      <c r="U138" s="208"/>
    </row>
    <row r="139" spans="20:21" x14ac:dyDescent="0.2">
      <c r="T139" s="208"/>
      <c r="U139" s="208"/>
    </row>
    <row r="140" spans="20:21" x14ac:dyDescent="0.2">
      <c r="T140" s="208"/>
      <c r="U140" s="208"/>
    </row>
    <row r="141" spans="20:21" x14ac:dyDescent="0.2">
      <c r="T141" s="208"/>
      <c r="U141" s="208"/>
    </row>
    <row r="142" spans="20:21" x14ac:dyDescent="0.2">
      <c r="T142" s="208"/>
      <c r="U142" s="208"/>
    </row>
    <row r="143" spans="20:21" x14ac:dyDescent="0.2">
      <c r="T143" s="208"/>
      <c r="U143" s="208"/>
    </row>
    <row r="144" spans="20:21" x14ac:dyDescent="0.2">
      <c r="T144" s="208"/>
      <c r="U144" s="208"/>
    </row>
    <row r="145" spans="20:21" x14ac:dyDescent="0.2">
      <c r="T145" s="208"/>
      <c r="U145" s="208"/>
    </row>
    <row r="146" spans="20:21" x14ac:dyDescent="0.2">
      <c r="T146" s="208"/>
      <c r="U146" s="208"/>
    </row>
    <row r="147" spans="20:21" x14ac:dyDescent="0.2">
      <c r="T147" s="208"/>
      <c r="U147" s="208"/>
    </row>
    <row r="148" spans="20:21" x14ac:dyDescent="0.2">
      <c r="T148" s="208"/>
      <c r="U148" s="208"/>
    </row>
    <row r="149" spans="20:21" x14ac:dyDescent="0.2">
      <c r="T149" s="208"/>
      <c r="U149" s="208"/>
    </row>
    <row r="150" spans="20:21" x14ac:dyDescent="0.2">
      <c r="T150" s="208"/>
      <c r="U150" s="208"/>
    </row>
    <row r="151" spans="20:21" x14ac:dyDescent="0.2">
      <c r="T151" s="208"/>
      <c r="U151" s="208"/>
    </row>
    <row r="152" spans="20:21" x14ac:dyDescent="0.2">
      <c r="T152" s="208"/>
      <c r="U152" s="208"/>
    </row>
    <row r="153" spans="20:21" x14ac:dyDescent="0.2">
      <c r="T153" s="208"/>
      <c r="U153" s="208"/>
    </row>
    <row r="154" spans="20:21" x14ac:dyDescent="0.2">
      <c r="T154" s="208"/>
      <c r="U154" s="208"/>
    </row>
    <row r="155" spans="20:21" x14ac:dyDescent="0.2">
      <c r="T155" s="208"/>
      <c r="U155" s="208"/>
    </row>
    <row r="156" spans="20:21" x14ac:dyDescent="0.2">
      <c r="T156" s="208"/>
      <c r="U156" s="208"/>
    </row>
    <row r="157" spans="20:21" x14ac:dyDescent="0.2">
      <c r="T157" s="208"/>
      <c r="U157" s="208"/>
    </row>
    <row r="158" spans="20:21" x14ac:dyDescent="0.2">
      <c r="T158" s="208"/>
      <c r="U158" s="208"/>
    </row>
    <row r="159" spans="20:21" x14ac:dyDescent="0.2">
      <c r="T159" s="208"/>
      <c r="U159" s="208"/>
    </row>
    <row r="160" spans="20:21" x14ac:dyDescent="0.2">
      <c r="T160" s="208"/>
      <c r="U160" s="208"/>
    </row>
    <row r="161" spans="20:21" x14ac:dyDescent="0.2">
      <c r="T161" s="208"/>
      <c r="U161" s="208"/>
    </row>
    <row r="162" spans="20:21" x14ac:dyDescent="0.2">
      <c r="T162" s="208"/>
      <c r="U162" s="208"/>
    </row>
    <row r="163" spans="20:21" x14ac:dyDescent="0.2">
      <c r="T163" s="208"/>
      <c r="U163" s="208"/>
    </row>
    <row r="164" spans="20:21" x14ac:dyDescent="0.2">
      <c r="T164" s="208"/>
      <c r="U164" s="208"/>
    </row>
    <row r="165" spans="20:21" x14ac:dyDescent="0.2">
      <c r="T165" s="208"/>
      <c r="U165" s="208"/>
    </row>
    <row r="166" spans="20:21" x14ac:dyDescent="0.2">
      <c r="T166" s="208"/>
      <c r="U166" s="208"/>
    </row>
    <row r="167" spans="20:21" x14ac:dyDescent="0.2">
      <c r="T167" s="208"/>
      <c r="U167" s="208"/>
    </row>
    <row r="168" spans="20:21" x14ac:dyDescent="0.2">
      <c r="T168" s="208"/>
      <c r="U168" s="208"/>
    </row>
    <row r="169" spans="20:21" x14ac:dyDescent="0.2">
      <c r="T169" s="208"/>
      <c r="U169" s="208"/>
    </row>
    <row r="170" spans="20:21" x14ac:dyDescent="0.2">
      <c r="T170" s="208"/>
      <c r="U170" s="208"/>
    </row>
    <row r="171" spans="20:21" x14ac:dyDescent="0.2">
      <c r="T171" s="208"/>
      <c r="U171" s="208"/>
    </row>
    <row r="172" spans="20:21" x14ac:dyDescent="0.2">
      <c r="T172" s="208"/>
      <c r="U172" s="208"/>
    </row>
    <row r="173" spans="20:21" x14ac:dyDescent="0.2">
      <c r="T173" s="208"/>
      <c r="U173" s="208"/>
    </row>
    <row r="174" spans="20:21" x14ac:dyDescent="0.2">
      <c r="T174" s="208"/>
      <c r="U174" s="208"/>
    </row>
    <row r="175" spans="20:21" x14ac:dyDescent="0.2">
      <c r="T175" s="208"/>
      <c r="U175" s="208"/>
    </row>
    <row r="176" spans="20:21" x14ac:dyDescent="0.2">
      <c r="T176" s="208"/>
      <c r="U176" s="208"/>
    </row>
    <row r="177" spans="20:21" x14ac:dyDescent="0.2">
      <c r="T177" s="208"/>
      <c r="U177" s="208"/>
    </row>
    <row r="178" spans="20:21" x14ac:dyDescent="0.2">
      <c r="T178" s="208"/>
      <c r="U178" s="208"/>
    </row>
    <row r="179" spans="20:21" x14ac:dyDescent="0.2">
      <c r="T179" s="208"/>
      <c r="U179" s="208"/>
    </row>
    <row r="180" spans="20:21" x14ac:dyDescent="0.2">
      <c r="T180" s="208"/>
      <c r="U180" s="208"/>
    </row>
    <row r="181" spans="20:21" x14ac:dyDescent="0.2">
      <c r="T181" s="208"/>
      <c r="U181" s="208"/>
    </row>
    <row r="182" spans="20:21" x14ac:dyDescent="0.2">
      <c r="T182" s="208"/>
      <c r="U182" s="208"/>
    </row>
    <row r="183" spans="20:21" x14ac:dyDescent="0.2">
      <c r="T183" s="208"/>
      <c r="U183" s="208"/>
    </row>
    <row r="184" spans="20:21" x14ac:dyDescent="0.2">
      <c r="T184" s="208"/>
      <c r="U184" s="208"/>
    </row>
    <row r="185" spans="20:21" x14ac:dyDescent="0.2">
      <c r="T185" s="208"/>
      <c r="U185" s="208"/>
    </row>
    <row r="186" spans="20:21" x14ac:dyDescent="0.2">
      <c r="T186" s="208"/>
      <c r="U186" s="208"/>
    </row>
    <row r="187" spans="20:21" x14ac:dyDescent="0.2">
      <c r="T187" s="208"/>
      <c r="U187" s="208"/>
    </row>
    <row r="188" spans="20:21" x14ac:dyDescent="0.2">
      <c r="T188" s="208"/>
      <c r="U188" s="208"/>
    </row>
    <row r="189" spans="20:21" x14ac:dyDescent="0.2">
      <c r="T189" s="208"/>
      <c r="U189" s="208"/>
    </row>
    <row r="190" spans="20:21" x14ac:dyDescent="0.2">
      <c r="T190" s="208"/>
      <c r="U190" s="208"/>
    </row>
    <row r="191" spans="20:21" x14ac:dyDescent="0.2">
      <c r="T191" s="208"/>
      <c r="U191" s="208"/>
    </row>
    <row r="192" spans="20:21" x14ac:dyDescent="0.2">
      <c r="T192" s="208"/>
      <c r="U192" s="208"/>
    </row>
    <row r="193" spans="20:21" x14ac:dyDescent="0.2">
      <c r="T193" s="208"/>
      <c r="U193" s="208"/>
    </row>
    <row r="194" spans="20:21" x14ac:dyDescent="0.2">
      <c r="T194" s="208"/>
      <c r="U194" s="208"/>
    </row>
    <row r="195" spans="20:21" x14ac:dyDescent="0.2">
      <c r="T195" s="208"/>
      <c r="U195" s="208"/>
    </row>
    <row r="196" spans="20:21" x14ac:dyDescent="0.2">
      <c r="T196" s="208"/>
      <c r="U196" s="208"/>
    </row>
    <row r="197" spans="20:21" x14ac:dyDescent="0.2">
      <c r="T197" s="208"/>
      <c r="U197" s="208"/>
    </row>
    <row r="198" spans="20:21" x14ac:dyDescent="0.2">
      <c r="T198" s="208"/>
      <c r="U198" s="208"/>
    </row>
    <row r="199" spans="20:21" x14ac:dyDescent="0.2">
      <c r="T199" s="208"/>
      <c r="U199" s="208"/>
    </row>
    <row r="200" spans="20:21" x14ac:dyDescent="0.2">
      <c r="T200" s="208"/>
      <c r="U200" s="208"/>
    </row>
    <row r="201" spans="20:21" x14ac:dyDescent="0.2">
      <c r="T201" s="208"/>
      <c r="U201" s="208"/>
    </row>
    <row r="202" spans="20:21" x14ac:dyDescent="0.2">
      <c r="T202" s="208"/>
      <c r="U202" s="208"/>
    </row>
    <row r="203" spans="20:21" x14ac:dyDescent="0.2">
      <c r="T203" s="208"/>
      <c r="U203" s="208"/>
    </row>
    <row r="204" spans="20:21" x14ac:dyDescent="0.2">
      <c r="T204" s="208"/>
      <c r="U204" s="208"/>
    </row>
    <row r="205" spans="20:21" x14ac:dyDescent="0.2">
      <c r="T205" s="208"/>
      <c r="U205" s="208"/>
    </row>
    <row r="206" spans="20:21" x14ac:dyDescent="0.2">
      <c r="T206" s="208"/>
      <c r="U206" s="208"/>
    </row>
    <row r="207" spans="20:21" x14ac:dyDescent="0.2">
      <c r="T207" s="208"/>
      <c r="U207" s="208"/>
    </row>
    <row r="208" spans="20:21" x14ac:dyDescent="0.2">
      <c r="T208" s="208"/>
      <c r="U208" s="208"/>
    </row>
    <row r="209" spans="20:21" x14ac:dyDescent="0.2">
      <c r="T209" s="208"/>
      <c r="U209" s="208"/>
    </row>
    <row r="210" spans="20:21" x14ac:dyDescent="0.2">
      <c r="T210" s="208"/>
      <c r="U210" s="208"/>
    </row>
    <row r="211" spans="20:21" x14ac:dyDescent="0.2">
      <c r="T211" s="208"/>
      <c r="U211" s="208"/>
    </row>
    <row r="212" spans="20:21" x14ac:dyDescent="0.2">
      <c r="T212" s="208"/>
      <c r="U212" s="208"/>
    </row>
    <row r="213" spans="20:21" x14ac:dyDescent="0.2">
      <c r="T213" s="208"/>
      <c r="U213" s="208"/>
    </row>
    <row r="214" spans="20:21" x14ac:dyDescent="0.2">
      <c r="T214" s="208"/>
      <c r="U214" s="208"/>
    </row>
    <row r="215" spans="20:21" x14ac:dyDescent="0.2">
      <c r="T215" s="208"/>
      <c r="U215" s="208"/>
    </row>
    <row r="216" spans="20:21" x14ac:dyDescent="0.2">
      <c r="T216" s="208"/>
      <c r="U216" s="208"/>
    </row>
    <row r="217" spans="20:21" x14ac:dyDescent="0.2">
      <c r="T217" s="208"/>
      <c r="U217" s="208"/>
    </row>
    <row r="218" spans="20:21" x14ac:dyDescent="0.2">
      <c r="T218" s="208"/>
      <c r="U218" s="208"/>
    </row>
    <row r="219" spans="20:21" x14ac:dyDescent="0.2">
      <c r="T219" s="208"/>
      <c r="U219" s="208"/>
    </row>
    <row r="220" spans="20:21" x14ac:dyDescent="0.2">
      <c r="T220" s="208"/>
      <c r="U220" s="208"/>
    </row>
    <row r="221" spans="20:21" x14ac:dyDescent="0.2">
      <c r="T221" s="208"/>
      <c r="U221" s="208"/>
    </row>
    <row r="222" spans="20:21" x14ac:dyDescent="0.2">
      <c r="T222" s="208"/>
      <c r="U222" s="208"/>
    </row>
    <row r="223" spans="20:21" x14ac:dyDescent="0.2">
      <c r="T223" s="208"/>
      <c r="U223" s="208"/>
    </row>
    <row r="224" spans="20:21" x14ac:dyDescent="0.2">
      <c r="T224" s="208"/>
      <c r="U224" s="208"/>
    </row>
    <row r="225" spans="20:21" x14ac:dyDescent="0.2">
      <c r="T225" s="208"/>
      <c r="U225" s="208"/>
    </row>
    <row r="226" spans="20:21" x14ac:dyDescent="0.2">
      <c r="T226" s="208"/>
      <c r="U226" s="208"/>
    </row>
    <row r="227" spans="20:21" x14ac:dyDescent="0.2">
      <c r="T227" s="208"/>
      <c r="U227" s="208"/>
    </row>
    <row r="228" spans="20:21" x14ac:dyDescent="0.2">
      <c r="T228" s="208"/>
      <c r="U228" s="208"/>
    </row>
    <row r="229" spans="20:21" x14ac:dyDescent="0.2">
      <c r="T229" s="208"/>
      <c r="U229" s="208"/>
    </row>
    <row r="230" spans="20:21" x14ac:dyDescent="0.2">
      <c r="T230" s="208"/>
      <c r="U230" s="208"/>
    </row>
    <row r="231" spans="20:21" x14ac:dyDescent="0.2">
      <c r="T231" s="208"/>
      <c r="U231" s="208"/>
    </row>
    <row r="232" spans="20:21" x14ac:dyDescent="0.2">
      <c r="T232" s="208"/>
      <c r="U232" s="208"/>
    </row>
    <row r="233" spans="20:21" x14ac:dyDescent="0.2">
      <c r="T233" s="208"/>
      <c r="U233" s="208"/>
    </row>
    <row r="234" spans="20:21" x14ac:dyDescent="0.2">
      <c r="T234" s="208"/>
      <c r="U234" s="208"/>
    </row>
    <row r="235" spans="20:21" x14ac:dyDescent="0.2">
      <c r="T235" s="208"/>
      <c r="U235" s="208"/>
    </row>
    <row r="236" spans="20:21" x14ac:dyDescent="0.2">
      <c r="T236" s="208"/>
      <c r="U236" s="208"/>
    </row>
    <row r="237" spans="20:21" x14ac:dyDescent="0.2">
      <c r="T237" s="208"/>
      <c r="U237" s="208"/>
    </row>
    <row r="238" spans="20:21" x14ac:dyDescent="0.2">
      <c r="T238" s="208"/>
      <c r="U238" s="208"/>
    </row>
    <row r="239" spans="20:21" x14ac:dyDescent="0.2">
      <c r="T239" s="208"/>
      <c r="U239" s="208"/>
    </row>
    <row r="240" spans="20:21" x14ac:dyDescent="0.2">
      <c r="T240" s="208"/>
      <c r="U240" s="208"/>
    </row>
    <row r="241" spans="20:21" x14ac:dyDescent="0.2">
      <c r="T241" s="208"/>
      <c r="U241" s="208"/>
    </row>
    <row r="242" spans="20:21" x14ac:dyDescent="0.2">
      <c r="T242" s="208"/>
      <c r="U242" s="208"/>
    </row>
    <row r="243" spans="20:21" x14ac:dyDescent="0.2">
      <c r="T243" s="208"/>
      <c r="U243" s="208"/>
    </row>
    <row r="244" spans="20:21" x14ac:dyDescent="0.2">
      <c r="T244" s="208"/>
      <c r="U244" s="208"/>
    </row>
    <row r="245" spans="20:21" x14ac:dyDescent="0.2">
      <c r="T245" s="208"/>
      <c r="U245" s="208"/>
    </row>
    <row r="246" spans="20:21" x14ac:dyDescent="0.2">
      <c r="T246" s="208"/>
      <c r="U246" s="208"/>
    </row>
    <row r="247" spans="20:21" x14ac:dyDescent="0.2">
      <c r="T247" s="208"/>
      <c r="U247" s="208"/>
    </row>
    <row r="248" spans="20:21" x14ac:dyDescent="0.2">
      <c r="T248" s="208"/>
      <c r="U248" s="208"/>
    </row>
    <row r="249" spans="20:21" x14ac:dyDescent="0.2">
      <c r="T249" s="208"/>
      <c r="U249" s="208"/>
    </row>
    <row r="250" spans="20:21" x14ac:dyDescent="0.2">
      <c r="T250" s="208"/>
      <c r="U250" s="208"/>
    </row>
    <row r="251" spans="20:21" x14ac:dyDescent="0.2">
      <c r="T251" s="208"/>
      <c r="U251" s="208"/>
    </row>
    <row r="252" spans="20:21" x14ac:dyDescent="0.2">
      <c r="T252" s="208"/>
      <c r="U252" s="208"/>
    </row>
    <row r="253" spans="20:21" x14ac:dyDescent="0.2">
      <c r="T253" s="208"/>
      <c r="U253" s="208"/>
    </row>
    <row r="254" spans="20:21" x14ac:dyDescent="0.2">
      <c r="T254" s="208"/>
      <c r="U254" s="208"/>
    </row>
    <row r="255" spans="20:21" x14ac:dyDescent="0.2">
      <c r="T255" s="208"/>
      <c r="U255" s="208"/>
    </row>
    <row r="256" spans="20:21" x14ac:dyDescent="0.2">
      <c r="T256" s="208"/>
      <c r="U256" s="208"/>
    </row>
    <row r="257" spans="20:21" x14ac:dyDescent="0.2">
      <c r="T257" s="208"/>
      <c r="U257" s="208"/>
    </row>
    <row r="258" spans="20:21" x14ac:dyDescent="0.2">
      <c r="T258" s="208"/>
      <c r="U258" s="208"/>
    </row>
    <row r="259" spans="20:21" x14ac:dyDescent="0.2">
      <c r="T259" s="208"/>
      <c r="U259" s="208"/>
    </row>
    <row r="260" spans="20:21" x14ac:dyDescent="0.2">
      <c r="T260" s="208"/>
      <c r="U260" s="208"/>
    </row>
    <row r="261" spans="20:21" x14ac:dyDescent="0.2">
      <c r="T261" s="208"/>
      <c r="U261" s="208"/>
    </row>
    <row r="262" spans="20:21" x14ac:dyDescent="0.2">
      <c r="T262" s="208"/>
      <c r="U262" s="208"/>
    </row>
    <row r="263" spans="20:21" x14ac:dyDescent="0.2">
      <c r="T263" s="208"/>
      <c r="U263" s="208"/>
    </row>
    <row r="264" spans="20:21" x14ac:dyDescent="0.2">
      <c r="T264" s="208"/>
      <c r="U264" s="208"/>
    </row>
    <row r="265" spans="20:21" x14ac:dyDescent="0.2">
      <c r="T265" s="208"/>
      <c r="U265" s="208"/>
    </row>
    <row r="266" spans="20:21" x14ac:dyDescent="0.2">
      <c r="T266" s="208"/>
      <c r="U266" s="208"/>
    </row>
    <row r="267" spans="20:21" x14ac:dyDescent="0.2">
      <c r="T267" s="208"/>
      <c r="U267" s="208"/>
    </row>
    <row r="268" spans="20:21" x14ac:dyDescent="0.2">
      <c r="T268" s="208"/>
      <c r="U268" s="208"/>
    </row>
    <row r="269" spans="20:21" x14ac:dyDescent="0.2">
      <c r="T269" s="208"/>
      <c r="U269" s="208"/>
    </row>
    <row r="270" spans="20:21" x14ac:dyDescent="0.2">
      <c r="T270" s="208"/>
      <c r="U270" s="208"/>
    </row>
    <row r="271" spans="20:21" x14ac:dyDescent="0.2">
      <c r="T271" s="208"/>
      <c r="U271" s="208"/>
    </row>
    <row r="272" spans="20:21" x14ac:dyDescent="0.2">
      <c r="T272" s="208"/>
      <c r="U272" s="208"/>
    </row>
    <row r="273" spans="20:21" x14ac:dyDescent="0.2">
      <c r="T273" s="208"/>
      <c r="U273" s="208"/>
    </row>
    <row r="274" spans="20:21" x14ac:dyDescent="0.2">
      <c r="T274" s="208"/>
      <c r="U274" s="208"/>
    </row>
    <row r="275" spans="20:21" x14ac:dyDescent="0.2">
      <c r="T275" s="208"/>
      <c r="U275" s="208"/>
    </row>
    <row r="276" spans="20:21" x14ac:dyDescent="0.2">
      <c r="T276" s="208"/>
      <c r="U276" s="208"/>
    </row>
    <row r="277" spans="20:21" x14ac:dyDescent="0.2">
      <c r="T277" s="208"/>
      <c r="U277" s="208"/>
    </row>
    <row r="278" spans="20:21" x14ac:dyDescent="0.2">
      <c r="T278" s="208"/>
      <c r="U278" s="208"/>
    </row>
    <row r="279" spans="20:21" x14ac:dyDescent="0.2">
      <c r="T279" s="208"/>
      <c r="U279" s="208"/>
    </row>
    <row r="280" spans="20:21" x14ac:dyDescent="0.2">
      <c r="T280" s="208"/>
      <c r="U280" s="208"/>
    </row>
    <row r="281" spans="20:21" x14ac:dyDescent="0.2">
      <c r="T281" s="208"/>
      <c r="U281" s="208"/>
    </row>
    <row r="282" spans="20:21" x14ac:dyDescent="0.2">
      <c r="T282" s="208"/>
      <c r="U282" s="208"/>
    </row>
    <row r="283" spans="20:21" x14ac:dyDescent="0.2">
      <c r="T283" s="208"/>
      <c r="U283" s="208"/>
    </row>
    <row r="284" spans="20:21" x14ac:dyDescent="0.2">
      <c r="T284" s="208"/>
      <c r="U284" s="208"/>
    </row>
    <row r="285" spans="20:21" x14ac:dyDescent="0.2">
      <c r="T285" s="208"/>
      <c r="U285" s="208"/>
    </row>
    <row r="286" spans="20:21" x14ac:dyDescent="0.2">
      <c r="T286" s="208"/>
      <c r="U286" s="208"/>
    </row>
    <row r="287" spans="20:21" x14ac:dyDescent="0.2">
      <c r="T287" s="208"/>
      <c r="U287" s="208"/>
    </row>
    <row r="288" spans="20:21" x14ac:dyDescent="0.2">
      <c r="T288" s="208"/>
      <c r="U288" s="208"/>
    </row>
    <row r="289" spans="20:21" x14ac:dyDescent="0.2">
      <c r="T289" s="208"/>
      <c r="U289" s="208"/>
    </row>
    <row r="290" spans="20:21" x14ac:dyDescent="0.2">
      <c r="T290" s="208"/>
      <c r="U290" s="208"/>
    </row>
    <row r="291" spans="20:21" x14ac:dyDescent="0.2">
      <c r="T291" s="208"/>
      <c r="U291" s="208"/>
    </row>
    <row r="292" spans="20:21" x14ac:dyDescent="0.2">
      <c r="T292" s="208"/>
      <c r="U292" s="208"/>
    </row>
    <row r="293" spans="20:21" x14ac:dyDescent="0.2">
      <c r="T293" s="208"/>
      <c r="U293" s="208"/>
    </row>
    <row r="294" spans="20:21" x14ac:dyDescent="0.2">
      <c r="T294" s="208"/>
      <c r="U294" s="208"/>
    </row>
    <row r="295" spans="20:21" x14ac:dyDescent="0.2">
      <c r="T295" s="208"/>
      <c r="U295" s="208"/>
    </row>
    <row r="296" spans="20:21" x14ac:dyDescent="0.2">
      <c r="T296" s="208"/>
      <c r="U296" s="208"/>
    </row>
    <row r="297" spans="20:21" x14ac:dyDescent="0.2">
      <c r="T297" s="208"/>
      <c r="U297" s="208"/>
    </row>
    <row r="298" spans="20:21" x14ac:dyDescent="0.2">
      <c r="T298" s="208"/>
      <c r="U298" s="208"/>
    </row>
    <row r="299" spans="20:21" x14ac:dyDescent="0.2">
      <c r="T299" s="208"/>
      <c r="U299" s="208"/>
    </row>
    <row r="300" spans="20:21" x14ac:dyDescent="0.2">
      <c r="T300" s="208"/>
      <c r="U300" s="208"/>
    </row>
    <row r="301" spans="20:21" x14ac:dyDescent="0.2">
      <c r="T301" s="208"/>
      <c r="U301" s="208"/>
    </row>
    <row r="302" spans="20:21" x14ac:dyDescent="0.2">
      <c r="T302" s="208"/>
      <c r="U302" s="208"/>
    </row>
    <row r="303" spans="20:21" x14ac:dyDescent="0.2">
      <c r="T303" s="208"/>
      <c r="U303" s="208"/>
    </row>
    <row r="304" spans="20:21" x14ac:dyDescent="0.2">
      <c r="T304" s="208"/>
      <c r="U304" s="208"/>
    </row>
    <row r="305" spans="20:21" x14ac:dyDescent="0.2">
      <c r="T305" s="208"/>
      <c r="U305" s="208"/>
    </row>
    <row r="306" spans="20:21" x14ac:dyDescent="0.2">
      <c r="T306" s="208"/>
      <c r="U306" s="208"/>
    </row>
    <row r="307" spans="20:21" x14ac:dyDescent="0.2">
      <c r="T307" s="208"/>
      <c r="U307" s="208"/>
    </row>
    <row r="308" spans="20:21" x14ac:dyDescent="0.2">
      <c r="T308" s="208"/>
      <c r="U308" s="208"/>
    </row>
    <row r="309" spans="20:21" x14ac:dyDescent="0.2">
      <c r="T309" s="208"/>
      <c r="U309" s="208"/>
    </row>
    <row r="310" spans="20:21" x14ac:dyDescent="0.2">
      <c r="T310" s="208"/>
      <c r="U310" s="208"/>
    </row>
    <row r="311" spans="20:21" x14ac:dyDescent="0.2">
      <c r="T311" s="208"/>
      <c r="U311" s="208"/>
    </row>
    <row r="312" spans="20:21" x14ac:dyDescent="0.2">
      <c r="T312" s="208"/>
      <c r="U312" s="208"/>
    </row>
    <row r="313" spans="20:21" x14ac:dyDescent="0.2">
      <c r="T313" s="208"/>
      <c r="U313" s="208"/>
    </row>
    <row r="314" spans="20:21" x14ac:dyDescent="0.2">
      <c r="T314" s="208"/>
      <c r="U314" s="208"/>
    </row>
    <row r="315" spans="20:21" x14ac:dyDescent="0.2">
      <c r="T315" s="208"/>
      <c r="U315" s="208"/>
    </row>
    <row r="316" spans="20:21" x14ac:dyDescent="0.2">
      <c r="T316" s="208"/>
      <c r="U316" s="208"/>
    </row>
    <row r="317" spans="20:21" x14ac:dyDescent="0.2">
      <c r="T317" s="208"/>
      <c r="U317" s="208"/>
    </row>
    <row r="318" spans="20:21" x14ac:dyDescent="0.2">
      <c r="T318" s="208"/>
      <c r="U318" s="208"/>
    </row>
    <row r="319" spans="20:21" x14ac:dyDescent="0.2">
      <c r="T319" s="208"/>
      <c r="U319" s="208"/>
    </row>
    <row r="320" spans="20:21" x14ac:dyDescent="0.2">
      <c r="T320" s="208"/>
      <c r="U320" s="208"/>
    </row>
    <row r="321" spans="20:21" x14ac:dyDescent="0.2">
      <c r="T321" s="208"/>
      <c r="U321" s="208"/>
    </row>
    <row r="322" spans="20:21" x14ac:dyDescent="0.2">
      <c r="T322" s="208"/>
      <c r="U322" s="208"/>
    </row>
    <row r="323" spans="20:21" x14ac:dyDescent="0.2">
      <c r="T323" s="208"/>
      <c r="U323" s="208"/>
    </row>
    <row r="324" spans="20:21" x14ac:dyDescent="0.2">
      <c r="T324" s="208"/>
      <c r="U324" s="208"/>
    </row>
    <row r="325" spans="20:21" x14ac:dyDescent="0.2">
      <c r="T325" s="208"/>
      <c r="U325" s="208"/>
    </row>
    <row r="326" spans="20:21" x14ac:dyDescent="0.2">
      <c r="T326" s="208"/>
      <c r="U326" s="208"/>
    </row>
    <row r="327" spans="20:21" x14ac:dyDescent="0.2">
      <c r="T327" s="208"/>
      <c r="U327" s="208"/>
    </row>
    <row r="328" spans="20:21" x14ac:dyDescent="0.2">
      <c r="T328" s="208"/>
      <c r="U328" s="208"/>
    </row>
    <row r="329" spans="20:21" x14ac:dyDescent="0.2">
      <c r="T329" s="208"/>
      <c r="U329" s="208"/>
    </row>
    <row r="330" spans="20:21" x14ac:dyDescent="0.2">
      <c r="T330" s="208"/>
      <c r="U330" s="208"/>
    </row>
    <row r="331" spans="20:21" x14ac:dyDescent="0.2">
      <c r="T331" s="208"/>
      <c r="U331" s="208"/>
    </row>
    <row r="332" spans="20:21" x14ac:dyDescent="0.2">
      <c r="T332" s="208"/>
      <c r="U332" s="208"/>
    </row>
    <row r="333" spans="20:21" x14ac:dyDescent="0.2">
      <c r="T333" s="208"/>
      <c r="U333" s="208"/>
    </row>
    <row r="334" spans="20:21" x14ac:dyDescent="0.2">
      <c r="T334" s="208"/>
      <c r="U334" s="208"/>
    </row>
    <row r="335" spans="20:21" x14ac:dyDescent="0.2">
      <c r="T335" s="208"/>
      <c r="U335" s="208"/>
    </row>
    <row r="336" spans="20:21" x14ac:dyDescent="0.2">
      <c r="T336" s="208"/>
      <c r="U336" s="208"/>
    </row>
    <row r="337" spans="20:21" x14ac:dyDescent="0.2">
      <c r="T337" s="208"/>
      <c r="U337" s="208"/>
    </row>
    <row r="338" spans="20:21" x14ac:dyDescent="0.2">
      <c r="T338" s="208"/>
      <c r="U338" s="208"/>
    </row>
    <row r="339" spans="20:21" x14ac:dyDescent="0.2">
      <c r="T339" s="208"/>
      <c r="U339" s="208"/>
    </row>
    <row r="340" spans="20:21" x14ac:dyDescent="0.2">
      <c r="T340" s="208"/>
      <c r="U340" s="208"/>
    </row>
    <row r="341" spans="20:21" x14ac:dyDescent="0.2">
      <c r="T341" s="208"/>
      <c r="U341" s="208"/>
    </row>
    <row r="342" spans="20:21" x14ac:dyDescent="0.2">
      <c r="T342" s="208"/>
      <c r="U342" s="208"/>
    </row>
    <row r="343" spans="20:21" x14ac:dyDescent="0.2">
      <c r="T343" s="208"/>
      <c r="U343" s="208"/>
    </row>
    <row r="344" spans="20:21" x14ac:dyDescent="0.2">
      <c r="T344" s="208"/>
      <c r="U344" s="208"/>
    </row>
    <row r="345" spans="20:21" x14ac:dyDescent="0.2">
      <c r="T345" s="208"/>
      <c r="U345" s="208"/>
    </row>
    <row r="346" spans="20:21" x14ac:dyDescent="0.2">
      <c r="T346" s="208"/>
      <c r="U346" s="208"/>
    </row>
    <row r="347" spans="20:21" x14ac:dyDescent="0.2">
      <c r="T347" s="208"/>
      <c r="U347" s="208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AB2" zoomScale="70" zoomScaleNormal="70" workbookViewId="0">
      <selection activeCell="AE18" sqref="A18:XFD18"/>
    </sheetView>
  </sheetViews>
  <sheetFormatPr defaultRowHeight="14.25" x14ac:dyDescent="0.2"/>
  <cols>
    <col min="1" max="1" width="44.42578125" style="268" customWidth="1"/>
    <col min="2" max="2" width="74.85546875" style="268" hidden="1" customWidth="1"/>
    <col min="3" max="3" width="46.28515625" style="268" customWidth="1"/>
    <col min="4" max="73" width="9.140625" style="269"/>
    <col min="74" max="74" width="35.28515625" style="268" bestFit="1" customWidth="1"/>
    <col min="75" max="16384" width="9.140625" style="268"/>
  </cols>
  <sheetData>
    <row r="1" spans="1:89" ht="22.5" x14ac:dyDescent="0.2">
      <c r="A1" s="267" t="s">
        <v>298</v>
      </c>
      <c r="AC1" s="269">
        <v>100</v>
      </c>
      <c r="BB1" s="270" t="s">
        <v>299</v>
      </c>
      <c r="BC1" s="271"/>
      <c r="BD1" s="271" t="s">
        <v>300</v>
      </c>
      <c r="BE1" s="271" t="s">
        <v>301</v>
      </c>
      <c r="BF1" s="271" t="s">
        <v>302</v>
      </c>
    </row>
    <row r="2" spans="1:89" x14ac:dyDescent="0.2">
      <c r="A2" s="268" t="s">
        <v>564</v>
      </c>
      <c r="B2" s="272"/>
      <c r="C2" s="272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4" t="s">
        <v>303</v>
      </c>
      <c r="BD2" s="275">
        <v>0.37830319888734398</v>
      </c>
      <c r="BE2" s="275">
        <v>2.7234848484848486</v>
      </c>
      <c r="BF2" s="275">
        <v>2.6433823529411766</v>
      </c>
      <c r="BG2" s="273"/>
      <c r="BH2" s="273"/>
      <c r="BI2" s="273"/>
      <c r="BJ2" s="273"/>
      <c r="BK2" s="273"/>
      <c r="BL2" s="273"/>
      <c r="BM2" s="273"/>
      <c r="BN2" s="273"/>
      <c r="BO2" s="273"/>
      <c r="BP2" s="273"/>
      <c r="BQ2" s="273"/>
      <c r="BR2" s="273"/>
      <c r="BS2" s="273"/>
      <c r="BT2" s="273"/>
      <c r="BU2" s="273"/>
    </row>
    <row r="3" spans="1:89" x14ac:dyDescent="0.2">
      <c r="A3" s="268" t="s">
        <v>507</v>
      </c>
      <c r="B3" s="272" t="s">
        <v>248</v>
      </c>
      <c r="C3" s="272"/>
      <c r="D3" s="273" t="s">
        <v>248</v>
      </c>
      <c r="E3" s="273" t="s">
        <v>249</v>
      </c>
      <c r="F3" s="273" t="s">
        <v>250</v>
      </c>
      <c r="G3" s="273" t="s">
        <v>251</v>
      </c>
      <c r="H3" s="273" t="s">
        <v>252</v>
      </c>
      <c r="I3" s="273" t="str">
        <f>D3</f>
        <v>C</v>
      </c>
      <c r="J3" s="273" t="str">
        <f t="shared" ref="J3:BU3" si="0">E3</f>
        <v>D</v>
      </c>
      <c r="K3" s="273" t="str">
        <f t="shared" si="0"/>
        <v>E</v>
      </c>
      <c r="L3" s="273" t="str">
        <f t="shared" si="0"/>
        <v>F</v>
      </c>
      <c r="M3" s="273" t="str">
        <f t="shared" si="0"/>
        <v>G</v>
      </c>
      <c r="N3" s="273" t="str">
        <f t="shared" si="0"/>
        <v>C</v>
      </c>
      <c r="O3" s="273" t="str">
        <f t="shared" si="0"/>
        <v>D</v>
      </c>
      <c r="P3" s="273" t="str">
        <f t="shared" si="0"/>
        <v>E</v>
      </c>
      <c r="Q3" s="273" t="str">
        <f t="shared" si="0"/>
        <v>F</v>
      </c>
      <c r="R3" s="273" t="str">
        <f t="shared" si="0"/>
        <v>G</v>
      </c>
      <c r="S3" s="273" t="str">
        <f t="shared" si="0"/>
        <v>C</v>
      </c>
      <c r="T3" s="273" t="str">
        <f t="shared" si="0"/>
        <v>D</v>
      </c>
      <c r="U3" s="273" t="str">
        <f t="shared" si="0"/>
        <v>E</v>
      </c>
      <c r="V3" s="273" t="str">
        <f t="shared" si="0"/>
        <v>F</v>
      </c>
      <c r="W3" s="273" t="str">
        <f t="shared" si="0"/>
        <v>G</v>
      </c>
      <c r="X3" s="273" t="str">
        <f t="shared" si="0"/>
        <v>C</v>
      </c>
      <c r="Y3" s="273" t="str">
        <f t="shared" si="0"/>
        <v>D</v>
      </c>
      <c r="Z3" s="273" t="str">
        <f t="shared" si="0"/>
        <v>E</v>
      </c>
      <c r="AA3" s="273" t="str">
        <f t="shared" si="0"/>
        <v>F</v>
      </c>
      <c r="AB3" s="273" t="str">
        <f t="shared" si="0"/>
        <v>G</v>
      </c>
      <c r="AC3" s="273" t="str">
        <f t="shared" si="0"/>
        <v>C</v>
      </c>
      <c r="AD3" s="273" t="str">
        <f t="shared" si="0"/>
        <v>D</v>
      </c>
      <c r="AE3" s="273" t="str">
        <f t="shared" si="0"/>
        <v>E</v>
      </c>
      <c r="AF3" s="273" t="str">
        <f t="shared" si="0"/>
        <v>F</v>
      </c>
      <c r="AG3" s="273" t="str">
        <f t="shared" si="0"/>
        <v>G</v>
      </c>
      <c r="AH3" s="273" t="str">
        <f>BQ3</f>
        <v>C</v>
      </c>
      <c r="AI3" s="273" t="str">
        <f>BR3</f>
        <v>D</v>
      </c>
      <c r="AJ3" s="273" t="str">
        <f>BS3</f>
        <v>E</v>
      </c>
      <c r="AK3" s="273" t="str">
        <f>BT3</f>
        <v>F</v>
      </c>
      <c r="AL3" s="273" t="str">
        <f>BU3</f>
        <v>G</v>
      </c>
      <c r="AM3" s="273" t="str">
        <f t="shared" ref="AM3:AQ3" si="1">AH3</f>
        <v>C</v>
      </c>
      <c r="AN3" s="273" t="str">
        <f t="shared" si="1"/>
        <v>D</v>
      </c>
      <c r="AO3" s="273" t="str">
        <f t="shared" si="1"/>
        <v>E</v>
      </c>
      <c r="AP3" s="273" t="str">
        <f t="shared" si="1"/>
        <v>F</v>
      </c>
      <c r="AQ3" s="273" t="str">
        <f t="shared" si="1"/>
        <v>G</v>
      </c>
      <c r="AR3" s="273" t="str">
        <f>AC3</f>
        <v>C</v>
      </c>
      <c r="AS3" s="273" t="str">
        <f>AD3</f>
        <v>D</v>
      </c>
      <c r="AT3" s="273" t="str">
        <f>AE3</f>
        <v>E</v>
      </c>
      <c r="AU3" s="273" t="str">
        <f>AF3</f>
        <v>F</v>
      </c>
      <c r="AV3" s="273" t="str">
        <f>AG3</f>
        <v>G</v>
      </c>
      <c r="AW3" s="273" t="str">
        <f t="shared" si="0"/>
        <v>C</v>
      </c>
      <c r="AX3" s="273" t="str">
        <f t="shared" si="0"/>
        <v>D</v>
      </c>
      <c r="AY3" s="273" t="str">
        <f t="shared" si="0"/>
        <v>E</v>
      </c>
      <c r="AZ3" s="273" t="str">
        <f t="shared" si="0"/>
        <v>F</v>
      </c>
      <c r="BA3" s="273" t="str">
        <f t="shared" si="0"/>
        <v>G</v>
      </c>
      <c r="BB3" s="273" t="str">
        <f t="shared" si="0"/>
        <v>C</v>
      </c>
      <c r="BC3" s="273" t="str">
        <f t="shared" si="0"/>
        <v>D</v>
      </c>
      <c r="BD3" s="273" t="str">
        <f t="shared" si="0"/>
        <v>E</v>
      </c>
      <c r="BE3" s="273" t="str">
        <f t="shared" si="0"/>
        <v>F</v>
      </c>
      <c r="BF3" s="273" t="str">
        <f t="shared" si="0"/>
        <v>G</v>
      </c>
      <c r="BG3" s="273" t="str">
        <f t="shared" si="0"/>
        <v>C</v>
      </c>
      <c r="BH3" s="273" t="str">
        <f t="shared" si="0"/>
        <v>D</v>
      </c>
      <c r="BI3" s="273" t="str">
        <f t="shared" si="0"/>
        <v>E</v>
      </c>
      <c r="BJ3" s="273" t="str">
        <f t="shared" si="0"/>
        <v>F</v>
      </c>
      <c r="BK3" s="273" t="str">
        <f t="shared" si="0"/>
        <v>G</v>
      </c>
      <c r="BL3" s="273" t="str">
        <f t="shared" si="0"/>
        <v>C</v>
      </c>
      <c r="BM3" s="273" t="str">
        <f t="shared" si="0"/>
        <v>D</v>
      </c>
      <c r="BN3" s="273" t="str">
        <f t="shared" si="0"/>
        <v>E</v>
      </c>
      <c r="BO3" s="273" t="str">
        <f t="shared" si="0"/>
        <v>F</v>
      </c>
      <c r="BP3" s="273" t="str">
        <f t="shared" si="0"/>
        <v>G</v>
      </c>
      <c r="BQ3" s="273" t="str">
        <f t="shared" si="0"/>
        <v>C</v>
      </c>
      <c r="BR3" s="273" t="str">
        <f t="shared" si="0"/>
        <v>D</v>
      </c>
      <c r="BS3" s="273" t="str">
        <f t="shared" si="0"/>
        <v>E</v>
      </c>
      <c r="BT3" s="273" t="str">
        <f t="shared" si="0"/>
        <v>F</v>
      </c>
      <c r="BU3" s="273" t="str">
        <f t="shared" si="0"/>
        <v>G</v>
      </c>
    </row>
    <row r="4" spans="1:89" s="280" customFormat="1" ht="36" customHeight="1" x14ac:dyDescent="0.2">
      <c r="A4" s="276" t="s">
        <v>304</v>
      </c>
      <c r="B4" s="277" t="s">
        <v>305</v>
      </c>
      <c r="C4" s="278" t="s">
        <v>306</v>
      </c>
      <c r="D4" s="584" t="s">
        <v>307</v>
      </c>
      <c r="E4" s="585"/>
      <c r="F4" s="585"/>
      <c r="G4" s="585"/>
      <c r="H4" s="586"/>
      <c r="I4" s="585" t="s">
        <v>308</v>
      </c>
      <c r="J4" s="585"/>
      <c r="K4" s="585"/>
      <c r="L4" s="585"/>
      <c r="M4" s="586"/>
      <c r="N4" s="585" t="s">
        <v>309</v>
      </c>
      <c r="O4" s="585"/>
      <c r="P4" s="585"/>
      <c r="Q4" s="585"/>
      <c r="R4" s="586"/>
      <c r="S4" s="585" t="s">
        <v>310</v>
      </c>
      <c r="T4" s="585"/>
      <c r="U4" s="585"/>
      <c r="V4" s="585"/>
      <c r="W4" s="586"/>
      <c r="X4" s="585" t="s">
        <v>311</v>
      </c>
      <c r="Y4" s="585"/>
      <c r="Z4" s="585"/>
      <c r="AA4" s="585"/>
      <c r="AB4" s="586"/>
      <c r="AC4" s="585" t="s">
        <v>312</v>
      </c>
      <c r="AD4" s="585"/>
      <c r="AE4" s="585"/>
      <c r="AF4" s="585"/>
      <c r="AG4" s="586"/>
      <c r="AH4" s="585" t="s">
        <v>313</v>
      </c>
      <c r="AI4" s="585"/>
      <c r="AJ4" s="585"/>
      <c r="AK4" s="585"/>
      <c r="AL4" s="586"/>
      <c r="AM4" s="585" t="s">
        <v>314</v>
      </c>
      <c r="AN4" s="585"/>
      <c r="AO4" s="585"/>
      <c r="AP4" s="585"/>
      <c r="AQ4" s="586"/>
      <c r="AR4" s="585" t="s">
        <v>315</v>
      </c>
      <c r="AS4" s="585"/>
      <c r="AT4" s="585"/>
      <c r="AU4" s="585"/>
      <c r="AV4" s="586"/>
      <c r="AW4" s="585" t="s">
        <v>316</v>
      </c>
      <c r="AX4" s="585"/>
      <c r="AY4" s="585"/>
      <c r="AZ4" s="585"/>
      <c r="BA4" s="585"/>
      <c r="BB4" s="584" t="s">
        <v>317</v>
      </c>
      <c r="BC4" s="585"/>
      <c r="BD4" s="585"/>
      <c r="BE4" s="585"/>
      <c r="BF4" s="586"/>
      <c r="BG4" s="585" t="s">
        <v>318</v>
      </c>
      <c r="BH4" s="585"/>
      <c r="BI4" s="585"/>
      <c r="BJ4" s="585"/>
      <c r="BK4" s="585"/>
      <c r="BL4" s="584" t="s">
        <v>319</v>
      </c>
      <c r="BM4" s="585"/>
      <c r="BN4" s="585"/>
      <c r="BO4" s="585"/>
      <c r="BP4" s="585"/>
      <c r="BQ4" s="584" t="s">
        <v>320</v>
      </c>
      <c r="BR4" s="585"/>
      <c r="BS4" s="585"/>
      <c r="BT4" s="585"/>
      <c r="BU4" s="586"/>
      <c r="BV4" s="279" t="s">
        <v>321</v>
      </c>
      <c r="BW4" s="587" t="s">
        <v>322</v>
      </c>
      <c r="BX4" s="588"/>
      <c r="BY4" s="588"/>
      <c r="BZ4" s="588"/>
      <c r="CA4" s="589"/>
      <c r="CB4" s="587" t="s">
        <v>323</v>
      </c>
      <c r="CC4" s="588"/>
      <c r="CD4" s="588"/>
      <c r="CE4" s="588"/>
      <c r="CF4" s="589"/>
      <c r="CG4" s="587" t="s">
        <v>324</v>
      </c>
      <c r="CH4" s="588"/>
      <c r="CI4" s="588"/>
      <c r="CJ4" s="588"/>
      <c r="CK4" s="589"/>
    </row>
    <row r="5" spans="1:89" x14ac:dyDescent="0.2">
      <c r="A5" s="281"/>
      <c r="B5" s="282"/>
      <c r="C5" s="283"/>
      <c r="D5" s="284">
        <v>2015</v>
      </c>
      <c r="E5" s="285">
        <v>2020</v>
      </c>
      <c r="F5" s="285">
        <v>2030</v>
      </c>
      <c r="G5" s="285">
        <v>2040</v>
      </c>
      <c r="H5" s="286">
        <v>2050</v>
      </c>
      <c r="I5" s="285">
        <v>2015</v>
      </c>
      <c r="J5" s="285">
        <v>2020</v>
      </c>
      <c r="K5" s="285">
        <v>2030</v>
      </c>
      <c r="L5" s="285">
        <v>2040</v>
      </c>
      <c r="M5" s="286">
        <v>2050</v>
      </c>
      <c r="N5" s="285">
        <v>2015</v>
      </c>
      <c r="O5" s="285">
        <v>2020</v>
      </c>
      <c r="P5" s="285">
        <v>2030</v>
      </c>
      <c r="Q5" s="285">
        <v>2040</v>
      </c>
      <c r="R5" s="286">
        <v>2050</v>
      </c>
      <c r="S5" s="285">
        <v>2015</v>
      </c>
      <c r="T5" s="285">
        <v>2020</v>
      </c>
      <c r="U5" s="285">
        <v>2030</v>
      </c>
      <c r="V5" s="285">
        <v>2040</v>
      </c>
      <c r="W5" s="286">
        <v>2050</v>
      </c>
      <c r="X5" s="285">
        <v>2015</v>
      </c>
      <c r="Y5" s="285">
        <v>2020</v>
      </c>
      <c r="Z5" s="285">
        <v>2030</v>
      </c>
      <c r="AA5" s="285">
        <v>2040</v>
      </c>
      <c r="AB5" s="286">
        <v>2050</v>
      </c>
      <c r="AC5" s="285">
        <v>2015</v>
      </c>
      <c r="AD5" s="285">
        <v>2020</v>
      </c>
      <c r="AE5" s="285">
        <v>2030</v>
      </c>
      <c r="AF5" s="285">
        <v>2040</v>
      </c>
      <c r="AG5" s="286">
        <v>2050</v>
      </c>
      <c r="AH5" s="285">
        <v>2015</v>
      </c>
      <c r="AI5" s="285">
        <v>2020</v>
      </c>
      <c r="AJ5" s="285">
        <v>2030</v>
      </c>
      <c r="AK5" s="285">
        <v>2040</v>
      </c>
      <c r="AL5" s="286">
        <v>2050</v>
      </c>
      <c r="AM5" s="285">
        <v>2015</v>
      </c>
      <c r="AN5" s="285">
        <v>2020</v>
      </c>
      <c r="AO5" s="285">
        <v>2030</v>
      </c>
      <c r="AP5" s="285">
        <v>2040</v>
      </c>
      <c r="AQ5" s="286">
        <v>2050</v>
      </c>
      <c r="AR5" s="285">
        <v>2015</v>
      </c>
      <c r="AS5" s="285">
        <v>2020</v>
      </c>
      <c r="AT5" s="285">
        <v>2030</v>
      </c>
      <c r="AU5" s="285">
        <v>2040</v>
      </c>
      <c r="AV5" s="286">
        <v>2050</v>
      </c>
      <c r="AW5" s="285">
        <v>2015</v>
      </c>
      <c r="AX5" s="285">
        <v>2020</v>
      </c>
      <c r="AY5" s="285">
        <v>2030</v>
      </c>
      <c r="AZ5" s="285">
        <v>2040</v>
      </c>
      <c r="BA5" s="285">
        <v>2050</v>
      </c>
      <c r="BB5" s="284">
        <v>2015</v>
      </c>
      <c r="BC5" s="285">
        <v>2020</v>
      </c>
      <c r="BD5" s="285">
        <v>2030</v>
      </c>
      <c r="BE5" s="285">
        <v>2040</v>
      </c>
      <c r="BF5" s="286">
        <v>2050</v>
      </c>
      <c r="BG5" s="285">
        <v>2015</v>
      </c>
      <c r="BH5" s="285">
        <v>2020</v>
      </c>
      <c r="BI5" s="285">
        <v>2030</v>
      </c>
      <c r="BJ5" s="285">
        <v>2040</v>
      </c>
      <c r="BK5" s="285">
        <v>2050</v>
      </c>
      <c r="BL5" s="284">
        <v>2015</v>
      </c>
      <c r="BM5" s="285">
        <v>2020</v>
      </c>
      <c r="BN5" s="285">
        <v>2030</v>
      </c>
      <c r="BO5" s="285">
        <v>2040</v>
      </c>
      <c r="BP5" s="285">
        <v>2050</v>
      </c>
      <c r="BQ5" s="284">
        <v>2015</v>
      </c>
      <c r="BR5" s="285">
        <v>2020</v>
      </c>
      <c r="BS5" s="285">
        <v>2030</v>
      </c>
      <c r="BT5" s="285">
        <v>2040</v>
      </c>
      <c r="BU5" s="286">
        <v>2050</v>
      </c>
      <c r="BV5" s="287"/>
      <c r="BW5" s="288">
        <v>2015</v>
      </c>
      <c r="BX5" s="289">
        <v>2020</v>
      </c>
      <c r="BY5" s="289">
        <v>2030</v>
      </c>
      <c r="BZ5" s="289">
        <v>2040</v>
      </c>
      <c r="CA5" s="290">
        <v>2050</v>
      </c>
      <c r="CB5" s="288">
        <v>2015</v>
      </c>
      <c r="CC5" s="289">
        <v>2020</v>
      </c>
      <c r="CD5" s="289">
        <v>2030</v>
      </c>
      <c r="CE5" s="289">
        <v>2040</v>
      </c>
      <c r="CF5" s="289">
        <v>2050</v>
      </c>
      <c r="CG5" s="288">
        <v>2015</v>
      </c>
      <c r="CH5" s="289">
        <v>2020</v>
      </c>
      <c r="CI5" s="289">
        <v>2030</v>
      </c>
      <c r="CJ5" s="289">
        <v>2040</v>
      </c>
      <c r="CK5" s="290">
        <v>2050</v>
      </c>
    </row>
    <row r="6" spans="1:89" s="298" customFormat="1" x14ac:dyDescent="0.2">
      <c r="A6" s="291" t="s">
        <v>325</v>
      </c>
      <c r="B6" s="292"/>
      <c r="C6" s="293"/>
      <c r="D6" s="294"/>
      <c r="E6" s="295"/>
      <c r="F6" s="295"/>
      <c r="G6" s="295"/>
      <c r="H6" s="296"/>
      <c r="I6" s="295"/>
      <c r="J6" s="295"/>
      <c r="K6" s="295"/>
      <c r="L6" s="295"/>
      <c r="M6" s="296"/>
      <c r="N6" s="295"/>
      <c r="O6" s="295"/>
      <c r="P6" s="295"/>
      <c r="Q6" s="295"/>
      <c r="R6" s="296"/>
      <c r="S6" s="295"/>
      <c r="T6" s="295"/>
      <c r="U6" s="295"/>
      <c r="V6" s="295"/>
      <c r="W6" s="296"/>
      <c r="X6" s="295"/>
      <c r="Y6" s="295"/>
      <c r="Z6" s="295"/>
      <c r="AA6" s="295"/>
      <c r="AB6" s="296"/>
      <c r="AC6" s="295">
        <v>0</v>
      </c>
      <c r="AD6" s="295">
        <v>0</v>
      </c>
      <c r="AE6" s="295">
        <v>0</v>
      </c>
      <c r="AF6" s="295">
        <v>0</v>
      </c>
      <c r="AG6" s="296">
        <v>0</v>
      </c>
      <c r="AH6" s="295">
        <v>0</v>
      </c>
      <c r="AI6" s="295">
        <v>0</v>
      </c>
      <c r="AJ6" s="295">
        <v>0</v>
      </c>
      <c r="AK6" s="295">
        <v>0</v>
      </c>
      <c r="AL6" s="296">
        <v>0</v>
      </c>
      <c r="AM6" s="295">
        <v>0</v>
      </c>
      <c r="AN6" s="295">
        <v>0</v>
      </c>
      <c r="AO6" s="295">
        <v>0</v>
      </c>
      <c r="AP6" s="295">
        <v>0</v>
      </c>
      <c r="AQ6" s="296">
        <v>0</v>
      </c>
      <c r="AR6" s="295"/>
      <c r="AS6" s="295"/>
      <c r="AT6" s="295"/>
      <c r="AU6" s="295"/>
      <c r="AV6" s="296"/>
      <c r="AW6" s="295"/>
      <c r="AX6" s="295"/>
      <c r="AY6" s="295"/>
      <c r="AZ6" s="295"/>
      <c r="BA6" s="296"/>
      <c r="BB6" s="295"/>
      <c r="BC6" s="295"/>
      <c r="BD6" s="295"/>
      <c r="BE6" s="295"/>
      <c r="BF6" s="296"/>
      <c r="BG6" s="295"/>
      <c r="BH6" s="295"/>
      <c r="BI6" s="295"/>
      <c r="BJ6" s="295"/>
      <c r="BK6" s="296"/>
      <c r="BL6" s="295"/>
      <c r="BM6" s="295"/>
      <c r="BN6" s="295"/>
      <c r="BO6" s="295"/>
      <c r="BP6" s="296"/>
      <c r="BQ6" s="294"/>
      <c r="BR6" s="295"/>
      <c r="BS6" s="295"/>
      <c r="BT6" s="295"/>
      <c r="BU6" s="296"/>
      <c r="BV6" s="297"/>
      <c r="BW6" s="295"/>
      <c r="BX6" s="295"/>
      <c r="BY6" s="295"/>
      <c r="BZ6" s="295"/>
      <c r="CA6" s="296"/>
      <c r="CB6" s="295"/>
      <c r="CC6" s="295"/>
      <c r="CD6" s="295"/>
      <c r="CE6" s="295"/>
      <c r="CF6" s="296"/>
      <c r="CG6" s="294"/>
      <c r="CH6" s="295"/>
      <c r="CI6" s="295"/>
      <c r="CJ6" s="295"/>
      <c r="CK6" s="296"/>
    </row>
    <row r="7" spans="1:89" s="298" customFormat="1" x14ac:dyDescent="0.2">
      <c r="A7" s="299" t="s">
        <v>326</v>
      </c>
      <c r="B7" s="300" t="s">
        <v>428</v>
      </c>
      <c r="C7" s="301" t="s">
        <v>327</v>
      </c>
      <c r="D7" s="302" t="s">
        <v>429</v>
      </c>
      <c r="E7" s="303" t="s">
        <v>429</v>
      </c>
      <c r="F7" s="303" t="s">
        <v>429</v>
      </c>
      <c r="G7" s="303" t="s">
        <v>429</v>
      </c>
      <c r="H7" s="304" t="s">
        <v>429</v>
      </c>
      <c r="I7" s="303"/>
      <c r="J7" s="303"/>
      <c r="K7" s="303"/>
      <c r="L7" s="303"/>
      <c r="M7" s="304"/>
      <c r="N7" s="303">
        <v>100</v>
      </c>
      <c r="O7" s="303">
        <v>100</v>
      </c>
      <c r="P7" s="303">
        <v>100</v>
      </c>
      <c r="Q7" s="303">
        <v>100</v>
      </c>
      <c r="R7" s="304">
        <v>100</v>
      </c>
      <c r="S7" s="303"/>
      <c r="T7" s="303"/>
      <c r="U7" s="303"/>
      <c r="V7" s="303"/>
      <c r="W7" s="304"/>
      <c r="X7" s="303">
        <v>100</v>
      </c>
      <c r="Y7" s="303">
        <v>100</v>
      </c>
      <c r="Z7" s="303">
        <v>100</v>
      </c>
      <c r="AA7" s="303">
        <v>100</v>
      </c>
      <c r="AB7" s="304">
        <v>100</v>
      </c>
      <c r="AC7" s="305">
        <v>1</v>
      </c>
      <c r="AD7" s="305">
        <v>1</v>
      </c>
      <c r="AE7" s="305">
        <v>1</v>
      </c>
      <c r="AF7" s="305">
        <v>1</v>
      </c>
      <c r="AG7" s="306">
        <v>1</v>
      </c>
      <c r="AH7" s="305">
        <v>0</v>
      </c>
      <c r="AI7" s="305">
        <v>0</v>
      </c>
      <c r="AJ7" s="305">
        <v>0</v>
      </c>
      <c r="AK7" s="305">
        <v>0</v>
      </c>
      <c r="AL7" s="306">
        <v>0</v>
      </c>
      <c r="AM7" s="305">
        <v>0</v>
      </c>
      <c r="AN7" s="305">
        <v>0</v>
      </c>
      <c r="AO7" s="305">
        <v>0</v>
      </c>
      <c r="AP7" s="305">
        <v>0</v>
      </c>
      <c r="AQ7" s="306">
        <v>0</v>
      </c>
      <c r="AR7" s="303"/>
      <c r="AS7" s="303"/>
      <c r="AT7" s="303"/>
      <c r="AU7" s="303"/>
      <c r="AV7" s="304"/>
      <c r="AW7" s="303">
        <v>20</v>
      </c>
      <c r="AX7" s="303">
        <v>20</v>
      </c>
      <c r="AY7" s="303">
        <v>20</v>
      </c>
      <c r="AZ7" s="303">
        <v>20</v>
      </c>
      <c r="BA7" s="304">
        <v>20</v>
      </c>
      <c r="BB7" s="307">
        <v>6600</v>
      </c>
      <c r="BC7" s="307">
        <v>6600</v>
      </c>
      <c r="BD7" s="307">
        <v>6600</v>
      </c>
      <c r="BE7" s="307">
        <v>6600</v>
      </c>
      <c r="BF7" s="308">
        <v>6600</v>
      </c>
      <c r="BG7" s="307">
        <v>0</v>
      </c>
      <c r="BH7" s="307">
        <v>0</v>
      </c>
      <c r="BI7" s="307">
        <v>0</v>
      </c>
      <c r="BJ7" s="307">
        <v>0</v>
      </c>
      <c r="BK7" s="308">
        <v>0</v>
      </c>
      <c r="BL7" s="307">
        <v>270</v>
      </c>
      <c r="BM7" s="307">
        <v>270</v>
      </c>
      <c r="BN7" s="307">
        <v>270</v>
      </c>
      <c r="BO7" s="307">
        <v>270</v>
      </c>
      <c r="BP7" s="308">
        <v>270</v>
      </c>
      <c r="BQ7" s="309">
        <v>0</v>
      </c>
      <c r="BR7" s="307">
        <v>0</v>
      </c>
      <c r="BS7" s="307">
        <v>0</v>
      </c>
      <c r="BT7" s="307">
        <v>0</v>
      </c>
      <c r="BU7" s="308">
        <v>0</v>
      </c>
      <c r="BV7" s="310"/>
      <c r="BW7" s="311">
        <v>293.33333333333331</v>
      </c>
      <c r="BX7" s="311">
        <v>293.33333333333331</v>
      </c>
      <c r="BY7" s="311">
        <v>293.33333333333331</v>
      </c>
      <c r="BZ7" s="311">
        <v>293.33333333333331</v>
      </c>
      <c r="CA7" s="312">
        <v>293.33333333333331</v>
      </c>
      <c r="CB7" s="311">
        <v>0</v>
      </c>
      <c r="CC7" s="311">
        <v>0</v>
      </c>
      <c r="CD7" s="311">
        <v>0</v>
      </c>
      <c r="CE7" s="311">
        <v>0</v>
      </c>
      <c r="CF7" s="312">
        <v>0</v>
      </c>
      <c r="CG7" s="313">
        <v>12</v>
      </c>
      <c r="CH7" s="311">
        <v>12</v>
      </c>
      <c r="CI7" s="311">
        <v>12</v>
      </c>
      <c r="CJ7" s="311">
        <v>12</v>
      </c>
      <c r="CK7" s="312">
        <v>12</v>
      </c>
    </row>
    <row r="8" spans="1:89" s="298" customFormat="1" x14ac:dyDescent="0.2">
      <c r="A8" s="299" t="s">
        <v>328</v>
      </c>
      <c r="B8" s="300" t="s">
        <v>327</v>
      </c>
      <c r="C8" s="301" t="s">
        <v>329</v>
      </c>
      <c r="D8" s="302">
        <v>400</v>
      </c>
      <c r="E8" s="303">
        <v>400</v>
      </c>
      <c r="F8" s="303">
        <v>400</v>
      </c>
      <c r="G8" s="303">
        <v>400</v>
      </c>
      <c r="H8" s="304">
        <v>400</v>
      </c>
      <c r="I8" s="303"/>
      <c r="J8" s="303"/>
      <c r="K8" s="303"/>
      <c r="L8" s="303"/>
      <c r="M8" s="304"/>
      <c r="N8" s="303">
        <v>100</v>
      </c>
      <c r="O8" s="303">
        <v>100</v>
      </c>
      <c r="P8" s="303">
        <v>100</v>
      </c>
      <c r="Q8" s="303">
        <v>100</v>
      </c>
      <c r="R8" s="304">
        <v>100</v>
      </c>
      <c r="S8" s="303"/>
      <c r="T8" s="303"/>
      <c r="U8" s="303"/>
      <c r="V8" s="303"/>
      <c r="W8" s="304"/>
      <c r="X8" s="303">
        <v>100</v>
      </c>
      <c r="Y8" s="303">
        <v>100</v>
      </c>
      <c r="Z8" s="303">
        <v>100</v>
      </c>
      <c r="AA8" s="303">
        <v>100</v>
      </c>
      <c r="AB8" s="304">
        <v>100</v>
      </c>
      <c r="AC8" s="305">
        <v>0.96</v>
      </c>
      <c r="AD8" s="305">
        <v>0.96</v>
      </c>
      <c r="AE8" s="305">
        <v>0.96</v>
      </c>
      <c r="AF8" s="305">
        <v>0.96</v>
      </c>
      <c r="AG8" s="306">
        <v>0.96</v>
      </c>
      <c r="AH8" s="305">
        <v>0</v>
      </c>
      <c r="AI8" s="305">
        <v>0</v>
      </c>
      <c r="AJ8" s="305">
        <v>0</v>
      </c>
      <c r="AK8" s="305">
        <v>0</v>
      </c>
      <c r="AL8" s="306">
        <v>0</v>
      </c>
      <c r="AM8" s="305">
        <v>0</v>
      </c>
      <c r="AN8" s="305">
        <v>0</v>
      </c>
      <c r="AO8" s="305">
        <v>0</v>
      </c>
      <c r="AP8" s="305">
        <v>0</v>
      </c>
      <c r="AQ8" s="306">
        <v>0</v>
      </c>
      <c r="AR8" s="303"/>
      <c r="AS8" s="303"/>
      <c r="AT8" s="303"/>
      <c r="AU8" s="303"/>
      <c r="AV8" s="304"/>
      <c r="AW8" s="303">
        <v>20</v>
      </c>
      <c r="AX8" s="303">
        <v>20</v>
      </c>
      <c r="AY8" s="303">
        <v>20</v>
      </c>
      <c r="AZ8" s="303">
        <v>20</v>
      </c>
      <c r="BA8" s="304">
        <v>20</v>
      </c>
      <c r="BB8" s="307">
        <v>32000</v>
      </c>
      <c r="BC8" s="307">
        <v>32000</v>
      </c>
      <c r="BD8" s="307">
        <v>32000</v>
      </c>
      <c r="BE8" s="307">
        <v>32000</v>
      </c>
      <c r="BF8" s="308">
        <v>32000</v>
      </c>
      <c r="BG8" s="307">
        <v>0</v>
      </c>
      <c r="BH8" s="307">
        <v>0</v>
      </c>
      <c r="BI8" s="307">
        <v>0</v>
      </c>
      <c r="BJ8" s="307">
        <v>0</v>
      </c>
      <c r="BK8" s="308">
        <v>0</v>
      </c>
      <c r="BL8" s="307">
        <v>500</v>
      </c>
      <c r="BM8" s="307">
        <v>500</v>
      </c>
      <c r="BN8" s="307">
        <v>500</v>
      </c>
      <c r="BO8" s="307">
        <v>500</v>
      </c>
      <c r="BP8" s="308">
        <v>500</v>
      </c>
      <c r="BQ8" s="309">
        <v>0</v>
      </c>
      <c r="BR8" s="307">
        <v>0</v>
      </c>
      <c r="BS8" s="307">
        <v>0</v>
      </c>
      <c r="BT8" s="307">
        <v>0</v>
      </c>
      <c r="BU8" s="308">
        <v>0</v>
      </c>
      <c r="BV8" s="310"/>
      <c r="BW8" s="307">
        <v>80</v>
      </c>
      <c r="BX8" s="307">
        <v>80</v>
      </c>
      <c r="BY8" s="307">
        <v>80</v>
      </c>
      <c r="BZ8" s="307">
        <v>80</v>
      </c>
      <c r="CA8" s="308">
        <v>80</v>
      </c>
      <c r="CB8" s="307">
        <v>0</v>
      </c>
      <c r="CC8" s="307">
        <v>0</v>
      </c>
      <c r="CD8" s="307">
        <v>0</v>
      </c>
      <c r="CE8" s="307">
        <v>0</v>
      </c>
      <c r="CF8" s="308">
        <v>0</v>
      </c>
      <c r="CG8" s="309">
        <v>1.25</v>
      </c>
      <c r="CH8" s="307">
        <v>1.25</v>
      </c>
      <c r="CI8" s="307">
        <v>1.25</v>
      </c>
      <c r="CJ8" s="307">
        <v>1.25</v>
      </c>
      <c r="CK8" s="308">
        <v>1.25</v>
      </c>
    </row>
    <row r="9" spans="1:89" s="298" customFormat="1" x14ac:dyDescent="0.2">
      <c r="A9" s="299" t="s">
        <v>330</v>
      </c>
      <c r="B9" s="300" t="s">
        <v>331</v>
      </c>
      <c r="C9" s="301" t="s">
        <v>331</v>
      </c>
      <c r="D9" s="302" t="s">
        <v>430</v>
      </c>
      <c r="E9" s="303" t="s">
        <v>431</v>
      </c>
      <c r="F9" s="303" t="s">
        <v>432</v>
      </c>
      <c r="G9" s="303" t="s">
        <v>432</v>
      </c>
      <c r="H9" s="304" t="s">
        <v>433</v>
      </c>
      <c r="I9" s="303"/>
      <c r="J9" s="303"/>
      <c r="K9" s="303"/>
      <c r="L9" s="303"/>
      <c r="M9" s="304"/>
      <c r="N9" s="303">
        <v>100</v>
      </c>
      <c r="O9" s="303">
        <v>100</v>
      </c>
      <c r="P9" s="303">
        <v>100</v>
      </c>
      <c r="Q9" s="303">
        <v>100</v>
      </c>
      <c r="R9" s="304">
        <v>100</v>
      </c>
      <c r="S9" s="303"/>
      <c r="T9" s="303"/>
      <c r="U9" s="303"/>
      <c r="V9" s="303"/>
      <c r="W9" s="304"/>
      <c r="X9" s="303">
        <v>100</v>
      </c>
      <c r="Y9" s="303">
        <v>100</v>
      </c>
      <c r="Z9" s="303">
        <v>100</v>
      </c>
      <c r="AA9" s="303">
        <v>100</v>
      </c>
      <c r="AB9" s="304">
        <v>100</v>
      </c>
      <c r="AC9" s="305">
        <v>1.02</v>
      </c>
      <c r="AD9" s="305">
        <v>1.02</v>
      </c>
      <c r="AE9" s="305">
        <v>1.02</v>
      </c>
      <c r="AF9" s="305">
        <v>1.02</v>
      </c>
      <c r="AG9" s="306">
        <v>1.02</v>
      </c>
      <c r="AH9" s="305">
        <v>0</v>
      </c>
      <c r="AI9" s="305">
        <v>0</v>
      </c>
      <c r="AJ9" s="305">
        <v>0</v>
      </c>
      <c r="AK9" s="305">
        <v>0</v>
      </c>
      <c r="AL9" s="306">
        <v>0</v>
      </c>
      <c r="AM9" s="305">
        <v>0</v>
      </c>
      <c r="AN9" s="305">
        <v>0</v>
      </c>
      <c r="AO9" s="305">
        <v>0</v>
      </c>
      <c r="AP9" s="305">
        <v>0</v>
      </c>
      <c r="AQ9" s="306">
        <v>0</v>
      </c>
      <c r="AR9" s="303" t="s">
        <v>434</v>
      </c>
      <c r="AS9" s="303" t="s">
        <v>435</v>
      </c>
      <c r="AT9" s="303" t="s">
        <v>436</v>
      </c>
      <c r="AU9" s="303" t="s">
        <v>437</v>
      </c>
      <c r="AV9" s="304" t="s">
        <v>437</v>
      </c>
      <c r="AW9" s="303">
        <v>22</v>
      </c>
      <c r="AX9" s="303">
        <v>22</v>
      </c>
      <c r="AY9" s="303">
        <v>22</v>
      </c>
      <c r="AZ9" s="303">
        <v>22</v>
      </c>
      <c r="BA9" s="304">
        <v>22</v>
      </c>
      <c r="BB9" s="303">
        <v>4000</v>
      </c>
      <c r="BC9" s="303">
        <v>4000</v>
      </c>
      <c r="BD9" s="303">
        <v>4000</v>
      </c>
      <c r="BE9" s="303">
        <v>4000</v>
      </c>
      <c r="BF9" s="304">
        <v>4000</v>
      </c>
      <c r="BG9" s="303">
        <v>2000</v>
      </c>
      <c r="BH9" s="303">
        <v>2000</v>
      </c>
      <c r="BI9" s="303">
        <v>2000</v>
      </c>
      <c r="BJ9" s="303">
        <v>2000</v>
      </c>
      <c r="BK9" s="304">
        <v>2000</v>
      </c>
      <c r="BL9" s="303">
        <v>235</v>
      </c>
      <c r="BM9" s="303">
        <v>235</v>
      </c>
      <c r="BN9" s="303">
        <v>235</v>
      </c>
      <c r="BO9" s="303">
        <v>235</v>
      </c>
      <c r="BP9" s="304">
        <v>235</v>
      </c>
      <c r="BQ9" s="302"/>
      <c r="BR9" s="303"/>
      <c r="BS9" s="303"/>
      <c r="BT9" s="303"/>
      <c r="BU9" s="304"/>
      <c r="BV9" s="310" t="s">
        <v>332</v>
      </c>
      <c r="BW9" s="311">
        <v>320</v>
      </c>
      <c r="BX9" s="311">
        <v>347.82608695652175</v>
      </c>
      <c r="BY9" s="311">
        <v>363.63636363636363</v>
      </c>
      <c r="BZ9" s="311">
        <v>363.63636363636363</v>
      </c>
      <c r="CA9" s="312">
        <v>380.95238095238096</v>
      </c>
      <c r="CB9" s="311">
        <v>160</v>
      </c>
      <c r="CC9" s="311">
        <v>173.91304347826087</v>
      </c>
      <c r="CD9" s="311">
        <v>181.81818181818181</v>
      </c>
      <c r="CE9" s="311">
        <v>181.81818181818181</v>
      </c>
      <c r="CF9" s="312">
        <v>190.47619047619048</v>
      </c>
      <c r="CG9" s="313">
        <v>18.8</v>
      </c>
      <c r="CH9" s="311">
        <v>20.434782608695652</v>
      </c>
      <c r="CI9" s="311">
        <v>21.363636363636363</v>
      </c>
      <c r="CJ9" s="311">
        <v>21.363636363636363</v>
      </c>
      <c r="CK9" s="312">
        <v>22.38095238095238</v>
      </c>
    </row>
    <row r="10" spans="1:89" s="298" customFormat="1" x14ac:dyDescent="0.2">
      <c r="A10" s="299" t="s">
        <v>333</v>
      </c>
      <c r="B10" s="300" t="s">
        <v>438</v>
      </c>
      <c r="C10" s="301" t="s">
        <v>334</v>
      </c>
      <c r="D10" s="302" t="s">
        <v>439</v>
      </c>
      <c r="E10" s="303" t="s">
        <v>439</v>
      </c>
      <c r="F10" s="303" t="s">
        <v>439</v>
      </c>
      <c r="G10" s="303" t="s">
        <v>439</v>
      </c>
      <c r="H10" s="304" t="s">
        <v>439</v>
      </c>
      <c r="I10" s="303"/>
      <c r="J10" s="303"/>
      <c r="K10" s="303"/>
      <c r="L10" s="303"/>
      <c r="M10" s="304"/>
      <c r="N10" s="303">
        <v>100</v>
      </c>
      <c r="O10" s="303">
        <v>100</v>
      </c>
      <c r="P10" s="303">
        <v>100</v>
      </c>
      <c r="Q10" s="303">
        <v>100</v>
      </c>
      <c r="R10" s="304">
        <v>100</v>
      </c>
      <c r="S10" s="303"/>
      <c r="T10" s="303"/>
      <c r="U10" s="303"/>
      <c r="V10" s="303"/>
      <c r="W10" s="304"/>
      <c r="X10" s="303">
        <v>100</v>
      </c>
      <c r="Y10" s="303">
        <v>100</v>
      </c>
      <c r="Z10" s="303">
        <v>100</v>
      </c>
      <c r="AA10" s="303">
        <v>100</v>
      </c>
      <c r="AB10" s="304">
        <v>100</v>
      </c>
      <c r="AC10" s="305">
        <v>1.02</v>
      </c>
      <c r="AD10" s="305">
        <v>1.02</v>
      </c>
      <c r="AE10" s="305">
        <v>1.02</v>
      </c>
      <c r="AF10" s="305">
        <v>1.02</v>
      </c>
      <c r="AG10" s="306">
        <v>1.02</v>
      </c>
      <c r="AH10" s="305">
        <v>0</v>
      </c>
      <c r="AI10" s="305">
        <v>0</v>
      </c>
      <c r="AJ10" s="305">
        <v>0</v>
      </c>
      <c r="AK10" s="305">
        <v>0</v>
      </c>
      <c r="AL10" s="306">
        <v>0</v>
      </c>
      <c r="AM10" s="305">
        <v>0</v>
      </c>
      <c r="AN10" s="305">
        <v>0</v>
      </c>
      <c r="AO10" s="305">
        <v>0</v>
      </c>
      <c r="AP10" s="305">
        <v>0</v>
      </c>
      <c r="AQ10" s="306">
        <v>0</v>
      </c>
      <c r="AR10" s="303">
        <v>400</v>
      </c>
      <c r="AS10" s="303">
        <v>300</v>
      </c>
      <c r="AT10" s="303">
        <v>200</v>
      </c>
      <c r="AU10" s="303">
        <v>100</v>
      </c>
      <c r="AV10" s="304">
        <v>100</v>
      </c>
      <c r="AW10" s="303">
        <v>25</v>
      </c>
      <c r="AX10" s="303">
        <v>25</v>
      </c>
      <c r="AY10" s="303">
        <v>25</v>
      </c>
      <c r="AZ10" s="303">
        <v>25</v>
      </c>
      <c r="BA10" s="304">
        <v>25</v>
      </c>
      <c r="BB10" s="303">
        <v>22500</v>
      </c>
      <c r="BC10" s="303">
        <v>20000</v>
      </c>
      <c r="BD10" s="303">
        <v>17500</v>
      </c>
      <c r="BE10" s="303">
        <v>17500</v>
      </c>
      <c r="BF10" s="304">
        <v>17500</v>
      </c>
      <c r="BG10" s="303">
        <v>2000</v>
      </c>
      <c r="BH10" s="303">
        <v>2000</v>
      </c>
      <c r="BI10" s="303">
        <v>2000</v>
      </c>
      <c r="BJ10" s="303">
        <v>2000</v>
      </c>
      <c r="BK10" s="304">
        <v>2000</v>
      </c>
      <c r="BL10" s="307">
        <v>1540</v>
      </c>
      <c r="BM10" s="303">
        <v>1540</v>
      </c>
      <c r="BN10" s="303">
        <v>1540</v>
      </c>
      <c r="BO10" s="303">
        <v>1540</v>
      </c>
      <c r="BP10" s="304">
        <v>1540</v>
      </c>
      <c r="BQ10" s="302">
        <v>2</v>
      </c>
      <c r="BR10" s="303">
        <v>2</v>
      </c>
      <c r="BS10" s="303">
        <v>2</v>
      </c>
      <c r="BT10" s="303">
        <v>2</v>
      </c>
      <c r="BU10" s="304">
        <v>2</v>
      </c>
      <c r="BV10" s="310" t="s">
        <v>332</v>
      </c>
      <c r="BW10" s="311">
        <v>58.441558441558442</v>
      </c>
      <c r="BX10" s="311">
        <v>51.948051948051948</v>
      </c>
      <c r="BY10" s="311">
        <v>45.454545454545453</v>
      </c>
      <c r="BZ10" s="311">
        <v>45.454545454545453</v>
      </c>
      <c r="CA10" s="312">
        <v>45.454545454545453</v>
      </c>
      <c r="CB10" s="311">
        <v>5.1948051948051948</v>
      </c>
      <c r="CC10" s="311">
        <v>5.1948051948051948</v>
      </c>
      <c r="CD10" s="311">
        <v>5.1948051948051948</v>
      </c>
      <c r="CE10" s="311">
        <v>5.1948051948051948</v>
      </c>
      <c r="CF10" s="312">
        <v>5.1948051948051948</v>
      </c>
      <c r="CG10" s="314">
        <v>4</v>
      </c>
      <c r="CH10" s="314">
        <v>4</v>
      </c>
      <c r="CI10" s="314">
        <v>4</v>
      </c>
      <c r="CJ10" s="314">
        <v>4</v>
      </c>
      <c r="CK10" s="315">
        <v>4</v>
      </c>
    </row>
    <row r="11" spans="1:89" s="298" customFormat="1" x14ac:dyDescent="0.2">
      <c r="A11" s="299" t="s">
        <v>335</v>
      </c>
      <c r="B11" s="300" t="s">
        <v>440</v>
      </c>
      <c r="C11" s="301" t="s">
        <v>336</v>
      </c>
      <c r="D11" s="302" t="s">
        <v>441</v>
      </c>
      <c r="E11" s="303" t="s">
        <v>430</v>
      </c>
      <c r="F11" s="303" t="s">
        <v>442</v>
      </c>
      <c r="G11" s="303" t="s">
        <v>442</v>
      </c>
      <c r="H11" s="304" t="s">
        <v>442</v>
      </c>
      <c r="I11" s="303"/>
      <c r="J11" s="303"/>
      <c r="K11" s="303"/>
      <c r="L11" s="303"/>
      <c r="M11" s="304"/>
      <c r="N11" s="303">
        <v>100</v>
      </c>
      <c r="O11" s="303">
        <v>100</v>
      </c>
      <c r="P11" s="303">
        <v>100</v>
      </c>
      <c r="Q11" s="303">
        <v>100</v>
      </c>
      <c r="R11" s="304">
        <v>100</v>
      </c>
      <c r="S11" s="303"/>
      <c r="T11" s="303"/>
      <c r="U11" s="303"/>
      <c r="V11" s="303"/>
      <c r="W11" s="304"/>
      <c r="X11" s="303">
        <v>100</v>
      </c>
      <c r="Y11" s="303">
        <v>100</v>
      </c>
      <c r="Z11" s="303">
        <v>100</v>
      </c>
      <c r="AA11" s="303">
        <v>100</v>
      </c>
      <c r="AB11" s="304">
        <v>100</v>
      </c>
      <c r="AC11" s="305">
        <v>0.8</v>
      </c>
      <c r="AD11" s="305">
        <v>0.87</v>
      </c>
      <c r="AE11" s="305">
        <v>0.91</v>
      </c>
      <c r="AF11" s="305">
        <v>0.95</v>
      </c>
      <c r="AG11" s="306">
        <v>0.95</v>
      </c>
      <c r="AH11" s="305">
        <v>0</v>
      </c>
      <c r="AI11" s="305">
        <v>0</v>
      </c>
      <c r="AJ11" s="305">
        <v>0</v>
      </c>
      <c r="AK11" s="305">
        <v>0</v>
      </c>
      <c r="AL11" s="306">
        <v>0</v>
      </c>
      <c r="AM11" s="305">
        <v>0</v>
      </c>
      <c r="AN11" s="305">
        <v>0</v>
      </c>
      <c r="AO11" s="305">
        <v>0</v>
      </c>
      <c r="AP11" s="305">
        <v>0</v>
      </c>
      <c r="AQ11" s="306">
        <v>0</v>
      </c>
      <c r="AR11" s="303"/>
      <c r="AS11" s="303"/>
      <c r="AT11" s="303"/>
      <c r="AU11" s="303"/>
      <c r="AV11" s="304"/>
      <c r="AW11" s="303">
        <v>20</v>
      </c>
      <c r="AX11" s="303">
        <v>20</v>
      </c>
      <c r="AY11" s="303">
        <v>20</v>
      </c>
      <c r="AZ11" s="303">
        <v>20</v>
      </c>
      <c r="BA11" s="304">
        <v>20</v>
      </c>
      <c r="BB11" s="307">
        <v>6750</v>
      </c>
      <c r="BC11" s="307">
        <v>6750</v>
      </c>
      <c r="BD11" s="307">
        <v>7500</v>
      </c>
      <c r="BE11" s="307">
        <v>7500</v>
      </c>
      <c r="BF11" s="308">
        <v>7500</v>
      </c>
      <c r="BG11" s="307">
        <v>1600</v>
      </c>
      <c r="BH11" s="307">
        <v>1600</v>
      </c>
      <c r="BI11" s="307">
        <v>1600</v>
      </c>
      <c r="BJ11" s="307">
        <v>1600</v>
      </c>
      <c r="BK11" s="308">
        <v>1600</v>
      </c>
      <c r="BL11" s="307">
        <v>26</v>
      </c>
      <c r="BM11" s="307">
        <v>25</v>
      </c>
      <c r="BN11" s="307">
        <v>36</v>
      </c>
      <c r="BO11" s="307">
        <v>36</v>
      </c>
      <c r="BP11" s="308">
        <v>36</v>
      </c>
      <c r="BQ11" s="309">
        <v>0</v>
      </c>
      <c r="BR11" s="307">
        <v>0</v>
      </c>
      <c r="BS11" s="307">
        <v>0</v>
      </c>
      <c r="BT11" s="307">
        <v>0</v>
      </c>
      <c r="BU11" s="308">
        <v>0</v>
      </c>
      <c r="BV11" s="310" t="s">
        <v>337</v>
      </c>
      <c r="BW11" s="311">
        <v>519.23076923076928</v>
      </c>
      <c r="BX11" s="311">
        <v>540</v>
      </c>
      <c r="BY11" s="311">
        <v>625</v>
      </c>
      <c r="BZ11" s="311">
        <v>625</v>
      </c>
      <c r="CA11" s="312">
        <v>625</v>
      </c>
      <c r="CB11" s="311">
        <v>123.07692307692308</v>
      </c>
      <c r="CC11" s="311">
        <v>128</v>
      </c>
      <c r="CD11" s="311">
        <v>133.33333333333334</v>
      </c>
      <c r="CE11" s="311">
        <v>133.33333333333334</v>
      </c>
      <c r="CF11" s="312">
        <v>133.33333333333334</v>
      </c>
      <c r="CG11" s="314">
        <v>2</v>
      </c>
      <c r="CH11" s="314">
        <v>2</v>
      </c>
      <c r="CI11" s="314">
        <v>3</v>
      </c>
      <c r="CJ11" s="314">
        <v>3</v>
      </c>
      <c r="CK11" s="315">
        <v>3</v>
      </c>
    </row>
    <row r="12" spans="1:89" s="298" customFormat="1" x14ac:dyDescent="0.2">
      <c r="A12" s="299" t="s">
        <v>338</v>
      </c>
      <c r="B12" s="300" t="s">
        <v>443</v>
      </c>
      <c r="C12" s="301" t="s">
        <v>339</v>
      </c>
      <c r="D12" s="302" t="s">
        <v>444</v>
      </c>
      <c r="E12" s="303" t="s">
        <v>444</v>
      </c>
      <c r="F12" s="303" t="s">
        <v>444</v>
      </c>
      <c r="G12" s="303" t="s">
        <v>444</v>
      </c>
      <c r="H12" s="304" t="s">
        <v>444</v>
      </c>
      <c r="I12" s="303"/>
      <c r="J12" s="303"/>
      <c r="K12" s="303"/>
      <c r="L12" s="303"/>
      <c r="M12" s="304"/>
      <c r="N12" s="303">
        <v>100</v>
      </c>
      <c r="O12" s="303">
        <v>100</v>
      </c>
      <c r="P12" s="303">
        <v>100</v>
      </c>
      <c r="Q12" s="303">
        <v>100</v>
      </c>
      <c r="R12" s="304">
        <v>100</v>
      </c>
      <c r="S12" s="303"/>
      <c r="T12" s="303"/>
      <c r="U12" s="303"/>
      <c r="V12" s="303"/>
      <c r="W12" s="304"/>
      <c r="X12" s="303">
        <v>100</v>
      </c>
      <c r="Y12" s="303">
        <v>100</v>
      </c>
      <c r="Z12" s="303">
        <v>100</v>
      </c>
      <c r="AA12" s="303">
        <v>100</v>
      </c>
      <c r="AB12" s="304">
        <v>100</v>
      </c>
      <c r="AC12" s="305">
        <v>0.85</v>
      </c>
      <c r="AD12" s="305">
        <v>0.87</v>
      </c>
      <c r="AE12" s="305">
        <v>0.91</v>
      </c>
      <c r="AF12" s="305">
        <v>0.95</v>
      </c>
      <c r="AG12" s="306">
        <v>0.95</v>
      </c>
      <c r="AH12" s="305">
        <v>0</v>
      </c>
      <c r="AI12" s="305">
        <v>0</v>
      </c>
      <c r="AJ12" s="305">
        <v>0</v>
      </c>
      <c r="AK12" s="305">
        <v>0</v>
      </c>
      <c r="AL12" s="306">
        <v>0</v>
      </c>
      <c r="AM12" s="305">
        <v>0</v>
      </c>
      <c r="AN12" s="305">
        <v>0</v>
      </c>
      <c r="AO12" s="305">
        <v>0</v>
      </c>
      <c r="AP12" s="305">
        <v>0</v>
      </c>
      <c r="AQ12" s="306">
        <v>0</v>
      </c>
      <c r="AR12" s="303"/>
      <c r="AS12" s="303"/>
      <c r="AT12" s="303"/>
      <c r="AU12" s="303"/>
      <c r="AV12" s="304"/>
      <c r="AW12" s="303">
        <v>20</v>
      </c>
      <c r="AX12" s="303">
        <v>20</v>
      </c>
      <c r="AY12" s="303">
        <v>20</v>
      </c>
      <c r="AZ12" s="303">
        <v>20</v>
      </c>
      <c r="BA12" s="304">
        <v>20</v>
      </c>
      <c r="BB12" s="307">
        <v>93500</v>
      </c>
      <c r="BC12" s="307">
        <v>93500</v>
      </c>
      <c r="BD12" s="307">
        <v>93500</v>
      </c>
      <c r="BE12" s="307">
        <v>93500</v>
      </c>
      <c r="BF12" s="308">
        <v>93500</v>
      </c>
      <c r="BG12" s="307">
        <v>15000</v>
      </c>
      <c r="BH12" s="307">
        <v>15000</v>
      </c>
      <c r="BI12" s="307">
        <v>18500</v>
      </c>
      <c r="BJ12" s="307">
        <v>18500</v>
      </c>
      <c r="BK12" s="308">
        <v>18500</v>
      </c>
      <c r="BL12" s="307">
        <v>31.5</v>
      </c>
      <c r="BM12" s="307">
        <v>31.5</v>
      </c>
      <c r="BN12" s="307">
        <v>35</v>
      </c>
      <c r="BO12" s="307">
        <v>40</v>
      </c>
      <c r="BP12" s="307">
        <v>40</v>
      </c>
      <c r="BQ12" s="309">
        <v>0</v>
      </c>
      <c r="BR12" s="307">
        <v>0</v>
      </c>
      <c r="BS12" s="307">
        <v>0</v>
      </c>
      <c r="BT12" s="307">
        <v>0</v>
      </c>
      <c r="BU12" s="308">
        <v>0</v>
      </c>
      <c r="BV12" s="310" t="s">
        <v>340</v>
      </c>
      <c r="BW12" s="316">
        <v>170</v>
      </c>
      <c r="BX12" s="316">
        <v>170</v>
      </c>
      <c r="BY12" s="316">
        <v>170</v>
      </c>
      <c r="BZ12" s="316">
        <v>170</v>
      </c>
      <c r="CA12" s="317">
        <v>170</v>
      </c>
      <c r="CB12" s="311">
        <v>27.272727272727273</v>
      </c>
      <c r="CC12" s="311">
        <v>27.272727272727273</v>
      </c>
      <c r="CD12" s="311">
        <v>33.636363636363633</v>
      </c>
      <c r="CE12" s="311">
        <v>33.636363636363633</v>
      </c>
      <c r="CF12" s="312">
        <v>33.636363636363633</v>
      </c>
      <c r="CG12" s="314">
        <v>6.3</v>
      </c>
      <c r="CH12" s="314">
        <v>6.3</v>
      </c>
      <c r="CI12" s="314">
        <v>7</v>
      </c>
      <c r="CJ12" s="314">
        <v>8</v>
      </c>
      <c r="CK12" s="315">
        <v>8</v>
      </c>
    </row>
    <row r="13" spans="1:89" s="298" customFormat="1" x14ac:dyDescent="0.2">
      <c r="A13" s="299" t="s">
        <v>341</v>
      </c>
      <c r="B13" s="300" t="s">
        <v>445</v>
      </c>
      <c r="C13" s="301" t="s">
        <v>342</v>
      </c>
      <c r="D13" s="302" t="s">
        <v>446</v>
      </c>
      <c r="E13" s="303" t="s">
        <v>447</v>
      </c>
      <c r="F13" s="303" t="s">
        <v>448</v>
      </c>
      <c r="G13" s="303" t="s">
        <v>449</v>
      </c>
      <c r="H13" s="304" t="s">
        <v>449</v>
      </c>
      <c r="I13" s="303"/>
      <c r="J13" s="303"/>
      <c r="K13" s="303"/>
      <c r="L13" s="303"/>
      <c r="M13" s="304"/>
      <c r="N13" s="318">
        <v>40</v>
      </c>
      <c r="O13" s="318">
        <v>40</v>
      </c>
      <c r="P13" s="318">
        <v>40</v>
      </c>
      <c r="Q13" s="318">
        <v>40</v>
      </c>
      <c r="R13" s="319">
        <v>40</v>
      </c>
      <c r="S13" s="303"/>
      <c r="T13" s="303"/>
      <c r="U13" s="303"/>
      <c r="V13" s="303"/>
      <c r="W13" s="304"/>
      <c r="X13" s="303">
        <v>0</v>
      </c>
      <c r="Y13" s="303">
        <v>0</v>
      </c>
      <c r="Z13" s="303">
        <v>0</v>
      </c>
      <c r="AA13" s="303">
        <v>0</v>
      </c>
      <c r="AB13" s="304">
        <v>0</v>
      </c>
      <c r="AC13" s="305">
        <v>0.65</v>
      </c>
      <c r="AD13" s="305">
        <v>0.7</v>
      </c>
      <c r="AE13" s="305">
        <v>0.75</v>
      </c>
      <c r="AF13" s="305">
        <v>0.75</v>
      </c>
      <c r="AG13" s="306">
        <v>0.75</v>
      </c>
      <c r="AH13" s="305">
        <v>0</v>
      </c>
      <c r="AI13" s="305">
        <v>0</v>
      </c>
      <c r="AJ13" s="305">
        <v>0</v>
      </c>
      <c r="AK13" s="305">
        <v>0</v>
      </c>
      <c r="AL13" s="306">
        <v>0</v>
      </c>
      <c r="AM13" s="305">
        <v>0</v>
      </c>
      <c r="AN13" s="305">
        <v>0</v>
      </c>
      <c r="AO13" s="305">
        <v>0</v>
      </c>
      <c r="AP13" s="305">
        <v>0</v>
      </c>
      <c r="AQ13" s="306">
        <v>0</v>
      </c>
      <c r="AR13" s="303"/>
      <c r="AS13" s="303"/>
      <c r="AT13" s="303"/>
      <c r="AU13" s="303"/>
      <c r="AV13" s="304"/>
      <c r="AW13" s="303">
        <v>24</v>
      </c>
      <c r="AX13" s="303">
        <v>24</v>
      </c>
      <c r="AY13" s="303">
        <v>24</v>
      </c>
      <c r="AZ13" s="303">
        <v>24</v>
      </c>
      <c r="BA13" s="304">
        <v>24</v>
      </c>
      <c r="BB13" s="307">
        <v>2600</v>
      </c>
      <c r="BC13" s="307">
        <v>2600</v>
      </c>
      <c r="BD13" s="307">
        <v>3500</v>
      </c>
      <c r="BE13" s="307">
        <v>3500</v>
      </c>
      <c r="BF13" s="308">
        <v>3500</v>
      </c>
      <c r="BG13" s="307">
        <v>1600</v>
      </c>
      <c r="BH13" s="307">
        <v>1600</v>
      </c>
      <c r="BI13" s="307">
        <v>1600</v>
      </c>
      <c r="BJ13" s="307">
        <v>1600</v>
      </c>
      <c r="BK13" s="308">
        <v>1600</v>
      </c>
      <c r="BL13" s="307">
        <v>0.75</v>
      </c>
      <c r="BM13" s="307">
        <v>0.70000000000000007</v>
      </c>
      <c r="BN13" s="307">
        <v>0.5</v>
      </c>
      <c r="BO13" s="307">
        <v>0.70000000000000007</v>
      </c>
      <c r="BP13" s="308">
        <v>0.70000000000000007</v>
      </c>
      <c r="BQ13" s="309">
        <v>0</v>
      </c>
      <c r="BR13" s="307">
        <v>0</v>
      </c>
      <c r="BS13" s="307">
        <v>0</v>
      </c>
      <c r="BT13" s="307">
        <v>0</v>
      </c>
      <c r="BU13" s="308">
        <v>0</v>
      </c>
      <c r="BV13" s="310" t="s">
        <v>343</v>
      </c>
      <c r="BW13" s="311">
        <v>346.66666666666669</v>
      </c>
      <c r="BX13" s="311">
        <v>371.42857142857144</v>
      </c>
      <c r="BY13" s="311">
        <v>666.66666666666663</v>
      </c>
      <c r="BZ13" s="311">
        <v>933.33333333333337</v>
      </c>
      <c r="CA13" s="312">
        <v>933.33333333333337</v>
      </c>
      <c r="CB13" s="311">
        <v>213.33333333333334</v>
      </c>
      <c r="CC13" s="311">
        <v>228.57142857142858</v>
      </c>
      <c r="CD13" s="311">
        <v>304.76190476190476</v>
      </c>
      <c r="CE13" s="311">
        <v>426.66666666666669</v>
      </c>
      <c r="CF13" s="312">
        <v>426.66666666666669</v>
      </c>
      <c r="CG13" s="314">
        <v>0.1</v>
      </c>
      <c r="CH13" s="314">
        <v>0.1</v>
      </c>
      <c r="CI13" s="314">
        <v>0.1</v>
      </c>
      <c r="CJ13" s="314">
        <v>0.2</v>
      </c>
      <c r="CK13" s="315">
        <v>0.2</v>
      </c>
    </row>
    <row r="14" spans="1:89" s="298" customFormat="1" x14ac:dyDescent="0.2">
      <c r="A14" s="299"/>
      <c r="B14" s="300"/>
      <c r="C14" s="301" t="s">
        <v>344</v>
      </c>
      <c r="D14" s="302"/>
      <c r="E14" s="303"/>
      <c r="F14" s="303"/>
      <c r="G14" s="303"/>
      <c r="H14" s="304"/>
      <c r="I14" s="303"/>
      <c r="J14" s="303"/>
      <c r="K14" s="303"/>
      <c r="L14" s="303"/>
      <c r="M14" s="304"/>
      <c r="N14" s="303"/>
      <c r="O14" s="303"/>
      <c r="P14" s="303"/>
      <c r="Q14" s="303"/>
      <c r="R14" s="304"/>
      <c r="S14" s="303"/>
      <c r="T14" s="303"/>
      <c r="U14" s="303"/>
      <c r="V14" s="303"/>
      <c r="W14" s="304"/>
      <c r="X14" s="303"/>
      <c r="Y14" s="303"/>
      <c r="Z14" s="303"/>
      <c r="AA14" s="303"/>
      <c r="AB14" s="304"/>
      <c r="AC14" s="305">
        <v>0</v>
      </c>
      <c r="AD14" s="305">
        <v>0</v>
      </c>
      <c r="AE14" s="305">
        <v>0</v>
      </c>
      <c r="AF14" s="305">
        <v>0</v>
      </c>
      <c r="AG14" s="306">
        <v>0</v>
      </c>
      <c r="AH14" s="305">
        <v>0</v>
      </c>
      <c r="AI14" s="305">
        <v>0</v>
      </c>
      <c r="AJ14" s="305">
        <v>0</v>
      </c>
      <c r="AK14" s="305">
        <v>0</v>
      </c>
      <c r="AL14" s="306">
        <v>0</v>
      </c>
      <c r="AM14" s="305">
        <v>0</v>
      </c>
      <c r="AN14" s="305">
        <v>0</v>
      </c>
      <c r="AO14" s="305">
        <v>0</v>
      </c>
      <c r="AP14" s="305">
        <v>0</v>
      </c>
      <c r="AQ14" s="306">
        <v>0</v>
      </c>
      <c r="AR14" s="303"/>
      <c r="AS14" s="303"/>
      <c r="AT14" s="303"/>
      <c r="AU14" s="303"/>
      <c r="AV14" s="304"/>
      <c r="AW14" s="303"/>
      <c r="AX14" s="303"/>
      <c r="AY14" s="303"/>
      <c r="AZ14" s="303"/>
      <c r="BA14" s="304"/>
      <c r="BB14" s="307">
        <v>0</v>
      </c>
      <c r="BC14" s="307">
        <v>0</v>
      </c>
      <c r="BD14" s="307">
        <v>0</v>
      </c>
      <c r="BE14" s="307">
        <v>0</v>
      </c>
      <c r="BF14" s="308">
        <v>0</v>
      </c>
      <c r="BG14" s="307">
        <v>0</v>
      </c>
      <c r="BH14" s="307">
        <v>0</v>
      </c>
      <c r="BI14" s="307">
        <v>0</v>
      </c>
      <c r="BJ14" s="307">
        <v>0</v>
      </c>
      <c r="BK14" s="308">
        <v>0</v>
      </c>
      <c r="BL14" s="307"/>
      <c r="BM14" s="307"/>
      <c r="BN14" s="307"/>
      <c r="BO14" s="307"/>
      <c r="BP14" s="308"/>
      <c r="BQ14" s="309"/>
      <c r="BR14" s="307"/>
      <c r="BS14" s="307"/>
      <c r="BT14" s="307"/>
      <c r="BU14" s="308"/>
      <c r="BV14" s="310"/>
      <c r="BW14" s="307"/>
      <c r="BX14" s="307"/>
      <c r="BY14" s="307"/>
      <c r="BZ14" s="307"/>
      <c r="CA14" s="308"/>
      <c r="CB14" s="307"/>
      <c r="CC14" s="307"/>
      <c r="CD14" s="307"/>
      <c r="CE14" s="307"/>
      <c r="CF14" s="308"/>
      <c r="CG14" s="309"/>
      <c r="CH14" s="307"/>
      <c r="CI14" s="307"/>
      <c r="CJ14" s="307"/>
      <c r="CK14" s="308"/>
    </row>
    <row r="15" spans="1:89" s="298" customFormat="1" x14ac:dyDescent="0.2">
      <c r="A15" s="291" t="s">
        <v>345</v>
      </c>
      <c r="B15" s="292"/>
      <c r="C15" s="293"/>
      <c r="D15" s="294"/>
      <c r="E15" s="295"/>
      <c r="F15" s="295"/>
      <c r="G15" s="295"/>
      <c r="H15" s="296"/>
      <c r="I15" s="295"/>
      <c r="J15" s="295"/>
      <c r="K15" s="295"/>
      <c r="L15" s="295"/>
      <c r="M15" s="296"/>
      <c r="N15" s="295"/>
      <c r="O15" s="295"/>
      <c r="P15" s="295"/>
      <c r="Q15" s="295"/>
      <c r="R15" s="296"/>
      <c r="S15" s="295"/>
      <c r="T15" s="295"/>
      <c r="U15" s="295"/>
      <c r="V15" s="295"/>
      <c r="W15" s="296"/>
      <c r="X15" s="295"/>
      <c r="Y15" s="295"/>
      <c r="Z15" s="295"/>
      <c r="AA15" s="295"/>
      <c r="AB15" s="296"/>
      <c r="AC15" s="320">
        <v>0</v>
      </c>
      <c r="AD15" s="320">
        <v>0</v>
      </c>
      <c r="AE15" s="320">
        <v>0</v>
      </c>
      <c r="AF15" s="320">
        <v>0</v>
      </c>
      <c r="AG15" s="321">
        <v>0</v>
      </c>
      <c r="AH15" s="320">
        <v>0</v>
      </c>
      <c r="AI15" s="320">
        <v>0</v>
      </c>
      <c r="AJ15" s="320">
        <v>0</v>
      </c>
      <c r="AK15" s="320">
        <v>0</v>
      </c>
      <c r="AL15" s="321">
        <v>0</v>
      </c>
      <c r="AM15" s="320">
        <v>0</v>
      </c>
      <c r="AN15" s="320">
        <v>0</v>
      </c>
      <c r="AO15" s="320">
        <v>0</v>
      </c>
      <c r="AP15" s="320">
        <v>0</v>
      </c>
      <c r="AQ15" s="321">
        <v>0</v>
      </c>
      <c r="AR15" s="295"/>
      <c r="AS15" s="295"/>
      <c r="AT15" s="295"/>
      <c r="AU15" s="295"/>
      <c r="AV15" s="296"/>
      <c r="AW15" s="295"/>
      <c r="AX15" s="295"/>
      <c r="AY15" s="295"/>
      <c r="AZ15" s="295"/>
      <c r="BA15" s="296"/>
      <c r="BB15" s="295">
        <v>0</v>
      </c>
      <c r="BC15" s="295">
        <v>0</v>
      </c>
      <c r="BD15" s="295">
        <v>0</v>
      </c>
      <c r="BE15" s="295">
        <v>0</v>
      </c>
      <c r="BF15" s="296">
        <v>0</v>
      </c>
      <c r="BG15" s="295">
        <v>0</v>
      </c>
      <c r="BH15" s="295">
        <v>0</v>
      </c>
      <c r="BI15" s="295">
        <v>0</v>
      </c>
      <c r="BJ15" s="295">
        <v>0</v>
      </c>
      <c r="BK15" s="296">
        <v>0</v>
      </c>
      <c r="BL15" s="295"/>
      <c r="BM15" s="295"/>
      <c r="BN15" s="295"/>
      <c r="BO15" s="295"/>
      <c r="BP15" s="296"/>
      <c r="BQ15" s="294"/>
      <c r="BR15" s="295"/>
      <c r="BS15" s="295"/>
      <c r="BT15" s="295"/>
      <c r="BU15" s="296"/>
      <c r="BV15" s="297"/>
      <c r="BW15" s="295"/>
      <c r="BX15" s="295"/>
      <c r="BY15" s="295"/>
      <c r="BZ15" s="295"/>
      <c r="CA15" s="296"/>
      <c r="CB15" s="295"/>
      <c r="CC15" s="295"/>
      <c r="CD15" s="295"/>
      <c r="CE15" s="295"/>
      <c r="CF15" s="296"/>
      <c r="CG15" s="294"/>
      <c r="CH15" s="295"/>
      <c r="CI15" s="295"/>
      <c r="CJ15" s="295"/>
      <c r="CK15" s="296"/>
    </row>
    <row r="16" spans="1:89" s="298" customFormat="1" x14ac:dyDescent="0.2">
      <c r="A16" s="299" t="s">
        <v>346</v>
      </c>
      <c r="B16" s="300" t="s">
        <v>450</v>
      </c>
      <c r="C16" s="301" t="s">
        <v>347</v>
      </c>
      <c r="D16" s="302" t="s">
        <v>451</v>
      </c>
      <c r="E16" s="303" t="s">
        <v>451</v>
      </c>
      <c r="F16" s="303" t="s">
        <v>451</v>
      </c>
      <c r="G16" s="303" t="s">
        <v>451</v>
      </c>
      <c r="H16" s="304" t="s">
        <v>451</v>
      </c>
      <c r="I16" s="303"/>
      <c r="J16" s="303"/>
      <c r="K16" s="303"/>
      <c r="L16" s="303"/>
      <c r="M16" s="304"/>
      <c r="N16" s="303">
        <v>60</v>
      </c>
      <c r="O16" s="303">
        <v>60</v>
      </c>
      <c r="P16" s="303">
        <v>60</v>
      </c>
      <c r="Q16" s="303">
        <v>60</v>
      </c>
      <c r="R16" s="304">
        <v>60</v>
      </c>
      <c r="S16" s="303"/>
      <c r="T16" s="303"/>
      <c r="U16" s="303"/>
      <c r="V16" s="303"/>
      <c r="W16" s="304"/>
      <c r="X16" s="303">
        <v>0</v>
      </c>
      <c r="Y16" s="303">
        <v>0</v>
      </c>
      <c r="Z16" s="303">
        <v>0</v>
      </c>
      <c r="AA16" s="303">
        <v>0</v>
      </c>
      <c r="AB16" s="304">
        <v>0</v>
      </c>
      <c r="AC16" s="305">
        <v>3</v>
      </c>
      <c r="AD16" s="305">
        <v>3.2</v>
      </c>
      <c r="AE16" s="305">
        <v>3.7</v>
      </c>
      <c r="AF16" s="305">
        <v>4</v>
      </c>
      <c r="AG16" s="306">
        <v>4</v>
      </c>
      <c r="AH16" s="305">
        <v>0</v>
      </c>
      <c r="AI16" s="305">
        <v>0</v>
      </c>
      <c r="AJ16" s="305">
        <v>0</v>
      </c>
      <c r="AK16" s="305">
        <v>0</v>
      </c>
      <c r="AL16" s="306">
        <v>0</v>
      </c>
      <c r="AM16" s="305">
        <v>0</v>
      </c>
      <c r="AN16" s="305">
        <v>0</v>
      </c>
      <c r="AO16" s="305">
        <v>0</v>
      </c>
      <c r="AP16" s="305">
        <v>0</v>
      </c>
      <c r="AQ16" s="306">
        <v>0</v>
      </c>
      <c r="AR16" s="303"/>
      <c r="AS16" s="303"/>
      <c r="AT16" s="303"/>
      <c r="AU16" s="303"/>
      <c r="AV16" s="304"/>
      <c r="AW16" s="303">
        <v>20</v>
      </c>
      <c r="AX16" s="303">
        <v>20</v>
      </c>
      <c r="AY16" s="303">
        <v>20</v>
      </c>
      <c r="AZ16" s="303">
        <v>20</v>
      </c>
      <c r="BA16" s="304">
        <v>20</v>
      </c>
      <c r="BB16" s="307">
        <v>2200</v>
      </c>
      <c r="BC16" s="307">
        <v>2100</v>
      </c>
      <c r="BD16" s="307">
        <v>1900</v>
      </c>
      <c r="BE16" s="307">
        <v>1800</v>
      </c>
      <c r="BF16" s="308">
        <v>1800</v>
      </c>
      <c r="BG16" s="307">
        <v>0</v>
      </c>
      <c r="BH16" s="307">
        <v>0</v>
      </c>
      <c r="BI16" s="307">
        <v>0</v>
      </c>
      <c r="BJ16" s="307">
        <v>0</v>
      </c>
      <c r="BK16" s="308">
        <v>0</v>
      </c>
      <c r="BL16" s="307">
        <v>34</v>
      </c>
      <c r="BM16" s="307">
        <v>34</v>
      </c>
      <c r="BN16" s="307">
        <v>34</v>
      </c>
      <c r="BO16" s="307">
        <v>34</v>
      </c>
      <c r="BP16" s="308">
        <v>34</v>
      </c>
      <c r="BQ16" s="309">
        <v>0</v>
      </c>
      <c r="BR16" s="307">
        <v>0</v>
      </c>
      <c r="BS16" s="307">
        <v>0</v>
      </c>
      <c r="BT16" s="307">
        <v>0</v>
      </c>
      <c r="BU16" s="308">
        <v>0</v>
      </c>
      <c r="BV16" s="310"/>
      <c r="BW16" s="311">
        <v>550</v>
      </c>
      <c r="BX16" s="311">
        <v>525</v>
      </c>
      <c r="BY16" s="311">
        <v>475</v>
      </c>
      <c r="BZ16" s="311">
        <v>450</v>
      </c>
      <c r="CA16" s="312">
        <v>450</v>
      </c>
      <c r="CB16" s="307">
        <v>0</v>
      </c>
      <c r="CC16" s="307">
        <v>0</v>
      </c>
      <c r="CD16" s="307">
        <v>0</v>
      </c>
      <c r="CE16" s="307">
        <v>0</v>
      </c>
      <c r="CF16" s="308">
        <v>0</v>
      </c>
      <c r="CG16" s="313">
        <v>8.5</v>
      </c>
      <c r="CH16" s="311">
        <v>8.5</v>
      </c>
      <c r="CI16" s="311">
        <v>8.5</v>
      </c>
      <c r="CJ16" s="311">
        <v>8.5</v>
      </c>
      <c r="CK16" s="312">
        <v>8.5</v>
      </c>
    </row>
    <row r="17" spans="1:89" s="298" customFormat="1" x14ac:dyDescent="0.2">
      <c r="A17" s="299"/>
      <c r="B17" s="300"/>
      <c r="C17" s="301" t="s">
        <v>348</v>
      </c>
      <c r="D17" s="322">
        <v>63.7</v>
      </c>
      <c r="E17" s="318">
        <v>63.7</v>
      </c>
      <c r="F17" s="318">
        <v>63.7</v>
      </c>
      <c r="G17" s="318">
        <v>63.7</v>
      </c>
      <c r="H17" s="319">
        <v>63.7</v>
      </c>
      <c r="I17" s="303"/>
      <c r="J17" s="303"/>
      <c r="K17" s="303"/>
      <c r="L17" s="303"/>
      <c r="M17" s="304"/>
      <c r="N17" s="303"/>
      <c r="O17" s="303"/>
      <c r="P17" s="303"/>
      <c r="Q17" s="303"/>
      <c r="R17" s="304"/>
      <c r="S17" s="303"/>
      <c r="T17" s="303"/>
      <c r="U17" s="303"/>
      <c r="V17" s="303"/>
      <c r="W17" s="304"/>
      <c r="X17" s="303"/>
      <c r="Y17" s="303"/>
      <c r="Z17" s="303"/>
      <c r="AA17" s="303"/>
      <c r="AB17" s="304"/>
      <c r="AC17" s="305">
        <v>0</v>
      </c>
      <c r="AD17" s="305">
        <v>0</v>
      </c>
      <c r="AE17" s="305">
        <v>0</v>
      </c>
      <c r="AF17" s="305">
        <v>0</v>
      </c>
      <c r="AG17" s="306">
        <v>0</v>
      </c>
      <c r="AH17" s="305">
        <v>0</v>
      </c>
      <c r="AI17" s="305">
        <v>0</v>
      </c>
      <c r="AJ17" s="305">
        <v>0</v>
      </c>
      <c r="AK17" s="305">
        <v>0</v>
      </c>
      <c r="AL17" s="306">
        <v>0</v>
      </c>
      <c r="AM17" s="305">
        <v>0</v>
      </c>
      <c r="AN17" s="305">
        <v>0</v>
      </c>
      <c r="AO17" s="305">
        <v>0</v>
      </c>
      <c r="AP17" s="305">
        <v>0</v>
      </c>
      <c r="AQ17" s="306">
        <v>0</v>
      </c>
      <c r="AR17" s="303"/>
      <c r="AS17" s="303"/>
      <c r="AT17" s="303"/>
      <c r="AU17" s="303"/>
      <c r="AV17" s="304"/>
      <c r="AW17" s="303"/>
      <c r="AX17" s="303"/>
      <c r="AY17" s="303"/>
      <c r="AZ17" s="303"/>
      <c r="BA17" s="304"/>
      <c r="BB17" s="323">
        <v>27140.2</v>
      </c>
      <c r="BC17" s="323">
        <v>25783.19</v>
      </c>
      <c r="BD17" s="323">
        <v>23340.571999999996</v>
      </c>
      <c r="BE17" s="323">
        <v>22254.963999999996</v>
      </c>
      <c r="BF17" s="324">
        <v>22254.963999999996</v>
      </c>
      <c r="BG17" s="307">
        <v>0</v>
      </c>
      <c r="BH17" s="307">
        <v>0</v>
      </c>
      <c r="BI17" s="307">
        <v>0</v>
      </c>
      <c r="BJ17" s="307">
        <v>0</v>
      </c>
      <c r="BK17" s="308">
        <v>0</v>
      </c>
      <c r="BL17" s="323">
        <v>650</v>
      </c>
      <c r="BM17" s="307"/>
      <c r="BN17" s="307"/>
      <c r="BO17" s="307"/>
      <c r="BP17" s="308"/>
      <c r="BQ17" s="309"/>
      <c r="BR17" s="307"/>
      <c r="BS17" s="307"/>
      <c r="BT17" s="307"/>
      <c r="BU17" s="308"/>
      <c r="BV17" s="310"/>
      <c r="BW17" s="307">
        <v>426.06279434850865</v>
      </c>
      <c r="BX17" s="307">
        <v>404.75965463108315</v>
      </c>
      <c r="BY17" s="307">
        <v>366.41400313971735</v>
      </c>
      <c r="BZ17" s="307">
        <v>349.37149136577699</v>
      </c>
      <c r="CA17" s="308">
        <v>349.37149136577699</v>
      </c>
      <c r="CB17" s="307">
        <v>0</v>
      </c>
      <c r="CC17" s="307">
        <v>0</v>
      </c>
      <c r="CD17" s="307">
        <v>0</v>
      </c>
      <c r="CE17" s="307">
        <v>0</v>
      </c>
      <c r="CF17" s="308">
        <v>0</v>
      </c>
      <c r="CG17" s="309">
        <v>10.204081632653061</v>
      </c>
      <c r="CH17" s="307">
        <v>0</v>
      </c>
      <c r="CI17" s="307">
        <v>0</v>
      </c>
      <c r="CJ17" s="307">
        <v>0</v>
      </c>
      <c r="CK17" s="308">
        <v>0</v>
      </c>
    </row>
    <row r="18" spans="1:89" s="298" customFormat="1" x14ac:dyDescent="0.2">
      <c r="A18" s="299" t="s">
        <v>349</v>
      </c>
      <c r="B18" s="300" t="s">
        <v>452</v>
      </c>
      <c r="C18" s="301" t="s">
        <v>350</v>
      </c>
      <c r="D18" s="302">
        <v>10</v>
      </c>
      <c r="E18" s="303">
        <v>10</v>
      </c>
      <c r="F18" s="303">
        <v>10</v>
      </c>
      <c r="G18" s="303">
        <v>10</v>
      </c>
      <c r="H18" s="304">
        <v>10</v>
      </c>
      <c r="I18" s="303"/>
      <c r="J18" s="303"/>
      <c r="K18" s="303"/>
      <c r="L18" s="303"/>
      <c r="M18" s="304"/>
      <c r="N18" s="303">
        <v>100</v>
      </c>
      <c r="O18" s="303">
        <v>100</v>
      </c>
      <c r="P18" s="303">
        <v>100</v>
      </c>
      <c r="Q18" s="303">
        <v>100</v>
      </c>
      <c r="R18" s="304">
        <v>100</v>
      </c>
      <c r="S18" s="303"/>
      <c r="T18" s="303"/>
      <c r="U18" s="303"/>
      <c r="V18" s="303"/>
      <c r="W18" s="304"/>
      <c r="X18" s="303">
        <v>100</v>
      </c>
      <c r="Y18" s="303">
        <v>100</v>
      </c>
      <c r="Z18" s="303">
        <v>100</v>
      </c>
      <c r="AA18" s="303">
        <v>100</v>
      </c>
      <c r="AB18" s="304">
        <v>100</v>
      </c>
      <c r="AC18" s="305">
        <v>3</v>
      </c>
      <c r="AD18" s="305">
        <v>3.3</v>
      </c>
      <c r="AE18" s="305">
        <v>3.7</v>
      </c>
      <c r="AF18" s="305">
        <v>4</v>
      </c>
      <c r="AG18" s="306">
        <v>4</v>
      </c>
      <c r="AH18" s="305">
        <v>0</v>
      </c>
      <c r="AI18" s="305">
        <v>0</v>
      </c>
      <c r="AJ18" s="305">
        <v>0</v>
      </c>
      <c r="AK18" s="305">
        <v>0</v>
      </c>
      <c r="AL18" s="306">
        <v>0</v>
      </c>
      <c r="AM18" s="305">
        <v>0</v>
      </c>
      <c r="AN18" s="305">
        <v>0</v>
      </c>
      <c r="AO18" s="305">
        <v>0</v>
      </c>
      <c r="AP18" s="305">
        <v>0</v>
      </c>
      <c r="AQ18" s="306">
        <v>0</v>
      </c>
      <c r="AR18" s="303"/>
      <c r="AS18" s="303"/>
      <c r="AT18" s="303"/>
      <c r="AU18" s="303"/>
      <c r="AV18" s="304"/>
      <c r="AW18" s="303">
        <v>20</v>
      </c>
      <c r="AX18" s="303">
        <v>20</v>
      </c>
      <c r="AY18" s="303">
        <v>20</v>
      </c>
      <c r="AZ18" s="303">
        <v>20</v>
      </c>
      <c r="BA18" s="304">
        <v>20</v>
      </c>
      <c r="BB18" s="307">
        <v>11000</v>
      </c>
      <c r="BC18" s="307">
        <v>10000</v>
      </c>
      <c r="BD18" s="307">
        <v>10000</v>
      </c>
      <c r="BE18" s="307">
        <v>9000</v>
      </c>
      <c r="BF18" s="308">
        <v>9000</v>
      </c>
      <c r="BG18" s="307">
        <v>0</v>
      </c>
      <c r="BH18" s="307">
        <v>0</v>
      </c>
      <c r="BI18" s="307">
        <v>0</v>
      </c>
      <c r="BJ18" s="307">
        <v>0</v>
      </c>
      <c r="BK18" s="308">
        <v>0</v>
      </c>
      <c r="BL18" s="307">
        <v>150</v>
      </c>
      <c r="BM18" s="307">
        <v>150</v>
      </c>
      <c r="BN18" s="307">
        <v>150</v>
      </c>
      <c r="BO18" s="307">
        <v>150</v>
      </c>
      <c r="BP18" s="308">
        <v>150</v>
      </c>
      <c r="BQ18" s="309">
        <v>0</v>
      </c>
      <c r="BR18" s="307">
        <v>0</v>
      </c>
      <c r="BS18" s="307">
        <v>0</v>
      </c>
      <c r="BT18" s="307">
        <v>0</v>
      </c>
      <c r="BU18" s="308">
        <v>0</v>
      </c>
      <c r="BV18" s="310" t="s">
        <v>351</v>
      </c>
      <c r="BW18" s="307">
        <v>1100</v>
      </c>
      <c r="BX18" s="307">
        <v>1000</v>
      </c>
      <c r="BY18" s="307">
        <v>1000</v>
      </c>
      <c r="BZ18" s="307">
        <v>900</v>
      </c>
      <c r="CA18" s="308">
        <v>900</v>
      </c>
      <c r="CB18" s="307">
        <v>0</v>
      </c>
      <c r="CC18" s="307">
        <v>0</v>
      </c>
      <c r="CD18" s="307">
        <v>0</v>
      </c>
      <c r="CE18" s="307">
        <v>0</v>
      </c>
      <c r="CF18" s="308">
        <v>0</v>
      </c>
      <c r="CG18" s="309">
        <v>15</v>
      </c>
      <c r="CH18" s="307">
        <v>15</v>
      </c>
      <c r="CI18" s="307">
        <v>15</v>
      </c>
      <c r="CJ18" s="307">
        <v>15</v>
      </c>
      <c r="CK18" s="308">
        <v>15</v>
      </c>
    </row>
    <row r="19" spans="1:89" s="298" customFormat="1" x14ac:dyDescent="0.2">
      <c r="A19" s="299" t="s">
        <v>352</v>
      </c>
      <c r="B19" s="300" t="s">
        <v>453</v>
      </c>
      <c r="C19" s="301" t="s">
        <v>353</v>
      </c>
      <c r="D19" s="302" t="s">
        <v>454</v>
      </c>
      <c r="E19" s="303" t="s">
        <v>454</v>
      </c>
      <c r="F19" s="303" t="s">
        <v>454</v>
      </c>
      <c r="G19" s="303" t="s">
        <v>454</v>
      </c>
      <c r="H19" s="304" t="s">
        <v>454</v>
      </c>
      <c r="I19" s="303"/>
      <c r="J19" s="303"/>
      <c r="K19" s="303"/>
      <c r="L19" s="303"/>
      <c r="M19" s="304"/>
      <c r="N19" s="303">
        <v>100</v>
      </c>
      <c r="O19" s="303">
        <v>100</v>
      </c>
      <c r="P19" s="303">
        <v>100</v>
      </c>
      <c r="Q19" s="303">
        <v>100</v>
      </c>
      <c r="R19" s="304">
        <v>100</v>
      </c>
      <c r="S19" s="303"/>
      <c r="T19" s="303"/>
      <c r="U19" s="303"/>
      <c r="V19" s="303"/>
      <c r="W19" s="304"/>
      <c r="X19" s="303">
        <v>100</v>
      </c>
      <c r="Y19" s="303">
        <v>100</v>
      </c>
      <c r="Z19" s="303">
        <v>100</v>
      </c>
      <c r="AA19" s="303">
        <v>100</v>
      </c>
      <c r="AB19" s="304">
        <v>100</v>
      </c>
      <c r="AC19" s="305">
        <v>3</v>
      </c>
      <c r="AD19" s="305">
        <v>3.3</v>
      </c>
      <c r="AE19" s="305">
        <v>3.7</v>
      </c>
      <c r="AF19" s="305">
        <v>4</v>
      </c>
      <c r="AG19" s="306">
        <v>4</v>
      </c>
      <c r="AH19" s="305">
        <v>0</v>
      </c>
      <c r="AI19" s="305">
        <v>0</v>
      </c>
      <c r="AJ19" s="305">
        <v>0</v>
      </c>
      <c r="AK19" s="305">
        <v>0</v>
      </c>
      <c r="AL19" s="306">
        <v>0</v>
      </c>
      <c r="AM19" s="305">
        <v>0</v>
      </c>
      <c r="AN19" s="305">
        <v>0</v>
      </c>
      <c r="AO19" s="305">
        <v>0</v>
      </c>
      <c r="AP19" s="305">
        <v>0</v>
      </c>
      <c r="AQ19" s="306">
        <v>0</v>
      </c>
      <c r="AR19" s="303"/>
      <c r="AS19" s="303"/>
      <c r="AT19" s="303"/>
      <c r="AU19" s="303"/>
      <c r="AV19" s="304"/>
      <c r="AW19" s="303">
        <v>20</v>
      </c>
      <c r="AX19" s="303">
        <v>20</v>
      </c>
      <c r="AY19" s="303">
        <v>20</v>
      </c>
      <c r="AZ19" s="303">
        <v>20</v>
      </c>
      <c r="BA19" s="304">
        <v>20</v>
      </c>
      <c r="BB19" s="307">
        <v>320000</v>
      </c>
      <c r="BC19" s="307">
        <v>320000</v>
      </c>
      <c r="BD19" s="307">
        <v>280000</v>
      </c>
      <c r="BE19" s="307">
        <v>280000</v>
      </c>
      <c r="BF19" s="308">
        <v>280000</v>
      </c>
      <c r="BG19" s="307">
        <v>0</v>
      </c>
      <c r="BH19" s="307">
        <v>0</v>
      </c>
      <c r="BI19" s="307">
        <v>0</v>
      </c>
      <c r="BJ19" s="307">
        <v>0</v>
      </c>
      <c r="BK19" s="308">
        <v>0</v>
      </c>
      <c r="BL19" s="307">
        <v>450</v>
      </c>
      <c r="BM19" s="307">
        <v>450</v>
      </c>
      <c r="BN19" s="307">
        <v>450</v>
      </c>
      <c r="BO19" s="307">
        <v>450</v>
      </c>
      <c r="BP19" s="308">
        <v>450</v>
      </c>
      <c r="BQ19" s="309">
        <v>0</v>
      </c>
      <c r="BR19" s="307">
        <v>0</v>
      </c>
      <c r="BS19" s="307">
        <v>0</v>
      </c>
      <c r="BT19" s="307">
        <v>0</v>
      </c>
      <c r="BU19" s="308">
        <v>0</v>
      </c>
      <c r="BV19" s="310"/>
      <c r="BW19" s="316">
        <v>800</v>
      </c>
      <c r="BX19" s="316">
        <v>800</v>
      </c>
      <c r="BY19" s="316">
        <v>700</v>
      </c>
      <c r="BZ19" s="316">
        <v>700</v>
      </c>
      <c r="CA19" s="317">
        <v>700</v>
      </c>
      <c r="CB19" s="307" t="s">
        <v>455</v>
      </c>
      <c r="CC19" s="307" t="s">
        <v>455</v>
      </c>
      <c r="CD19" s="307" t="s">
        <v>455</v>
      </c>
      <c r="CE19" s="307" t="s">
        <v>455</v>
      </c>
      <c r="CF19" s="308" t="s">
        <v>455</v>
      </c>
      <c r="CG19" s="313">
        <v>1.125</v>
      </c>
      <c r="CH19" s="311">
        <v>1.125</v>
      </c>
      <c r="CI19" s="311">
        <v>1.125</v>
      </c>
      <c r="CJ19" s="311">
        <v>1.125</v>
      </c>
      <c r="CK19" s="312">
        <v>1.125</v>
      </c>
    </row>
    <row r="20" spans="1:89" s="298" customFormat="1" x14ac:dyDescent="0.2">
      <c r="A20" s="299" t="s">
        <v>354</v>
      </c>
      <c r="B20" s="300" t="s">
        <v>456</v>
      </c>
      <c r="C20" s="301" t="s">
        <v>355</v>
      </c>
      <c r="D20" s="302">
        <v>10</v>
      </c>
      <c r="E20" s="303">
        <v>10</v>
      </c>
      <c r="F20" s="303">
        <v>10</v>
      </c>
      <c r="G20" s="303">
        <v>10</v>
      </c>
      <c r="H20" s="304">
        <v>10</v>
      </c>
      <c r="I20" s="303"/>
      <c r="J20" s="303"/>
      <c r="K20" s="303"/>
      <c r="L20" s="303"/>
      <c r="M20" s="304"/>
      <c r="N20" s="303">
        <v>100</v>
      </c>
      <c r="O20" s="303">
        <v>100</v>
      </c>
      <c r="P20" s="303">
        <v>100</v>
      </c>
      <c r="Q20" s="303">
        <v>100</v>
      </c>
      <c r="R20" s="304">
        <v>100</v>
      </c>
      <c r="S20" s="303"/>
      <c r="T20" s="303"/>
      <c r="U20" s="303"/>
      <c r="V20" s="303"/>
      <c r="W20" s="304"/>
      <c r="X20" s="303">
        <v>100</v>
      </c>
      <c r="Y20" s="303">
        <v>100</v>
      </c>
      <c r="Z20" s="303">
        <v>100</v>
      </c>
      <c r="AA20" s="303">
        <v>100</v>
      </c>
      <c r="AB20" s="304">
        <v>100</v>
      </c>
      <c r="AC20" s="305">
        <v>3.3</v>
      </c>
      <c r="AD20" s="305">
        <v>3.5</v>
      </c>
      <c r="AE20" s="305">
        <v>4</v>
      </c>
      <c r="AF20" s="305">
        <v>4.5</v>
      </c>
      <c r="AG20" s="306">
        <v>4.5</v>
      </c>
      <c r="AH20" s="305">
        <v>0</v>
      </c>
      <c r="AI20" s="305">
        <v>0</v>
      </c>
      <c r="AJ20" s="305">
        <v>0</v>
      </c>
      <c r="AK20" s="305">
        <v>0</v>
      </c>
      <c r="AL20" s="306">
        <v>0</v>
      </c>
      <c r="AM20" s="305">
        <v>0</v>
      </c>
      <c r="AN20" s="305">
        <v>0</v>
      </c>
      <c r="AO20" s="305">
        <v>0</v>
      </c>
      <c r="AP20" s="305">
        <v>0</v>
      </c>
      <c r="AQ20" s="306">
        <v>0</v>
      </c>
      <c r="AR20" s="303"/>
      <c r="AS20" s="303"/>
      <c r="AT20" s="303"/>
      <c r="AU20" s="303"/>
      <c r="AV20" s="304"/>
      <c r="AW20" s="303">
        <v>20</v>
      </c>
      <c r="AX20" s="303">
        <v>20</v>
      </c>
      <c r="AY20" s="303">
        <v>20</v>
      </c>
      <c r="AZ20" s="303">
        <v>20</v>
      </c>
      <c r="BA20" s="304">
        <v>20</v>
      </c>
      <c r="BB20" s="307">
        <v>14000</v>
      </c>
      <c r="BC20" s="307">
        <v>13000</v>
      </c>
      <c r="BD20" s="307">
        <v>12000</v>
      </c>
      <c r="BE20" s="307">
        <v>11000</v>
      </c>
      <c r="BF20" s="308">
        <v>11000</v>
      </c>
      <c r="BG20" s="307">
        <v>5000</v>
      </c>
      <c r="BH20" s="307">
        <v>5000</v>
      </c>
      <c r="BI20" s="307">
        <v>5000</v>
      </c>
      <c r="BJ20" s="307">
        <v>5000</v>
      </c>
      <c r="BK20" s="308">
        <v>5000</v>
      </c>
      <c r="BL20" s="307">
        <v>200</v>
      </c>
      <c r="BM20" s="307">
        <v>200</v>
      </c>
      <c r="BN20" s="307">
        <v>200</v>
      </c>
      <c r="BO20" s="307">
        <v>200</v>
      </c>
      <c r="BP20" s="308">
        <v>200</v>
      </c>
      <c r="BQ20" s="309">
        <v>0</v>
      </c>
      <c r="BR20" s="307">
        <v>0</v>
      </c>
      <c r="BS20" s="307">
        <v>0</v>
      </c>
      <c r="BT20" s="307">
        <v>0</v>
      </c>
      <c r="BU20" s="308">
        <v>0</v>
      </c>
      <c r="BV20" s="310" t="s">
        <v>356</v>
      </c>
      <c r="BW20" s="307">
        <v>1400</v>
      </c>
      <c r="BX20" s="307">
        <v>1300</v>
      </c>
      <c r="BY20" s="307">
        <v>1200</v>
      </c>
      <c r="BZ20" s="307">
        <v>1100</v>
      </c>
      <c r="CA20" s="308">
        <v>1100</v>
      </c>
      <c r="CB20" s="307">
        <v>500</v>
      </c>
      <c r="CC20" s="307">
        <v>500</v>
      </c>
      <c r="CD20" s="307">
        <v>500</v>
      </c>
      <c r="CE20" s="307">
        <v>500</v>
      </c>
      <c r="CF20" s="308">
        <v>500</v>
      </c>
      <c r="CG20" s="309">
        <v>20</v>
      </c>
      <c r="CH20" s="307">
        <v>20</v>
      </c>
      <c r="CI20" s="307">
        <v>20</v>
      </c>
      <c r="CJ20" s="307">
        <v>20</v>
      </c>
      <c r="CK20" s="308">
        <v>20</v>
      </c>
    </row>
    <row r="21" spans="1:89" s="298" customFormat="1" x14ac:dyDescent="0.2">
      <c r="A21" s="299" t="s">
        <v>357</v>
      </c>
      <c r="B21" s="300" t="s">
        <v>457</v>
      </c>
      <c r="C21" s="301" t="s">
        <v>358</v>
      </c>
      <c r="D21" s="302" t="s">
        <v>454</v>
      </c>
      <c r="E21" s="303" t="s">
        <v>454</v>
      </c>
      <c r="F21" s="303" t="s">
        <v>454</v>
      </c>
      <c r="G21" s="303" t="s">
        <v>454</v>
      </c>
      <c r="H21" s="304" t="s">
        <v>454</v>
      </c>
      <c r="I21" s="303"/>
      <c r="J21" s="303"/>
      <c r="K21" s="303"/>
      <c r="L21" s="303"/>
      <c r="M21" s="304"/>
      <c r="N21" s="303">
        <v>100</v>
      </c>
      <c r="O21" s="303">
        <v>100</v>
      </c>
      <c r="P21" s="303">
        <v>100</v>
      </c>
      <c r="Q21" s="303">
        <v>100</v>
      </c>
      <c r="R21" s="304">
        <v>100</v>
      </c>
      <c r="S21" s="303"/>
      <c r="T21" s="303"/>
      <c r="U21" s="303"/>
      <c r="V21" s="303"/>
      <c r="W21" s="304"/>
      <c r="X21" s="303">
        <v>100</v>
      </c>
      <c r="Y21" s="303">
        <v>100</v>
      </c>
      <c r="Z21" s="303">
        <v>100</v>
      </c>
      <c r="AA21" s="303">
        <v>100</v>
      </c>
      <c r="AB21" s="304">
        <v>100</v>
      </c>
      <c r="AC21" s="305">
        <v>3.3</v>
      </c>
      <c r="AD21" s="305">
        <v>3.5</v>
      </c>
      <c r="AE21" s="305">
        <v>4</v>
      </c>
      <c r="AF21" s="305">
        <v>4.5</v>
      </c>
      <c r="AG21" s="306">
        <v>4.5</v>
      </c>
      <c r="AH21" s="305">
        <v>0</v>
      </c>
      <c r="AI21" s="305">
        <v>0</v>
      </c>
      <c r="AJ21" s="305">
        <v>0</v>
      </c>
      <c r="AK21" s="305">
        <v>0</v>
      </c>
      <c r="AL21" s="306">
        <v>0</v>
      </c>
      <c r="AM21" s="305">
        <v>0</v>
      </c>
      <c r="AN21" s="305">
        <v>0</v>
      </c>
      <c r="AO21" s="305">
        <v>0</v>
      </c>
      <c r="AP21" s="305">
        <v>0</v>
      </c>
      <c r="AQ21" s="306">
        <v>0</v>
      </c>
      <c r="AR21" s="303"/>
      <c r="AS21" s="303"/>
      <c r="AT21" s="303"/>
      <c r="AU21" s="303"/>
      <c r="AV21" s="304"/>
      <c r="AW21" s="303">
        <v>20</v>
      </c>
      <c r="AX21" s="303">
        <v>20</v>
      </c>
      <c r="AY21" s="303">
        <v>20</v>
      </c>
      <c r="AZ21" s="303">
        <v>20</v>
      </c>
      <c r="BA21" s="304">
        <v>20</v>
      </c>
      <c r="BB21" s="307">
        <v>360000</v>
      </c>
      <c r="BC21" s="307">
        <v>360000</v>
      </c>
      <c r="BD21" s="307">
        <v>320000</v>
      </c>
      <c r="BE21" s="307">
        <v>280000</v>
      </c>
      <c r="BF21" s="308">
        <v>280000</v>
      </c>
      <c r="BG21" s="307">
        <v>540</v>
      </c>
      <c r="BH21" s="307">
        <v>540</v>
      </c>
      <c r="BI21" s="307">
        <v>540</v>
      </c>
      <c r="BJ21" s="307">
        <v>540</v>
      </c>
      <c r="BK21" s="308">
        <v>540</v>
      </c>
      <c r="BL21" s="307">
        <v>600</v>
      </c>
      <c r="BM21" s="307">
        <v>600</v>
      </c>
      <c r="BN21" s="307">
        <v>600</v>
      </c>
      <c r="BO21" s="307">
        <v>600</v>
      </c>
      <c r="BP21" s="308">
        <v>600</v>
      </c>
      <c r="BQ21" s="309">
        <v>0</v>
      </c>
      <c r="BR21" s="307">
        <v>0</v>
      </c>
      <c r="BS21" s="307">
        <v>0</v>
      </c>
      <c r="BT21" s="307">
        <v>0</v>
      </c>
      <c r="BU21" s="308">
        <v>0</v>
      </c>
      <c r="BV21" s="310" t="s">
        <v>356</v>
      </c>
      <c r="BW21" s="316">
        <v>900</v>
      </c>
      <c r="BX21" s="316">
        <v>900</v>
      </c>
      <c r="BY21" s="316">
        <v>800</v>
      </c>
      <c r="BZ21" s="316">
        <v>700</v>
      </c>
      <c r="CA21" s="317">
        <v>700</v>
      </c>
      <c r="CB21" s="325">
        <v>1.35</v>
      </c>
      <c r="CC21" s="311">
        <v>1.35</v>
      </c>
      <c r="CD21" s="311">
        <v>1.35</v>
      </c>
      <c r="CE21" s="311">
        <v>1.35</v>
      </c>
      <c r="CF21" s="312">
        <v>1.35</v>
      </c>
      <c r="CG21" s="313">
        <v>1.5</v>
      </c>
      <c r="CH21" s="311">
        <v>1.5</v>
      </c>
      <c r="CI21" s="311">
        <v>1.5</v>
      </c>
      <c r="CJ21" s="311">
        <v>1.5</v>
      </c>
      <c r="CK21" s="312">
        <v>1.5</v>
      </c>
    </row>
    <row r="22" spans="1:89" s="298" customFormat="1" x14ac:dyDescent="0.2">
      <c r="A22" s="299" t="s">
        <v>359</v>
      </c>
      <c r="B22" s="300" t="s">
        <v>458</v>
      </c>
      <c r="C22" s="301" t="s">
        <v>359</v>
      </c>
      <c r="D22" s="322">
        <v>15</v>
      </c>
      <c r="E22" s="318">
        <v>15</v>
      </c>
      <c r="F22" s="318">
        <v>15</v>
      </c>
      <c r="G22" s="318">
        <v>15</v>
      </c>
      <c r="H22" s="319">
        <v>15</v>
      </c>
      <c r="I22" s="303"/>
      <c r="J22" s="303"/>
      <c r="K22" s="303"/>
      <c r="L22" s="303"/>
      <c r="M22" s="304"/>
      <c r="N22" s="303">
        <v>0</v>
      </c>
      <c r="O22" s="303">
        <v>0</v>
      </c>
      <c r="P22" s="303">
        <v>0</v>
      </c>
      <c r="Q22" s="303">
        <v>0</v>
      </c>
      <c r="R22" s="304">
        <v>0</v>
      </c>
      <c r="S22" s="303"/>
      <c r="T22" s="303"/>
      <c r="U22" s="303"/>
      <c r="V22" s="303"/>
      <c r="W22" s="304"/>
      <c r="X22" s="303">
        <v>0</v>
      </c>
      <c r="Y22" s="303">
        <v>0</v>
      </c>
      <c r="Z22" s="303">
        <v>0</v>
      </c>
      <c r="AA22" s="303">
        <v>0</v>
      </c>
      <c r="AB22" s="304">
        <v>0</v>
      </c>
      <c r="AC22" s="305">
        <v>0</v>
      </c>
      <c r="AD22" s="305">
        <v>0</v>
      </c>
      <c r="AE22" s="305">
        <v>0</v>
      </c>
      <c r="AF22" s="305">
        <v>0</v>
      </c>
      <c r="AG22" s="306">
        <v>0</v>
      </c>
      <c r="AH22" s="305">
        <v>0</v>
      </c>
      <c r="AI22" s="305">
        <v>0</v>
      </c>
      <c r="AJ22" s="305">
        <v>0</v>
      </c>
      <c r="AK22" s="305">
        <v>0</v>
      </c>
      <c r="AL22" s="306">
        <v>0</v>
      </c>
      <c r="AM22" s="305">
        <v>0</v>
      </c>
      <c r="AN22" s="305">
        <v>0</v>
      </c>
      <c r="AO22" s="305">
        <v>0</v>
      </c>
      <c r="AP22" s="305">
        <v>0</v>
      </c>
      <c r="AQ22" s="306">
        <v>0</v>
      </c>
      <c r="AR22" s="303"/>
      <c r="AS22" s="303"/>
      <c r="AT22" s="303"/>
      <c r="AU22" s="303"/>
      <c r="AV22" s="304"/>
      <c r="AW22" s="303">
        <v>0</v>
      </c>
      <c r="AX22" s="303">
        <v>0</v>
      </c>
      <c r="AY22" s="303">
        <v>0</v>
      </c>
      <c r="AZ22" s="303">
        <v>0</v>
      </c>
      <c r="BA22" s="304">
        <v>0</v>
      </c>
      <c r="BB22" s="311">
        <v>16350</v>
      </c>
      <c r="BC22" s="311">
        <v>16350</v>
      </c>
      <c r="BD22" s="311">
        <v>12262.5</v>
      </c>
      <c r="BE22" s="311">
        <v>12262.5</v>
      </c>
      <c r="BF22" s="312">
        <v>10627.5</v>
      </c>
      <c r="BG22" s="311">
        <v>9385</v>
      </c>
      <c r="BH22" s="311">
        <v>9385</v>
      </c>
      <c r="BI22" s="311">
        <v>9385</v>
      </c>
      <c r="BJ22" s="311">
        <v>9385</v>
      </c>
      <c r="BK22" s="312">
        <v>9385</v>
      </c>
      <c r="BL22" s="311">
        <v>300</v>
      </c>
      <c r="BM22" s="311">
        <v>300</v>
      </c>
      <c r="BN22" s="311">
        <v>300</v>
      </c>
      <c r="BO22" s="311">
        <v>300</v>
      </c>
      <c r="BP22" s="312">
        <v>300</v>
      </c>
      <c r="BQ22" s="309">
        <v>0</v>
      </c>
      <c r="BR22" s="307">
        <v>0</v>
      </c>
      <c r="BS22" s="307">
        <v>0</v>
      </c>
      <c r="BT22" s="307">
        <v>0</v>
      </c>
      <c r="BU22" s="308">
        <v>0</v>
      </c>
      <c r="BV22" s="310" t="s">
        <v>360</v>
      </c>
      <c r="BW22" s="307">
        <v>1090</v>
      </c>
      <c r="BX22" s="307">
        <v>1090</v>
      </c>
      <c r="BY22" s="307">
        <v>817.5</v>
      </c>
      <c r="BZ22" s="307">
        <v>817.5</v>
      </c>
      <c r="CA22" s="308">
        <v>708.5</v>
      </c>
      <c r="CB22" s="307">
        <v>625.66666666666663</v>
      </c>
      <c r="CC22" s="307">
        <v>625.66666666666663</v>
      </c>
      <c r="CD22" s="307">
        <v>625.66666666666663</v>
      </c>
      <c r="CE22" s="307">
        <v>625.66666666666663</v>
      </c>
      <c r="CF22" s="308">
        <v>625.66666666666663</v>
      </c>
      <c r="CG22" s="309">
        <v>20</v>
      </c>
      <c r="CH22" s="307">
        <v>20</v>
      </c>
      <c r="CI22" s="307">
        <v>20</v>
      </c>
      <c r="CJ22" s="307">
        <v>20</v>
      </c>
      <c r="CK22" s="308">
        <v>20</v>
      </c>
    </row>
    <row r="23" spans="1:89" s="298" customFormat="1" x14ac:dyDescent="0.2">
      <c r="A23" s="299"/>
      <c r="B23" s="300"/>
      <c r="C23" s="301" t="s">
        <v>361</v>
      </c>
      <c r="D23" s="322">
        <v>290</v>
      </c>
      <c r="E23" s="318">
        <v>290</v>
      </c>
      <c r="F23" s="318">
        <v>290</v>
      </c>
      <c r="G23" s="318">
        <v>290</v>
      </c>
      <c r="H23" s="319">
        <v>290</v>
      </c>
      <c r="I23" s="303"/>
      <c r="J23" s="303"/>
      <c r="K23" s="303"/>
      <c r="L23" s="303"/>
      <c r="M23" s="304"/>
      <c r="N23" s="303"/>
      <c r="O23" s="303"/>
      <c r="P23" s="303"/>
      <c r="Q23" s="303"/>
      <c r="R23" s="304"/>
      <c r="S23" s="303"/>
      <c r="T23" s="303"/>
      <c r="U23" s="303"/>
      <c r="V23" s="303"/>
      <c r="W23" s="304"/>
      <c r="X23" s="303"/>
      <c r="Y23" s="303"/>
      <c r="Z23" s="303"/>
      <c r="AA23" s="303"/>
      <c r="AB23" s="304"/>
      <c r="AC23" s="305">
        <v>0</v>
      </c>
      <c r="AD23" s="305">
        <v>0</v>
      </c>
      <c r="AE23" s="305">
        <v>0</v>
      </c>
      <c r="AF23" s="305">
        <v>0</v>
      </c>
      <c r="AG23" s="306">
        <v>0</v>
      </c>
      <c r="AH23" s="305">
        <v>0</v>
      </c>
      <c r="AI23" s="305">
        <v>0</v>
      </c>
      <c r="AJ23" s="305">
        <v>0</v>
      </c>
      <c r="AK23" s="305">
        <v>0</v>
      </c>
      <c r="AL23" s="306">
        <v>0</v>
      </c>
      <c r="AM23" s="305">
        <v>0</v>
      </c>
      <c r="AN23" s="305">
        <v>0</v>
      </c>
      <c r="AO23" s="305">
        <v>0</v>
      </c>
      <c r="AP23" s="305">
        <v>0</v>
      </c>
      <c r="AQ23" s="306">
        <v>0</v>
      </c>
      <c r="AR23" s="303"/>
      <c r="AS23" s="303"/>
      <c r="AT23" s="303"/>
      <c r="AU23" s="303"/>
      <c r="AV23" s="304"/>
      <c r="AW23" s="303"/>
      <c r="AX23" s="303"/>
      <c r="AY23" s="303"/>
      <c r="AZ23" s="303"/>
      <c r="BA23" s="304"/>
      <c r="BB23" s="311">
        <v>87000</v>
      </c>
      <c r="BC23" s="311">
        <v>87000</v>
      </c>
      <c r="BD23" s="311">
        <v>65250</v>
      </c>
      <c r="BE23" s="311">
        <v>65250</v>
      </c>
      <c r="BF23" s="312">
        <v>56550</v>
      </c>
      <c r="BG23" s="311">
        <v>18770</v>
      </c>
      <c r="BH23" s="311">
        <v>18770</v>
      </c>
      <c r="BI23" s="311">
        <v>18770</v>
      </c>
      <c r="BJ23" s="311">
        <v>18770</v>
      </c>
      <c r="BK23" s="312">
        <v>18770</v>
      </c>
      <c r="BL23" s="311">
        <v>300</v>
      </c>
      <c r="BM23" s="311">
        <v>300</v>
      </c>
      <c r="BN23" s="311">
        <v>300</v>
      </c>
      <c r="BO23" s="311">
        <v>300</v>
      </c>
      <c r="BP23" s="312">
        <v>300</v>
      </c>
      <c r="BQ23" s="309"/>
      <c r="BR23" s="307"/>
      <c r="BS23" s="307"/>
      <c r="BT23" s="307"/>
      <c r="BU23" s="308"/>
      <c r="BV23" s="310"/>
      <c r="BW23" s="307">
        <v>300</v>
      </c>
      <c r="BX23" s="307">
        <v>300</v>
      </c>
      <c r="BY23" s="307">
        <v>225</v>
      </c>
      <c r="BZ23" s="307">
        <v>225</v>
      </c>
      <c r="CA23" s="308">
        <v>195</v>
      </c>
      <c r="CB23" s="307">
        <v>64.724137931034477</v>
      </c>
      <c r="CC23" s="307">
        <v>64.724137931034477</v>
      </c>
      <c r="CD23" s="307">
        <v>64.724137931034477</v>
      </c>
      <c r="CE23" s="307">
        <v>64.724137931034477</v>
      </c>
      <c r="CF23" s="308">
        <v>64.724137931034477</v>
      </c>
      <c r="CG23" s="309">
        <v>1.0344827586206897</v>
      </c>
      <c r="CH23" s="307">
        <v>1.0344827586206897</v>
      </c>
      <c r="CI23" s="307">
        <v>1.0344827586206897</v>
      </c>
      <c r="CJ23" s="307">
        <v>1.0344827586206897</v>
      </c>
      <c r="CK23" s="308">
        <v>1.0344827586206897</v>
      </c>
    </row>
    <row r="24" spans="1:89" s="298" customFormat="1" x14ac:dyDescent="0.2">
      <c r="A24" s="299" t="s">
        <v>362</v>
      </c>
      <c r="B24" s="300" t="s">
        <v>459</v>
      </c>
      <c r="C24" s="301" t="s">
        <v>363</v>
      </c>
      <c r="D24" s="302">
        <v>2</v>
      </c>
      <c r="E24" s="303">
        <v>2</v>
      </c>
      <c r="F24" s="303">
        <v>2</v>
      </c>
      <c r="G24" s="303">
        <v>2</v>
      </c>
      <c r="H24" s="304">
        <v>2</v>
      </c>
      <c r="I24" s="303"/>
      <c r="J24" s="303"/>
      <c r="K24" s="303"/>
      <c r="L24" s="303"/>
      <c r="M24" s="304"/>
      <c r="N24" s="303">
        <v>40</v>
      </c>
      <c r="O24" s="303">
        <v>40</v>
      </c>
      <c r="P24" s="303">
        <v>40</v>
      </c>
      <c r="Q24" s="303">
        <v>40</v>
      </c>
      <c r="R24" s="304">
        <v>40</v>
      </c>
      <c r="S24" s="303"/>
      <c r="T24" s="303"/>
      <c r="U24" s="303"/>
      <c r="V24" s="303"/>
      <c r="W24" s="304"/>
      <c r="X24" s="303">
        <v>0</v>
      </c>
      <c r="Y24" s="303">
        <v>0</v>
      </c>
      <c r="Z24" s="303">
        <v>0</v>
      </c>
      <c r="AA24" s="303">
        <v>0</v>
      </c>
      <c r="AB24" s="304">
        <v>0</v>
      </c>
      <c r="AC24" s="305">
        <v>3</v>
      </c>
      <c r="AD24" s="305">
        <v>3.1</v>
      </c>
      <c r="AE24" s="305">
        <v>3.4</v>
      </c>
      <c r="AF24" s="305">
        <v>3.5</v>
      </c>
      <c r="AG24" s="306">
        <v>3.5</v>
      </c>
      <c r="AH24" s="305">
        <v>0</v>
      </c>
      <c r="AI24" s="305">
        <v>0</v>
      </c>
      <c r="AJ24" s="305">
        <v>0</v>
      </c>
      <c r="AK24" s="305">
        <v>0</v>
      </c>
      <c r="AL24" s="306">
        <v>0</v>
      </c>
      <c r="AM24" s="305">
        <v>0</v>
      </c>
      <c r="AN24" s="305">
        <v>0</v>
      </c>
      <c r="AO24" s="305">
        <v>0</v>
      </c>
      <c r="AP24" s="305">
        <v>0</v>
      </c>
      <c r="AQ24" s="306">
        <v>0</v>
      </c>
      <c r="AR24" s="303"/>
      <c r="AS24" s="303"/>
      <c r="AT24" s="303"/>
      <c r="AU24" s="303"/>
      <c r="AV24" s="304"/>
      <c r="AW24" s="303">
        <v>20</v>
      </c>
      <c r="AX24" s="303">
        <v>20</v>
      </c>
      <c r="AY24" s="303">
        <v>20</v>
      </c>
      <c r="AZ24" s="303">
        <v>20</v>
      </c>
      <c r="BA24" s="304">
        <v>20</v>
      </c>
      <c r="BB24" s="307">
        <v>2000</v>
      </c>
      <c r="BC24" s="307">
        <v>1900</v>
      </c>
      <c r="BD24" s="307">
        <v>1800</v>
      </c>
      <c r="BE24" s="307">
        <v>1700</v>
      </c>
      <c r="BF24" s="308">
        <v>1700</v>
      </c>
      <c r="BG24" s="307">
        <v>0</v>
      </c>
      <c r="BH24" s="307">
        <v>0</v>
      </c>
      <c r="BI24" s="307">
        <v>0</v>
      </c>
      <c r="BJ24" s="307">
        <v>0</v>
      </c>
      <c r="BK24" s="308">
        <v>0</v>
      </c>
      <c r="BL24" s="307">
        <v>150</v>
      </c>
      <c r="BM24" s="307">
        <v>150</v>
      </c>
      <c r="BN24" s="307">
        <v>150</v>
      </c>
      <c r="BO24" s="307">
        <v>150</v>
      </c>
      <c r="BP24" s="308">
        <v>150</v>
      </c>
      <c r="BQ24" s="309">
        <v>0</v>
      </c>
      <c r="BR24" s="307">
        <v>0</v>
      </c>
      <c r="BS24" s="307">
        <v>0</v>
      </c>
      <c r="BT24" s="307">
        <v>0</v>
      </c>
      <c r="BU24" s="308">
        <v>0</v>
      </c>
      <c r="BV24" s="326"/>
      <c r="BW24" s="307">
        <v>1000</v>
      </c>
      <c r="BX24" s="307">
        <v>950</v>
      </c>
      <c r="BY24" s="307">
        <v>900</v>
      </c>
      <c r="BZ24" s="307">
        <v>850</v>
      </c>
      <c r="CA24" s="308">
        <v>850</v>
      </c>
      <c r="CB24" s="307">
        <v>0</v>
      </c>
      <c r="CC24" s="307">
        <v>0</v>
      </c>
      <c r="CD24" s="307">
        <v>0</v>
      </c>
      <c r="CE24" s="307">
        <v>0</v>
      </c>
      <c r="CF24" s="308">
        <v>0</v>
      </c>
      <c r="CG24" s="309">
        <v>75</v>
      </c>
      <c r="CH24" s="307">
        <v>75</v>
      </c>
      <c r="CI24" s="307">
        <v>75</v>
      </c>
      <c r="CJ24" s="307">
        <v>75</v>
      </c>
      <c r="CK24" s="308">
        <v>75</v>
      </c>
    </row>
    <row r="25" spans="1:89" s="298" customFormat="1" x14ac:dyDescent="0.2">
      <c r="A25" s="299" t="s">
        <v>364</v>
      </c>
      <c r="B25" s="300" t="s">
        <v>460</v>
      </c>
      <c r="C25" s="301" t="s">
        <v>365</v>
      </c>
      <c r="D25" s="302" t="s">
        <v>461</v>
      </c>
      <c r="E25" s="303" t="s">
        <v>461</v>
      </c>
      <c r="F25" s="303" t="s">
        <v>461</v>
      </c>
      <c r="G25" s="303" t="s">
        <v>461</v>
      </c>
      <c r="H25" s="304" t="s">
        <v>461</v>
      </c>
      <c r="I25" s="303"/>
      <c r="J25" s="303"/>
      <c r="K25" s="303"/>
      <c r="L25" s="303"/>
      <c r="M25" s="304"/>
      <c r="N25" s="303">
        <v>40</v>
      </c>
      <c r="O25" s="303">
        <v>40</v>
      </c>
      <c r="P25" s="303">
        <v>40</v>
      </c>
      <c r="Q25" s="303">
        <v>40</v>
      </c>
      <c r="R25" s="304">
        <v>40</v>
      </c>
      <c r="S25" s="303"/>
      <c r="T25" s="303"/>
      <c r="U25" s="303"/>
      <c r="V25" s="303"/>
      <c r="W25" s="304"/>
      <c r="X25" s="303">
        <v>0</v>
      </c>
      <c r="Y25" s="303">
        <v>0</v>
      </c>
      <c r="Z25" s="303">
        <v>0</v>
      </c>
      <c r="AA25" s="303">
        <v>0</v>
      </c>
      <c r="AB25" s="304">
        <v>0</v>
      </c>
      <c r="AC25" s="305">
        <v>3</v>
      </c>
      <c r="AD25" s="305">
        <v>3.1</v>
      </c>
      <c r="AE25" s="305">
        <v>3.4</v>
      </c>
      <c r="AF25" s="305">
        <v>3.5</v>
      </c>
      <c r="AG25" s="306">
        <v>3.5</v>
      </c>
      <c r="AH25" s="305">
        <v>0</v>
      </c>
      <c r="AI25" s="305">
        <v>0</v>
      </c>
      <c r="AJ25" s="305">
        <v>0</v>
      </c>
      <c r="AK25" s="305">
        <v>0</v>
      </c>
      <c r="AL25" s="306">
        <v>0</v>
      </c>
      <c r="AM25" s="305">
        <v>0</v>
      </c>
      <c r="AN25" s="305">
        <v>0</v>
      </c>
      <c r="AO25" s="305">
        <v>0</v>
      </c>
      <c r="AP25" s="305">
        <v>0</v>
      </c>
      <c r="AQ25" s="306">
        <v>0</v>
      </c>
      <c r="AR25" s="303"/>
      <c r="AS25" s="303"/>
      <c r="AT25" s="303"/>
      <c r="AU25" s="303"/>
      <c r="AV25" s="304"/>
      <c r="AW25" s="303">
        <v>20</v>
      </c>
      <c r="AX25" s="303">
        <v>20</v>
      </c>
      <c r="AY25" s="303">
        <v>20</v>
      </c>
      <c r="AZ25" s="303">
        <v>20</v>
      </c>
      <c r="BA25" s="304">
        <v>20</v>
      </c>
      <c r="BB25" s="307">
        <v>85600</v>
      </c>
      <c r="BC25" s="307">
        <v>85600</v>
      </c>
      <c r="BD25" s="307">
        <v>74900</v>
      </c>
      <c r="BE25" s="307">
        <v>74900</v>
      </c>
      <c r="BF25" s="308">
        <v>74900</v>
      </c>
      <c r="BG25" s="307">
        <v>0</v>
      </c>
      <c r="BH25" s="307">
        <v>0</v>
      </c>
      <c r="BI25" s="307">
        <v>0</v>
      </c>
      <c r="BJ25" s="307">
        <v>0</v>
      </c>
      <c r="BK25" s="308">
        <v>0</v>
      </c>
      <c r="BL25" s="307">
        <v>450</v>
      </c>
      <c r="BM25" s="307">
        <v>450</v>
      </c>
      <c r="BN25" s="307">
        <v>450</v>
      </c>
      <c r="BO25" s="307">
        <v>450</v>
      </c>
      <c r="BP25" s="308">
        <v>450</v>
      </c>
      <c r="BQ25" s="309">
        <v>0</v>
      </c>
      <c r="BR25" s="307">
        <v>0</v>
      </c>
      <c r="BS25" s="307">
        <v>0</v>
      </c>
      <c r="BT25" s="307">
        <v>0</v>
      </c>
      <c r="BU25" s="308">
        <v>0</v>
      </c>
      <c r="BV25" s="326"/>
      <c r="BW25" s="316">
        <v>800</v>
      </c>
      <c r="BX25" s="316">
        <v>800</v>
      </c>
      <c r="BY25" s="316">
        <v>700</v>
      </c>
      <c r="BZ25" s="316">
        <v>700</v>
      </c>
      <c r="CA25" s="317">
        <v>700</v>
      </c>
      <c r="CB25" s="307" t="s">
        <v>455</v>
      </c>
      <c r="CC25" s="307" t="s">
        <v>455</v>
      </c>
      <c r="CD25" s="307" t="s">
        <v>455</v>
      </c>
      <c r="CE25" s="307" t="s">
        <v>455</v>
      </c>
      <c r="CF25" s="308" t="s">
        <v>455</v>
      </c>
      <c r="CG25" s="313">
        <v>4.2056074766355138</v>
      </c>
      <c r="CH25" s="311">
        <v>4.2056074766355138</v>
      </c>
      <c r="CI25" s="311">
        <v>4.2056074766355138</v>
      </c>
      <c r="CJ25" s="311">
        <v>4.2056074766355138</v>
      </c>
      <c r="CK25" s="312">
        <v>4.2056074766355138</v>
      </c>
    </row>
    <row r="26" spans="1:89" s="298" customFormat="1" x14ac:dyDescent="0.2">
      <c r="A26" s="300" t="s">
        <v>529</v>
      </c>
      <c r="B26" s="300" t="s">
        <v>530</v>
      </c>
      <c r="C26" s="300" t="s">
        <v>363</v>
      </c>
      <c r="D26" s="302">
        <v>3.6</v>
      </c>
      <c r="E26" s="303">
        <v>3.6</v>
      </c>
      <c r="F26" s="303">
        <v>3.6</v>
      </c>
      <c r="G26" s="303">
        <v>3.6</v>
      </c>
      <c r="H26" s="304">
        <v>3.6</v>
      </c>
      <c r="I26" s="303">
        <v>2.5</v>
      </c>
      <c r="J26" s="303">
        <v>2.5</v>
      </c>
      <c r="K26" s="303">
        <v>2.5</v>
      </c>
      <c r="L26" s="303">
        <v>2.5</v>
      </c>
      <c r="M26" s="304">
        <v>2.5</v>
      </c>
      <c r="N26" s="303">
        <v>100</v>
      </c>
      <c r="O26" s="303">
        <v>100</v>
      </c>
      <c r="P26" s="303">
        <v>100</v>
      </c>
      <c r="Q26" s="303">
        <v>100</v>
      </c>
      <c r="R26" s="304">
        <v>100</v>
      </c>
      <c r="S26" s="303">
        <v>100</v>
      </c>
      <c r="T26" s="303">
        <v>100</v>
      </c>
      <c r="U26" s="303">
        <v>100</v>
      </c>
      <c r="V26" s="303">
        <v>100</v>
      </c>
      <c r="W26" s="304">
        <v>100</v>
      </c>
      <c r="X26" s="303">
        <v>0</v>
      </c>
      <c r="Y26" s="303">
        <v>0</v>
      </c>
      <c r="Z26" s="303">
        <v>0</v>
      </c>
      <c r="AA26" s="303">
        <v>0</v>
      </c>
      <c r="AB26" s="304">
        <v>0</v>
      </c>
      <c r="AC26" s="367">
        <v>0</v>
      </c>
      <c r="AD26" s="367">
        <v>0</v>
      </c>
      <c r="AE26" s="367">
        <v>0</v>
      </c>
      <c r="AF26" s="367">
        <v>0</v>
      </c>
      <c r="AG26" s="368">
        <v>0</v>
      </c>
      <c r="AH26" s="334">
        <v>3</v>
      </c>
      <c r="AI26" s="334">
        <v>3.1</v>
      </c>
      <c r="AJ26" s="334">
        <v>3.4</v>
      </c>
      <c r="AK26" s="334">
        <v>3.5</v>
      </c>
      <c r="AL26" s="369">
        <v>3.5</v>
      </c>
      <c r="AM26" s="334">
        <v>3</v>
      </c>
      <c r="AN26" s="334">
        <v>3.1</v>
      </c>
      <c r="AO26" s="334">
        <v>3.4</v>
      </c>
      <c r="AP26" s="334">
        <v>3.5</v>
      </c>
      <c r="AQ26" s="369">
        <v>3.5</v>
      </c>
      <c r="AR26" s="303">
        <v>0</v>
      </c>
      <c r="AS26" s="303">
        <v>0</v>
      </c>
      <c r="AT26" s="303">
        <v>0</v>
      </c>
      <c r="AU26" s="303">
        <v>0</v>
      </c>
      <c r="AV26" s="304">
        <v>0</v>
      </c>
      <c r="AW26" s="318">
        <v>20</v>
      </c>
      <c r="AX26" s="318">
        <v>20</v>
      </c>
      <c r="AY26" s="318">
        <v>20</v>
      </c>
      <c r="AZ26" s="318">
        <v>20</v>
      </c>
      <c r="BA26" s="319">
        <v>20</v>
      </c>
      <c r="BB26" s="307">
        <v>1875</v>
      </c>
      <c r="BC26" s="307">
        <v>1781.25</v>
      </c>
      <c r="BD26" s="307">
        <v>1593.75</v>
      </c>
      <c r="BE26" s="307">
        <v>1500</v>
      </c>
      <c r="BF26" s="308">
        <v>1406.25</v>
      </c>
      <c r="BG26" s="311">
        <v>1500</v>
      </c>
      <c r="BH26" s="311">
        <v>1500</v>
      </c>
      <c r="BI26" s="311">
        <v>1500</v>
      </c>
      <c r="BJ26" s="311">
        <v>1500</v>
      </c>
      <c r="BK26" s="312">
        <v>1500</v>
      </c>
      <c r="BL26" s="307">
        <v>294.44</v>
      </c>
      <c r="BM26" s="307">
        <v>294.44</v>
      </c>
      <c r="BN26" s="307">
        <v>294.44</v>
      </c>
      <c r="BO26" s="307">
        <v>294.44</v>
      </c>
      <c r="BP26" s="308">
        <v>294.44</v>
      </c>
      <c r="BQ26" s="307"/>
      <c r="BR26" s="307"/>
      <c r="BS26" s="307"/>
      <c r="BT26" s="307"/>
      <c r="BU26" s="308"/>
      <c r="BV26" s="310"/>
      <c r="BW26" s="309">
        <v>520.83333333333337</v>
      </c>
      <c r="BX26" s="307">
        <v>494.79166666666663</v>
      </c>
      <c r="BY26" s="307">
        <v>442.70833333333331</v>
      </c>
      <c r="BZ26" s="307">
        <v>416.66666666666663</v>
      </c>
      <c r="CA26" s="308">
        <v>390.625</v>
      </c>
      <c r="CB26" s="309">
        <v>416.66666666666663</v>
      </c>
      <c r="CC26" s="307">
        <v>416.66666666666663</v>
      </c>
      <c r="CD26" s="307">
        <v>416.66666666666663</v>
      </c>
      <c r="CE26" s="307">
        <v>416.66666666666663</v>
      </c>
      <c r="CF26" s="308">
        <v>416.66666666666663</v>
      </c>
      <c r="CG26" s="309">
        <v>81.788888888888891</v>
      </c>
      <c r="CH26" s="307">
        <v>81.788888888888891</v>
      </c>
      <c r="CI26" s="307">
        <v>81.788888888888891</v>
      </c>
      <c r="CJ26" s="307">
        <v>81.788888888888891</v>
      </c>
      <c r="CK26" s="308">
        <v>81.788888888888891</v>
      </c>
    </row>
    <row r="27" spans="1:89" s="298" customFormat="1" x14ac:dyDescent="0.2">
      <c r="A27" s="291" t="s">
        <v>366</v>
      </c>
      <c r="B27" s="292"/>
      <c r="C27" s="293"/>
      <c r="D27" s="294"/>
      <c r="E27" s="295"/>
      <c r="F27" s="295"/>
      <c r="G27" s="295"/>
      <c r="H27" s="296"/>
      <c r="I27" s="295"/>
      <c r="J27" s="295"/>
      <c r="K27" s="295"/>
      <c r="L27" s="295"/>
      <c r="M27" s="296"/>
      <c r="N27" s="295"/>
      <c r="O27" s="295"/>
      <c r="P27" s="295"/>
      <c r="Q27" s="295"/>
      <c r="R27" s="296"/>
      <c r="S27" s="295"/>
      <c r="T27" s="295"/>
      <c r="U27" s="295"/>
      <c r="V27" s="295"/>
      <c r="W27" s="296"/>
      <c r="X27" s="295"/>
      <c r="Y27" s="295"/>
      <c r="Z27" s="295"/>
      <c r="AA27" s="295"/>
      <c r="AB27" s="296"/>
      <c r="AC27" s="320">
        <v>0</v>
      </c>
      <c r="AD27" s="320">
        <v>0</v>
      </c>
      <c r="AE27" s="320">
        <v>0</v>
      </c>
      <c r="AF27" s="320">
        <v>0</v>
      </c>
      <c r="AG27" s="321">
        <v>0</v>
      </c>
      <c r="AH27" s="320">
        <v>0</v>
      </c>
      <c r="AI27" s="320">
        <v>0</v>
      </c>
      <c r="AJ27" s="320">
        <v>0</v>
      </c>
      <c r="AK27" s="320">
        <v>0</v>
      </c>
      <c r="AL27" s="321">
        <v>0</v>
      </c>
      <c r="AM27" s="320">
        <v>0</v>
      </c>
      <c r="AN27" s="320">
        <v>0</v>
      </c>
      <c r="AO27" s="320">
        <v>0</v>
      </c>
      <c r="AP27" s="320">
        <v>0</v>
      </c>
      <c r="AQ27" s="321">
        <v>0</v>
      </c>
      <c r="AR27" s="295"/>
      <c r="AS27" s="295"/>
      <c r="AT27" s="295"/>
      <c r="AU27" s="295"/>
      <c r="AV27" s="296"/>
      <c r="AW27" s="295"/>
      <c r="AX27" s="295"/>
      <c r="AY27" s="295"/>
      <c r="AZ27" s="295"/>
      <c r="BA27" s="296"/>
      <c r="BB27" s="295">
        <v>0</v>
      </c>
      <c r="BC27" s="295">
        <v>0</v>
      </c>
      <c r="BD27" s="295">
        <v>0</v>
      </c>
      <c r="BE27" s="295">
        <v>0</v>
      </c>
      <c r="BF27" s="296">
        <v>0</v>
      </c>
      <c r="BG27" s="295">
        <v>0</v>
      </c>
      <c r="BH27" s="295">
        <v>0</v>
      </c>
      <c r="BI27" s="295">
        <v>0</v>
      </c>
      <c r="BJ27" s="295">
        <v>0</v>
      </c>
      <c r="BK27" s="296">
        <v>0</v>
      </c>
      <c r="BL27" s="295"/>
      <c r="BM27" s="295"/>
      <c r="BN27" s="295"/>
      <c r="BO27" s="295"/>
      <c r="BP27" s="296"/>
      <c r="BQ27" s="294"/>
      <c r="BR27" s="295"/>
      <c r="BS27" s="295"/>
      <c r="BT27" s="295"/>
      <c r="BU27" s="296"/>
      <c r="BV27" s="297"/>
      <c r="BW27" s="295"/>
      <c r="BX27" s="295"/>
      <c r="BY27" s="295"/>
      <c r="BZ27" s="295"/>
      <c r="CA27" s="296"/>
      <c r="CB27" s="295"/>
      <c r="CC27" s="295"/>
      <c r="CD27" s="295"/>
      <c r="CE27" s="295"/>
      <c r="CF27" s="296"/>
      <c r="CG27" s="294"/>
      <c r="CH27" s="295"/>
      <c r="CI27" s="295"/>
      <c r="CJ27" s="295"/>
      <c r="CK27" s="296"/>
    </row>
    <row r="28" spans="1:89" s="298" customFormat="1" x14ac:dyDescent="0.2">
      <c r="A28" s="299" t="s">
        <v>367</v>
      </c>
      <c r="B28" s="300" t="s">
        <v>462</v>
      </c>
      <c r="C28" s="301" t="s">
        <v>368</v>
      </c>
      <c r="D28" s="302">
        <v>18</v>
      </c>
      <c r="E28" s="303">
        <v>30</v>
      </c>
      <c r="F28" s="303">
        <v>30</v>
      </c>
      <c r="G28" s="303">
        <v>30</v>
      </c>
      <c r="H28" s="304">
        <v>30</v>
      </c>
      <c r="I28" s="303"/>
      <c r="J28" s="303"/>
      <c r="K28" s="303"/>
      <c r="L28" s="303"/>
      <c r="M28" s="304"/>
      <c r="N28" s="303">
        <v>100</v>
      </c>
      <c r="O28" s="303">
        <v>100</v>
      </c>
      <c r="P28" s="303">
        <v>100</v>
      </c>
      <c r="Q28" s="303">
        <v>100</v>
      </c>
      <c r="R28" s="304">
        <v>100</v>
      </c>
      <c r="S28" s="303"/>
      <c r="T28" s="303"/>
      <c r="U28" s="303"/>
      <c r="V28" s="303"/>
      <c r="W28" s="304"/>
      <c r="X28" s="303">
        <v>100</v>
      </c>
      <c r="Y28" s="303">
        <v>100</v>
      </c>
      <c r="Z28" s="303">
        <v>100</v>
      </c>
      <c r="AA28" s="303">
        <v>100</v>
      </c>
      <c r="AB28" s="304">
        <v>100</v>
      </c>
      <c r="AC28" s="305">
        <v>1.35</v>
      </c>
      <c r="AD28" s="305">
        <v>1.45</v>
      </c>
      <c r="AE28" s="305">
        <v>1.7</v>
      </c>
      <c r="AF28" s="305">
        <v>1.7</v>
      </c>
      <c r="AG28" s="306">
        <v>1.7</v>
      </c>
      <c r="AH28" s="305">
        <v>0</v>
      </c>
      <c r="AI28" s="305">
        <v>0</v>
      </c>
      <c r="AJ28" s="305">
        <v>0</v>
      </c>
      <c r="AK28" s="305">
        <v>0</v>
      </c>
      <c r="AL28" s="306">
        <v>0</v>
      </c>
      <c r="AM28" s="305">
        <v>0</v>
      </c>
      <c r="AN28" s="305">
        <v>0</v>
      </c>
      <c r="AO28" s="305">
        <v>0</v>
      </c>
      <c r="AP28" s="305">
        <v>0</v>
      </c>
      <c r="AQ28" s="306">
        <v>0</v>
      </c>
      <c r="AR28" s="303"/>
      <c r="AS28" s="303"/>
      <c r="AT28" s="303"/>
      <c r="AU28" s="303"/>
      <c r="AV28" s="304"/>
      <c r="AW28" s="303">
        <v>22</v>
      </c>
      <c r="AX28" s="303">
        <v>22</v>
      </c>
      <c r="AY28" s="303">
        <v>22</v>
      </c>
      <c r="AZ28" s="303">
        <v>22</v>
      </c>
      <c r="BA28" s="304">
        <v>22</v>
      </c>
      <c r="BB28" s="307">
        <v>15600</v>
      </c>
      <c r="BC28" s="307">
        <v>14600</v>
      </c>
      <c r="BD28" s="307">
        <v>12600</v>
      </c>
      <c r="BE28" s="307">
        <v>12600</v>
      </c>
      <c r="BF28" s="308">
        <v>12600</v>
      </c>
      <c r="BG28" s="307">
        <v>6400</v>
      </c>
      <c r="BH28" s="307">
        <v>6400</v>
      </c>
      <c r="BI28" s="307">
        <v>6400</v>
      </c>
      <c r="BJ28" s="307">
        <v>6400</v>
      </c>
      <c r="BK28" s="308">
        <v>6400</v>
      </c>
      <c r="BL28" s="303">
        <v>235</v>
      </c>
      <c r="BM28" s="303">
        <v>235</v>
      </c>
      <c r="BN28" s="303">
        <v>235</v>
      </c>
      <c r="BO28" s="303">
        <v>235</v>
      </c>
      <c r="BP28" s="304">
        <v>235</v>
      </c>
      <c r="BQ28" s="302"/>
      <c r="BR28" s="303"/>
      <c r="BS28" s="303"/>
      <c r="BT28" s="303"/>
      <c r="BU28" s="304"/>
      <c r="BV28" s="310" t="s">
        <v>369</v>
      </c>
      <c r="BW28" s="307">
        <v>866.66666666666663</v>
      </c>
      <c r="BX28" s="307">
        <v>811.11111111111109</v>
      </c>
      <c r="BY28" s="307">
        <v>700</v>
      </c>
      <c r="BZ28" s="307">
        <v>700</v>
      </c>
      <c r="CA28" s="308">
        <v>700</v>
      </c>
      <c r="CB28" s="307">
        <v>355.55555555555554</v>
      </c>
      <c r="CC28" s="307">
        <v>355.55555555555554</v>
      </c>
      <c r="CD28" s="307">
        <v>355.55555555555554</v>
      </c>
      <c r="CE28" s="307">
        <v>355.55555555555554</v>
      </c>
      <c r="CF28" s="308">
        <v>355.55555555555554</v>
      </c>
      <c r="CG28" s="309">
        <v>13.055555555555555</v>
      </c>
      <c r="CH28" s="307">
        <v>13.055555555555555</v>
      </c>
      <c r="CI28" s="307">
        <v>13.055555555555555</v>
      </c>
      <c r="CJ28" s="307">
        <v>13.055555555555555</v>
      </c>
      <c r="CK28" s="308">
        <v>13.055555555555555</v>
      </c>
    </row>
    <row r="29" spans="1:89" s="298" customFormat="1" x14ac:dyDescent="0.2">
      <c r="A29" s="299" t="s">
        <v>370</v>
      </c>
      <c r="B29" s="300" t="s">
        <v>463</v>
      </c>
      <c r="C29" s="301" t="s">
        <v>371</v>
      </c>
      <c r="D29" s="302">
        <v>44</v>
      </c>
      <c r="E29" s="303">
        <v>80</v>
      </c>
      <c r="F29" s="303">
        <v>80</v>
      </c>
      <c r="G29" s="303">
        <v>80</v>
      </c>
      <c r="H29" s="304">
        <v>80</v>
      </c>
      <c r="I29" s="303"/>
      <c r="J29" s="303"/>
      <c r="K29" s="303"/>
      <c r="L29" s="303"/>
      <c r="M29" s="304"/>
      <c r="N29" s="303">
        <v>100</v>
      </c>
      <c r="O29" s="303">
        <v>100</v>
      </c>
      <c r="P29" s="303">
        <v>100</v>
      </c>
      <c r="Q29" s="303">
        <v>100</v>
      </c>
      <c r="R29" s="304">
        <v>100</v>
      </c>
      <c r="S29" s="303"/>
      <c r="T29" s="303"/>
      <c r="U29" s="303"/>
      <c r="V29" s="303"/>
      <c r="W29" s="304"/>
      <c r="X29" s="303">
        <v>100</v>
      </c>
      <c r="Y29" s="303">
        <v>100</v>
      </c>
      <c r="Z29" s="303">
        <v>100</v>
      </c>
      <c r="AA29" s="303">
        <v>100</v>
      </c>
      <c r="AB29" s="304">
        <v>100</v>
      </c>
      <c r="AC29" s="305">
        <v>1.35</v>
      </c>
      <c r="AD29" s="305">
        <v>1.45</v>
      </c>
      <c r="AE29" s="305">
        <v>1.7</v>
      </c>
      <c r="AF29" s="305">
        <v>1.7</v>
      </c>
      <c r="AG29" s="306">
        <v>1.7</v>
      </c>
      <c r="AH29" s="305">
        <v>0</v>
      </c>
      <c r="AI29" s="305">
        <v>0</v>
      </c>
      <c r="AJ29" s="305">
        <v>0</v>
      </c>
      <c r="AK29" s="305">
        <v>0</v>
      </c>
      <c r="AL29" s="306">
        <v>0</v>
      </c>
      <c r="AM29" s="305">
        <v>0</v>
      </c>
      <c r="AN29" s="305">
        <v>0</v>
      </c>
      <c r="AO29" s="305">
        <v>0</v>
      </c>
      <c r="AP29" s="305">
        <v>0</v>
      </c>
      <c r="AQ29" s="306">
        <v>0</v>
      </c>
      <c r="AR29" s="303"/>
      <c r="AS29" s="303"/>
      <c r="AT29" s="303"/>
      <c r="AU29" s="303"/>
      <c r="AV29" s="304"/>
      <c r="AW29" s="303">
        <v>22</v>
      </c>
      <c r="AX29" s="303">
        <v>22</v>
      </c>
      <c r="AY29" s="303">
        <v>22</v>
      </c>
      <c r="AZ29" s="303">
        <v>22</v>
      </c>
      <c r="BA29" s="304">
        <v>22</v>
      </c>
      <c r="BB29" s="307">
        <v>33000</v>
      </c>
      <c r="BC29" s="307">
        <v>33000</v>
      </c>
      <c r="BD29" s="307">
        <v>32000</v>
      </c>
      <c r="BE29" s="307">
        <v>32000</v>
      </c>
      <c r="BF29" s="308">
        <v>32000</v>
      </c>
      <c r="BG29" s="307">
        <v>24600</v>
      </c>
      <c r="BH29" s="307">
        <v>24600</v>
      </c>
      <c r="BI29" s="307">
        <v>24600</v>
      </c>
      <c r="BJ29" s="307">
        <v>24600</v>
      </c>
      <c r="BK29" s="308">
        <v>24600</v>
      </c>
      <c r="BL29" s="303">
        <v>235</v>
      </c>
      <c r="BM29" s="303">
        <v>235</v>
      </c>
      <c r="BN29" s="303">
        <v>235</v>
      </c>
      <c r="BO29" s="303">
        <v>235</v>
      </c>
      <c r="BP29" s="304">
        <v>235</v>
      </c>
      <c r="BQ29" s="302"/>
      <c r="BR29" s="303"/>
      <c r="BS29" s="303"/>
      <c r="BT29" s="303"/>
      <c r="BU29" s="304"/>
      <c r="BV29" s="310" t="s">
        <v>369</v>
      </c>
      <c r="BW29" s="307">
        <v>750</v>
      </c>
      <c r="BX29" s="307">
        <v>750</v>
      </c>
      <c r="BY29" s="307">
        <v>727.27272727272725</v>
      </c>
      <c r="BZ29" s="307">
        <v>727.27272727272725</v>
      </c>
      <c r="CA29" s="308">
        <v>727.27272727272725</v>
      </c>
      <c r="CB29" s="307">
        <v>559.09090909090912</v>
      </c>
      <c r="CC29" s="307">
        <v>559.09090909090912</v>
      </c>
      <c r="CD29" s="307">
        <v>559.09090909090912</v>
      </c>
      <c r="CE29" s="307">
        <v>559.09090909090912</v>
      </c>
      <c r="CF29" s="308">
        <v>559.09090909090912</v>
      </c>
      <c r="CG29" s="309">
        <v>5.3409090909090908</v>
      </c>
      <c r="CH29" s="307">
        <v>5.3409090909090908</v>
      </c>
      <c r="CI29" s="307">
        <v>5.3409090909090908</v>
      </c>
      <c r="CJ29" s="307">
        <v>5.3409090909090908</v>
      </c>
      <c r="CK29" s="308">
        <v>5.3409090909090908</v>
      </c>
    </row>
    <row r="30" spans="1:89" s="298" customFormat="1" x14ac:dyDescent="0.2">
      <c r="A30" s="299" t="s">
        <v>372</v>
      </c>
      <c r="B30" s="300" t="s">
        <v>464</v>
      </c>
      <c r="C30" s="301" t="s">
        <v>373</v>
      </c>
      <c r="D30" s="302" t="s">
        <v>436</v>
      </c>
      <c r="E30" s="303" t="s">
        <v>436</v>
      </c>
      <c r="F30" s="303" t="s">
        <v>436</v>
      </c>
      <c r="G30" s="303" t="s">
        <v>436</v>
      </c>
      <c r="H30" s="304" t="s">
        <v>436</v>
      </c>
      <c r="I30" s="303"/>
      <c r="J30" s="303"/>
      <c r="K30" s="303"/>
      <c r="L30" s="303"/>
      <c r="M30" s="304"/>
      <c r="N30" s="303">
        <v>100</v>
      </c>
      <c r="O30" s="303">
        <v>100</v>
      </c>
      <c r="P30" s="303">
        <v>100</v>
      </c>
      <c r="Q30" s="303">
        <v>100</v>
      </c>
      <c r="R30" s="304">
        <v>100</v>
      </c>
      <c r="S30" s="303"/>
      <c r="T30" s="303"/>
      <c r="U30" s="303"/>
      <c r="V30" s="303"/>
      <c r="W30" s="304"/>
      <c r="X30" s="303">
        <v>100</v>
      </c>
      <c r="Y30" s="303">
        <v>100</v>
      </c>
      <c r="Z30" s="303">
        <v>100</v>
      </c>
      <c r="AA30" s="303">
        <v>100</v>
      </c>
      <c r="AB30" s="304">
        <v>100</v>
      </c>
      <c r="AC30" s="305">
        <v>1.5</v>
      </c>
      <c r="AD30" s="305">
        <v>1.55</v>
      </c>
      <c r="AE30" s="305">
        <v>1.55</v>
      </c>
      <c r="AF30" s="305">
        <v>1.6</v>
      </c>
      <c r="AG30" s="306">
        <v>1.6</v>
      </c>
      <c r="AH30" s="305">
        <v>0</v>
      </c>
      <c r="AI30" s="305">
        <v>0</v>
      </c>
      <c r="AJ30" s="305">
        <v>0</v>
      </c>
      <c r="AK30" s="305">
        <v>0</v>
      </c>
      <c r="AL30" s="306">
        <v>0</v>
      </c>
      <c r="AM30" s="305">
        <v>0</v>
      </c>
      <c r="AN30" s="305">
        <v>0</v>
      </c>
      <c r="AO30" s="305">
        <v>0</v>
      </c>
      <c r="AP30" s="305">
        <v>0</v>
      </c>
      <c r="AQ30" s="306">
        <v>0</v>
      </c>
      <c r="AR30" s="303"/>
      <c r="AS30" s="303"/>
      <c r="AT30" s="303"/>
      <c r="AU30" s="303"/>
      <c r="AV30" s="304"/>
      <c r="AW30" s="303" t="s">
        <v>465</v>
      </c>
      <c r="AX30" s="303" t="s">
        <v>466</v>
      </c>
      <c r="AY30" s="303" t="s">
        <v>466</v>
      </c>
      <c r="AZ30" s="303" t="s">
        <v>466</v>
      </c>
      <c r="BA30" s="304" t="s">
        <v>466</v>
      </c>
      <c r="BB30" s="307">
        <v>47500</v>
      </c>
      <c r="BC30" s="307">
        <v>47500</v>
      </c>
      <c r="BD30" s="307">
        <v>47500</v>
      </c>
      <c r="BE30" s="307">
        <v>47500</v>
      </c>
      <c r="BF30" s="308">
        <v>47500</v>
      </c>
      <c r="BG30" s="307">
        <v>1600</v>
      </c>
      <c r="BH30" s="307">
        <v>1600</v>
      </c>
      <c r="BI30" s="307">
        <v>1600</v>
      </c>
      <c r="BJ30" s="307">
        <v>1600</v>
      </c>
      <c r="BK30" s="308">
        <v>1600</v>
      </c>
      <c r="BL30" s="303">
        <v>235</v>
      </c>
      <c r="BM30" s="303">
        <v>235</v>
      </c>
      <c r="BN30" s="303">
        <v>235</v>
      </c>
      <c r="BO30" s="303">
        <v>235</v>
      </c>
      <c r="BP30" s="304">
        <v>235</v>
      </c>
      <c r="BQ30" s="302"/>
      <c r="BR30" s="303"/>
      <c r="BS30" s="303"/>
      <c r="BT30" s="303"/>
      <c r="BU30" s="304"/>
      <c r="BV30" s="310" t="s">
        <v>374</v>
      </c>
      <c r="BW30" s="316">
        <v>950</v>
      </c>
      <c r="BX30" s="316">
        <v>950</v>
      </c>
      <c r="BY30" s="316">
        <v>950</v>
      </c>
      <c r="BZ30" s="316">
        <v>950</v>
      </c>
      <c r="CA30" s="317">
        <v>950</v>
      </c>
      <c r="CB30" s="311">
        <v>32</v>
      </c>
      <c r="CC30" s="311">
        <v>32</v>
      </c>
      <c r="CD30" s="311">
        <v>32</v>
      </c>
      <c r="CE30" s="311">
        <v>32</v>
      </c>
      <c r="CF30" s="312">
        <v>32</v>
      </c>
      <c r="CG30" s="313">
        <v>4.7</v>
      </c>
      <c r="CH30" s="311">
        <v>4.7</v>
      </c>
      <c r="CI30" s="311">
        <v>4.7</v>
      </c>
      <c r="CJ30" s="311">
        <v>4.7</v>
      </c>
      <c r="CK30" s="312">
        <v>4.7</v>
      </c>
    </row>
    <row r="31" spans="1:89" s="298" customFormat="1" x14ac:dyDescent="0.2">
      <c r="A31" s="299" t="s">
        <v>375</v>
      </c>
      <c r="B31" s="300" t="s">
        <v>467</v>
      </c>
      <c r="C31" s="327" t="s">
        <v>376</v>
      </c>
      <c r="D31" s="302" t="s">
        <v>468</v>
      </c>
      <c r="E31" s="303" t="s">
        <v>468</v>
      </c>
      <c r="F31" s="303" t="s">
        <v>468</v>
      </c>
      <c r="G31" s="303" t="s">
        <v>468</v>
      </c>
      <c r="H31" s="304" t="s">
        <v>468</v>
      </c>
      <c r="I31" s="303"/>
      <c r="J31" s="303"/>
      <c r="K31" s="303"/>
      <c r="L31" s="303"/>
      <c r="M31" s="304"/>
      <c r="N31" s="303">
        <v>100</v>
      </c>
      <c r="O31" s="303">
        <v>100</v>
      </c>
      <c r="P31" s="303">
        <v>100</v>
      </c>
      <c r="Q31" s="303">
        <v>100</v>
      </c>
      <c r="R31" s="304">
        <v>100</v>
      </c>
      <c r="S31" s="303"/>
      <c r="T31" s="303"/>
      <c r="U31" s="303"/>
      <c r="V31" s="303"/>
      <c r="W31" s="304"/>
      <c r="X31" s="303">
        <v>100</v>
      </c>
      <c r="Y31" s="303">
        <v>100</v>
      </c>
      <c r="Z31" s="303">
        <v>100</v>
      </c>
      <c r="AA31" s="303">
        <v>100</v>
      </c>
      <c r="AB31" s="304">
        <v>100</v>
      </c>
      <c r="AC31" s="305">
        <v>1.35</v>
      </c>
      <c r="AD31" s="305">
        <v>1.35</v>
      </c>
      <c r="AE31" s="305">
        <v>1.35</v>
      </c>
      <c r="AF31" s="305">
        <v>1.35</v>
      </c>
      <c r="AG31" s="306">
        <v>1.35</v>
      </c>
      <c r="AH31" s="305">
        <v>0</v>
      </c>
      <c r="AI31" s="305">
        <v>0</v>
      </c>
      <c r="AJ31" s="305">
        <v>0</v>
      </c>
      <c r="AK31" s="305">
        <v>0</v>
      </c>
      <c r="AL31" s="306">
        <v>0</v>
      </c>
      <c r="AM31" s="305">
        <v>0</v>
      </c>
      <c r="AN31" s="305">
        <v>0</v>
      </c>
      <c r="AO31" s="305">
        <v>0</v>
      </c>
      <c r="AP31" s="305">
        <v>0</v>
      </c>
      <c r="AQ31" s="306">
        <v>0</v>
      </c>
      <c r="AR31" s="303"/>
      <c r="AS31" s="303"/>
      <c r="AT31" s="303"/>
      <c r="AU31" s="303"/>
      <c r="AV31" s="304"/>
      <c r="AW31" s="303">
        <v>20</v>
      </c>
      <c r="AX31" s="303">
        <v>20</v>
      </c>
      <c r="AY31" s="303">
        <v>20</v>
      </c>
      <c r="AZ31" s="303">
        <v>20</v>
      </c>
      <c r="BA31" s="304">
        <v>20</v>
      </c>
      <c r="BB31" s="307">
        <v>14000</v>
      </c>
      <c r="BC31" s="307">
        <v>14000</v>
      </c>
      <c r="BD31" s="307">
        <v>14000</v>
      </c>
      <c r="BE31" s="307">
        <v>14000</v>
      </c>
      <c r="BF31" s="308">
        <v>14000</v>
      </c>
      <c r="BG31" s="307">
        <v>1600</v>
      </c>
      <c r="BH31" s="307">
        <v>1600</v>
      </c>
      <c r="BI31" s="307">
        <v>1600</v>
      </c>
      <c r="BJ31" s="307">
        <v>1600</v>
      </c>
      <c r="BK31" s="308">
        <v>1600</v>
      </c>
      <c r="BL31" s="303">
        <v>235</v>
      </c>
      <c r="BM31" s="303">
        <v>235</v>
      </c>
      <c r="BN31" s="303">
        <v>235</v>
      </c>
      <c r="BO31" s="303">
        <v>235</v>
      </c>
      <c r="BP31" s="304">
        <v>235</v>
      </c>
      <c r="BQ31" s="302"/>
      <c r="BR31" s="303"/>
      <c r="BS31" s="303"/>
      <c r="BT31" s="303"/>
      <c r="BU31" s="304"/>
      <c r="BV31" s="310" t="s">
        <v>377</v>
      </c>
      <c r="BW31" s="311">
        <v>1696.969696969697</v>
      </c>
      <c r="BX31" s="311">
        <v>1696.969696969697</v>
      </c>
      <c r="BY31" s="311">
        <v>1696.969696969697</v>
      </c>
      <c r="BZ31" s="311">
        <v>1696.969696969697</v>
      </c>
      <c r="CA31" s="312">
        <v>1696.969696969697</v>
      </c>
      <c r="CB31" s="311">
        <v>193.93939393939394</v>
      </c>
      <c r="CC31" s="311">
        <v>193.93939393939394</v>
      </c>
      <c r="CD31" s="311">
        <v>193.93939393939394</v>
      </c>
      <c r="CE31" s="311">
        <v>193.93939393939394</v>
      </c>
      <c r="CF31" s="312">
        <v>193.93939393939394</v>
      </c>
      <c r="CG31" s="313">
        <v>28.484848484848484</v>
      </c>
      <c r="CH31" s="311">
        <v>28.484848484848484</v>
      </c>
      <c r="CI31" s="311">
        <v>28.484848484848484</v>
      </c>
      <c r="CJ31" s="311">
        <v>28.484848484848484</v>
      </c>
      <c r="CK31" s="312">
        <v>28.484848484848484</v>
      </c>
    </row>
    <row r="32" spans="1:89" s="298" customFormat="1" x14ac:dyDescent="0.2">
      <c r="A32" s="299" t="s">
        <v>378</v>
      </c>
      <c r="B32" s="300" t="s">
        <v>458</v>
      </c>
      <c r="C32" s="301" t="s">
        <v>379</v>
      </c>
      <c r="D32" s="302">
        <v>0</v>
      </c>
      <c r="E32" s="303">
        <v>0</v>
      </c>
      <c r="F32" s="303">
        <v>0</v>
      </c>
      <c r="G32" s="303">
        <v>0</v>
      </c>
      <c r="H32" s="304">
        <v>0</v>
      </c>
      <c r="I32" s="303"/>
      <c r="J32" s="303"/>
      <c r="K32" s="303"/>
      <c r="L32" s="303"/>
      <c r="M32" s="304"/>
      <c r="N32" s="303">
        <v>0</v>
      </c>
      <c r="O32" s="303">
        <v>0</v>
      </c>
      <c r="P32" s="303">
        <v>0</v>
      </c>
      <c r="Q32" s="303">
        <v>0</v>
      </c>
      <c r="R32" s="304">
        <v>0</v>
      </c>
      <c r="S32" s="303"/>
      <c r="T32" s="303"/>
      <c r="U32" s="303"/>
      <c r="V32" s="303"/>
      <c r="W32" s="304"/>
      <c r="X32" s="303">
        <v>0</v>
      </c>
      <c r="Y32" s="303">
        <v>0</v>
      </c>
      <c r="Z32" s="303">
        <v>0</v>
      </c>
      <c r="AA32" s="303">
        <v>0</v>
      </c>
      <c r="AB32" s="304">
        <v>0</v>
      </c>
      <c r="AC32" s="305">
        <v>0</v>
      </c>
      <c r="AD32" s="305">
        <v>0</v>
      </c>
      <c r="AE32" s="305">
        <v>0</v>
      </c>
      <c r="AF32" s="305">
        <v>0</v>
      </c>
      <c r="AG32" s="306">
        <v>0</v>
      </c>
      <c r="AH32" s="305">
        <v>0</v>
      </c>
      <c r="AI32" s="305">
        <v>0</v>
      </c>
      <c r="AJ32" s="305">
        <v>0</v>
      </c>
      <c r="AK32" s="305">
        <v>0</v>
      </c>
      <c r="AL32" s="306">
        <v>0</v>
      </c>
      <c r="AM32" s="305">
        <v>0</v>
      </c>
      <c r="AN32" s="305">
        <v>0</v>
      </c>
      <c r="AO32" s="305">
        <v>0</v>
      </c>
      <c r="AP32" s="305">
        <v>0</v>
      </c>
      <c r="AQ32" s="306">
        <v>0</v>
      </c>
      <c r="AR32" s="303"/>
      <c r="AS32" s="303"/>
      <c r="AT32" s="303"/>
      <c r="AU32" s="303"/>
      <c r="AV32" s="304"/>
      <c r="AW32" s="303">
        <v>0</v>
      </c>
      <c r="AX32" s="303">
        <v>0</v>
      </c>
      <c r="AY32" s="303">
        <v>0</v>
      </c>
      <c r="AZ32" s="303">
        <v>0</v>
      </c>
      <c r="BA32" s="304">
        <v>0</v>
      </c>
      <c r="BB32" s="307">
        <v>0</v>
      </c>
      <c r="BC32" s="307">
        <v>0</v>
      </c>
      <c r="BD32" s="307">
        <v>0</v>
      </c>
      <c r="BE32" s="307">
        <v>0</v>
      </c>
      <c r="BF32" s="308">
        <v>0</v>
      </c>
      <c r="BG32" s="307">
        <v>0</v>
      </c>
      <c r="BH32" s="307">
        <v>0</v>
      </c>
      <c r="BI32" s="307">
        <v>0</v>
      </c>
      <c r="BJ32" s="307">
        <v>0</v>
      </c>
      <c r="BK32" s="308">
        <v>0</v>
      </c>
      <c r="BL32" s="303">
        <v>0</v>
      </c>
      <c r="BM32" s="303">
        <v>0</v>
      </c>
      <c r="BN32" s="303">
        <v>0</v>
      </c>
      <c r="BO32" s="303">
        <v>0</v>
      </c>
      <c r="BP32" s="304">
        <v>0</v>
      </c>
      <c r="BQ32" s="302">
        <v>0</v>
      </c>
      <c r="BR32" s="303">
        <v>0</v>
      </c>
      <c r="BS32" s="303">
        <v>0</v>
      </c>
      <c r="BT32" s="303">
        <v>0</v>
      </c>
      <c r="BU32" s="304">
        <v>0</v>
      </c>
      <c r="BV32" s="310"/>
      <c r="BW32" s="307" t="s">
        <v>455</v>
      </c>
      <c r="BX32" s="307" t="s">
        <v>455</v>
      </c>
      <c r="BY32" s="307" t="s">
        <v>455</v>
      </c>
      <c r="BZ32" s="307" t="s">
        <v>455</v>
      </c>
      <c r="CA32" s="308" t="s">
        <v>455</v>
      </c>
      <c r="CB32" s="307" t="s">
        <v>455</v>
      </c>
      <c r="CC32" s="307" t="s">
        <v>455</v>
      </c>
      <c r="CD32" s="307" t="s">
        <v>455</v>
      </c>
      <c r="CE32" s="307" t="s">
        <v>455</v>
      </c>
      <c r="CF32" s="308" t="s">
        <v>455</v>
      </c>
      <c r="CG32" s="309" t="s">
        <v>455</v>
      </c>
      <c r="CH32" s="307" t="s">
        <v>455</v>
      </c>
      <c r="CI32" s="307" t="s">
        <v>455</v>
      </c>
      <c r="CJ32" s="307" t="s">
        <v>455</v>
      </c>
      <c r="CK32" s="308" t="s">
        <v>455</v>
      </c>
    </row>
    <row r="33" spans="1:89" s="298" customFormat="1" x14ac:dyDescent="0.2">
      <c r="A33" s="291" t="s">
        <v>380</v>
      </c>
      <c r="B33" s="292"/>
      <c r="C33" s="293"/>
      <c r="D33" s="294"/>
      <c r="E33" s="295"/>
      <c r="F33" s="295"/>
      <c r="G33" s="295"/>
      <c r="H33" s="296"/>
      <c r="I33" s="295"/>
      <c r="J33" s="295"/>
      <c r="K33" s="295"/>
      <c r="L33" s="295"/>
      <c r="M33" s="296"/>
      <c r="N33" s="295"/>
      <c r="O33" s="295"/>
      <c r="P33" s="295"/>
      <c r="Q33" s="295"/>
      <c r="R33" s="296"/>
      <c r="S33" s="295"/>
      <c r="T33" s="295"/>
      <c r="U33" s="295"/>
      <c r="V33" s="295"/>
      <c r="W33" s="296"/>
      <c r="X33" s="295"/>
      <c r="Y33" s="295"/>
      <c r="Z33" s="295"/>
      <c r="AA33" s="295"/>
      <c r="AB33" s="296"/>
      <c r="AC33" s="320">
        <v>0</v>
      </c>
      <c r="AD33" s="320">
        <v>0</v>
      </c>
      <c r="AE33" s="320">
        <v>0</v>
      </c>
      <c r="AF33" s="320">
        <v>0</v>
      </c>
      <c r="AG33" s="321">
        <v>0</v>
      </c>
      <c r="AH33" s="320">
        <v>0</v>
      </c>
      <c r="AI33" s="320">
        <v>0</v>
      </c>
      <c r="AJ33" s="320">
        <v>0</v>
      </c>
      <c r="AK33" s="320">
        <v>0</v>
      </c>
      <c r="AL33" s="321">
        <v>0</v>
      </c>
      <c r="AM33" s="320">
        <v>0</v>
      </c>
      <c r="AN33" s="320">
        <v>0</v>
      </c>
      <c r="AO33" s="320">
        <v>0</v>
      </c>
      <c r="AP33" s="320">
        <v>0</v>
      </c>
      <c r="AQ33" s="321">
        <v>0</v>
      </c>
      <c r="AR33" s="295"/>
      <c r="AS33" s="295"/>
      <c r="AT33" s="295"/>
      <c r="AU33" s="295"/>
      <c r="AV33" s="296"/>
      <c r="AW33" s="295"/>
      <c r="AX33" s="295"/>
      <c r="AY33" s="295"/>
      <c r="AZ33" s="295"/>
      <c r="BA33" s="296"/>
      <c r="BB33" s="295"/>
      <c r="BC33" s="295"/>
      <c r="BD33" s="295"/>
      <c r="BE33" s="295"/>
      <c r="BF33" s="296"/>
      <c r="BG33" s="295">
        <v>0</v>
      </c>
      <c r="BH33" s="295">
        <v>0</v>
      </c>
      <c r="BI33" s="295">
        <v>0</v>
      </c>
      <c r="BJ33" s="295">
        <v>0</v>
      </c>
      <c r="BK33" s="296">
        <v>0</v>
      </c>
      <c r="BL33" s="295"/>
      <c r="BM33" s="295"/>
      <c r="BN33" s="295"/>
      <c r="BO33" s="295"/>
      <c r="BP33" s="296"/>
      <c r="BQ33" s="294"/>
      <c r="BR33" s="295"/>
      <c r="BS33" s="295"/>
      <c r="BT33" s="295"/>
      <c r="BU33" s="296"/>
      <c r="BV33" s="297"/>
      <c r="BW33" s="295"/>
      <c r="BX33" s="295"/>
      <c r="BY33" s="295"/>
      <c r="BZ33" s="295"/>
      <c r="CA33" s="296"/>
      <c r="CB33" s="295"/>
      <c r="CC33" s="295"/>
      <c r="CD33" s="295"/>
      <c r="CE33" s="295"/>
      <c r="CF33" s="296"/>
      <c r="CG33" s="294"/>
      <c r="CH33" s="295"/>
      <c r="CI33" s="295"/>
      <c r="CJ33" s="295"/>
      <c r="CK33" s="296"/>
    </row>
    <row r="34" spans="1:89" s="298" customFormat="1" x14ac:dyDescent="0.2">
      <c r="A34" s="299" t="s">
        <v>381</v>
      </c>
      <c r="B34" s="300" t="s">
        <v>458</v>
      </c>
      <c r="C34" s="301" t="s">
        <v>382</v>
      </c>
      <c r="D34" s="322">
        <v>30</v>
      </c>
      <c r="E34" s="318">
        <v>30</v>
      </c>
      <c r="F34" s="318">
        <v>30</v>
      </c>
      <c r="G34" s="318">
        <v>30</v>
      </c>
      <c r="H34" s="319">
        <v>30</v>
      </c>
      <c r="I34" s="303"/>
      <c r="J34" s="303"/>
      <c r="K34" s="303"/>
      <c r="L34" s="303"/>
      <c r="M34" s="304"/>
      <c r="N34" s="303">
        <v>0</v>
      </c>
      <c r="O34" s="303">
        <v>0</v>
      </c>
      <c r="P34" s="303">
        <v>0</v>
      </c>
      <c r="Q34" s="303">
        <v>0</v>
      </c>
      <c r="R34" s="304">
        <v>0</v>
      </c>
      <c r="S34" s="303"/>
      <c r="T34" s="303"/>
      <c r="U34" s="303"/>
      <c r="V34" s="303"/>
      <c r="W34" s="304"/>
      <c r="X34" s="303">
        <v>0</v>
      </c>
      <c r="Y34" s="303">
        <v>0</v>
      </c>
      <c r="Z34" s="303">
        <v>0</v>
      </c>
      <c r="AA34" s="303">
        <v>0</v>
      </c>
      <c r="AB34" s="304">
        <v>0</v>
      </c>
      <c r="AC34" s="328">
        <v>0.9</v>
      </c>
      <c r="AD34" s="328">
        <v>0.9</v>
      </c>
      <c r="AE34" s="328">
        <v>0.9</v>
      </c>
      <c r="AF34" s="328">
        <v>0.9</v>
      </c>
      <c r="AG34" s="329">
        <v>0.9</v>
      </c>
      <c r="AH34" s="305">
        <v>0</v>
      </c>
      <c r="AI34" s="305">
        <v>0</v>
      </c>
      <c r="AJ34" s="305">
        <v>0</v>
      </c>
      <c r="AK34" s="305">
        <v>0</v>
      </c>
      <c r="AL34" s="306">
        <v>0</v>
      </c>
      <c r="AM34" s="330">
        <v>0.26</v>
      </c>
      <c r="AN34" s="328">
        <v>0.26</v>
      </c>
      <c r="AO34" s="328">
        <v>0.26</v>
      </c>
      <c r="AP34" s="328">
        <v>0.26</v>
      </c>
      <c r="AQ34" s="329">
        <v>0.26</v>
      </c>
      <c r="AR34" s="303"/>
      <c r="AS34" s="303"/>
      <c r="AT34" s="303"/>
      <c r="AU34" s="303"/>
      <c r="AV34" s="304"/>
      <c r="AW34" s="303">
        <v>0</v>
      </c>
      <c r="AX34" s="303">
        <v>0</v>
      </c>
      <c r="AY34" s="303">
        <v>0</v>
      </c>
      <c r="AZ34" s="303">
        <v>0</v>
      </c>
      <c r="BA34" s="304">
        <v>0</v>
      </c>
      <c r="BB34" s="311">
        <v>103980</v>
      </c>
      <c r="BC34" s="311">
        <v>103980</v>
      </c>
      <c r="BD34" s="311">
        <v>77985</v>
      </c>
      <c r="BE34" s="311">
        <v>77985</v>
      </c>
      <c r="BF34" s="312">
        <v>62388</v>
      </c>
      <c r="BG34" s="311">
        <v>0</v>
      </c>
      <c r="BH34" s="311">
        <v>0</v>
      </c>
      <c r="BI34" s="311">
        <v>0</v>
      </c>
      <c r="BJ34" s="311">
        <v>0</v>
      </c>
      <c r="BK34" s="312">
        <v>0</v>
      </c>
      <c r="BL34" s="311">
        <v>310</v>
      </c>
      <c r="BM34" s="307">
        <v>0</v>
      </c>
      <c r="BN34" s="307">
        <v>0</v>
      </c>
      <c r="BO34" s="307">
        <v>0</v>
      </c>
      <c r="BP34" s="308">
        <v>0</v>
      </c>
      <c r="BQ34" s="309">
        <v>0</v>
      </c>
      <c r="BR34" s="307">
        <v>0</v>
      </c>
      <c r="BS34" s="307">
        <v>0</v>
      </c>
      <c r="BT34" s="307">
        <v>0</v>
      </c>
      <c r="BU34" s="308">
        <v>0</v>
      </c>
      <c r="BV34" s="310" t="s">
        <v>360</v>
      </c>
      <c r="BW34" s="307">
        <v>3466</v>
      </c>
      <c r="BX34" s="307">
        <v>3466</v>
      </c>
      <c r="BY34" s="307">
        <v>2599.5</v>
      </c>
      <c r="BZ34" s="307">
        <v>2599.5</v>
      </c>
      <c r="CA34" s="308">
        <v>2079.6</v>
      </c>
      <c r="CB34" s="307">
        <v>0</v>
      </c>
      <c r="CC34" s="307">
        <v>0</v>
      </c>
      <c r="CD34" s="307">
        <v>0</v>
      </c>
      <c r="CE34" s="307">
        <v>0</v>
      </c>
      <c r="CF34" s="308">
        <v>0</v>
      </c>
      <c r="CG34" s="309">
        <v>10.333333333333334</v>
      </c>
      <c r="CH34" s="307">
        <v>0</v>
      </c>
      <c r="CI34" s="307">
        <v>0</v>
      </c>
      <c r="CJ34" s="307">
        <v>0</v>
      </c>
      <c r="CK34" s="308">
        <v>0</v>
      </c>
    </row>
    <row r="35" spans="1:89" s="298" customFormat="1" x14ac:dyDescent="0.2">
      <c r="A35" s="299"/>
      <c r="B35" s="300"/>
      <c r="C35" s="301" t="s">
        <v>383</v>
      </c>
      <c r="D35" s="322">
        <v>200</v>
      </c>
      <c r="E35" s="318">
        <v>200</v>
      </c>
      <c r="F35" s="318">
        <v>200</v>
      </c>
      <c r="G35" s="318">
        <v>200</v>
      </c>
      <c r="H35" s="319">
        <v>200</v>
      </c>
      <c r="I35" s="303"/>
      <c r="J35" s="303"/>
      <c r="K35" s="303"/>
      <c r="L35" s="303"/>
      <c r="M35" s="304"/>
      <c r="N35" s="303"/>
      <c r="O35" s="303"/>
      <c r="P35" s="303"/>
      <c r="Q35" s="303"/>
      <c r="R35" s="304"/>
      <c r="S35" s="303"/>
      <c r="T35" s="303"/>
      <c r="U35" s="303"/>
      <c r="V35" s="303"/>
      <c r="W35" s="304"/>
      <c r="X35" s="303"/>
      <c r="Y35" s="303"/>
      <c r="Z35" s="303"/>
      <c r="AA35" s="303"/>
      <c r="AB35" s="304"/>
      <c r="AC35" s="328">
        <v>0.9</v>
      </c>
      <c r="AD35" s="328">
        <v>0.9</v>
      </c>
      <c r="AE35" s="328">
        <v>0.9</v>
      </c>
      <c r="AF35" s="328">
        <v>0.9</v>
      </c>
      <c r="AG35" s="329">
        <v>0.9</v>
      </c>
      <c r="AH35" s="305">
        <v>0</v>
      </c>
      <c r="AI35" s="305">
        <v>0</v>
      </c>
      <c r="AJ35" s="305">
        <v>0</v>
      </c>
      <c r="AK35" s="305">
        <v>0</v>
      </c>
      <c r="AL35" s="306">
        <v>0</v>
      </c>
      <c r="AM35" s="330">
        <v>0.33</v>
      </c>
      <c r="AN35" s="328">
        <v>0.33</v>
      </c>
      <c r="AO35" s="328">
        <v>0.33</v>
      </c>
      <c r="AP35" s="328">
        <v>0.33</v>
      </c>
      <c r="AQ35" s="329">
        <v>0.33</v>
      </c>
      <c r="AR35" s="303"/>
      <c r="AS35" s="303"/>
      <c r="AT35" s="303"/>
      <c r="AU35" s="303"/>
      <c r="AV35" s="304"/>
      <c r="AW35" s="303"/>
      <c r="AX35" s="303"/>
      <c r="AY35" s="303"/>
      <c r="AZ35" s="303"/>
      <c r="BA35" s="304"/>
      <c r="BB35" s="311">
        <v>275000</v>
      </c>
      <c r="BC35" s="311">
        <v>275000</v>
      </c>
      <c r="BD35" s="311">
        <v>206250</v>
      </c>
      <c r="BE35" s="311">
        <v>206250</v>
      </c>
      <c r="BF35" s="312">
        <v>165000</v>
      </c>
      <c r="BG35" s="311">
        <v>0</v>
      </c>
      <c r="BH35" s="311">
        <v>0</v>
      </c>
      <c r="BI35" s="311">
        <v>0</v>
      </c>
      <c r="BJ35" s="311">
        <v>0</v>
      </c>
      <c r="BK35" s="312">
        <v>0</v>
      </c>
      <c r="BL35" s="311">
        <v>310</v>
      </c>
      <c r="BM35" s="307"/>
      <c r="BN35" s="307"/>
      <c r="BO35" s="307"/>
      <c r="BP35" s="308"/>
      <c r="BQ35" s="309"/>
      <c r="BR35" s="307"/>
      <c r="BS35" s="307"/>
      <c r="BT35" s="307"/>
      <c r="BU35" s="308"/>
      <c r="BV35" s="310"/>
      <c r="BW35" s="307">
        <v>1375</v>
      </c>
      <c r="BX35" s="307">
        <v>1375</v>
      </c>
      <c r="BY35" s="307">
        <v>1031.25</v>
      </c>
      <c r="BZ35" s="307">
        <v>1031.25</v>
      </c>
      <c r="CA35" s="308">
        <v>825</v>
      </c>
      <c r="CB35" s="307"/>
      <c r="CC35" s="307"/>
      <c r="CD35" s="307"/>
      <c r="CE35" s="307"/>
      <c r="CF35" s="308"/>
      <c r="CG35" s="309">
        <v>1.55</v>
      </c>
      <c r="CH35" s="307"/>
      <c r="CI35" s="307"/>
      <c r="CJ35" s="307"/>
      <c r="CK35" s="308"/>
    </row>
    <row r="36" spans="1:89" s="298" customFormat="1" x14ac:dyDescent="0.2">
      <c r="A36" s="299" t="s">
        <v>384</v>
      </c>
      <c r="B36" s="300" t="s">
        <v>469</v>
      </c>
      <c r="C36" s="301" t="s">
        <v>385</v>
      </c>
      <c r="D36" s="302">
        <v>3.2</v>
      </c>
      <c r="E36" s="303">
        <v>3.2</v>
      </c>
      <c r="F36" s="303">
        <v>3.2</v>
      </c>
      <c r="G36" s="303">
        <v>0</v>
      </c>
      <c r="H36" s="304">
        <v>0</v>
      </c>
      <c r="I36" s="303">
        <v>1</v>
      </c>
      <c r="J36" s="303">
        <v>1</v>
      </c>
      <c r="K36" s="303">
        <v>1</v>
      </c>
      <c r="L36" s="303">
        <v>0</v>
      </c>
      <c r="M36" s="304">
        <v>0</v>
      </c>
      <c r="N36" s="303" t="s">
        <v>470</v>
      </c>
      <c r="O36" s="303" t="s">
        <v>471</v>
      </c>
      <c r="P36" s="303" t="s">
        <v>471</v>
      </c>
      <c r="Q36" s="303">
        <v>0</v>
      </c>
      <c r="R36" s="304">
        <v>0</v>
      </c>
      <c r="S36" s="303"/>
      <c r="T36" s="303"/>
      <c r="U36" s="303"/>
      <c r="V36" s="303"/>
      <c r="W36" s="304"/>
      <c r="X36" s="303" t="s">
        <v>472</v>
      </c>
      <c r="Y36" s="303" t="s">
        <v>472</v>
      </c>
      <c r="Z36" s="303" t="s">
        <v>473</v>
      </c>
      <c r="AA36" s="303">
        <v>0</v>
      </c>
      <c r="AB36" s="304">
        <v>0</v>
      </c>
      <c r="AC36" s="331">
        <v>0.85</v>
      </c>
      <c r="AD36" s="331">
        <v>0.92</v>
      </c>
      <c r="AE36" s="332">
        <v>0.97499999999999998</v>
      </c>
      <c r="AF36" s="305">
        <v>0</v>
      </c>
      <c r="AG36" s="306">
        <v>0</v>
      </c>
      <c r="AH36" s="305">
        <v>0.65</v>
      </c>
      <c r="AI36" s="305">
        <v>0.7</v>
      </c>
      <c r="AJ36" s="305">
        <v>0.72499999999999998</v>
      </c>
      <c r="AK36" s="305">
        <v>0</v>
      </c>
      <c r="AL36" s="306">
        <v>0</v>
      </c>
      <c r="AM36" s="305">
        <v>0.2</v>
      </c>
      <c r="AN36" s="305">
        <v>0.22</v>
      </c>
      <c r="AO36" s="305">
        <v>0.25</v>
      </c>
      <c r="AP36" s="305">
        <v>0</v>
      </c>
      <c r="AQ36" s="306">
        <v>0</v>
      </c>
      <c r="AR36" s="303"/>
      <c r="AS36" s="303"/>
      <c r="AT36" s="303"/>
      <c r="AU36" s="303"/>
      <c r="AV36" s="304"/>
      <c r="AW36" s="303">
        <v>10</v>
      </c>
      <c r="AX36" s="303" t="s">
        <v>474</v>
      </c>
      <c r="AY36" s="303" t="s">
        <v>474</v>
      </c>
      <c r="AZ36" s="303">
        <v>0</v>
      </c>
      <c r="BA36" s="304">
        <v>0</v>
      </c>
      <c r="BB36" s="307">
        <v>15000</v>
      </c>
      <c r="BC36" s="307">
        <v>12000</v>
      </c>
      <c r="BD36" s="307">
        <v>10000</v>
      </c>
      <c r="BE36" s="307">
        <v>0</v>
      </c>
      <c r="BF36" s="308">
        <v>0</v>
      </c>
      <c r="BG36" s="307">
        <v>2500</v>
      </c>
      <c r="BH36" s="307">
        <v>2500</v>
      </c>
      <c r="BI36" s="307">
        <v>2500</v>
      </c>
      <c r="BJ36" s="307">
        <v>0</v>
      </c>
      <c r="BK36" s="308">
        <v>0</v>
      </c>
      <c r="BL36" s="303">
        <v>0</v>
      </c>
      <c r="BM36" s="303">
        <v>0</v>
      </c>
      <c r="BN36" s="303">
        <v>0</v>
      </c>
      <c r="BO36" s="303">
        <v>0</v>
      </c>
      <c r="BP36" s="304">
        <v>0</v>
      </c>
      <c r="BQ36" s="333">
        <v>1.1000000000000001</v>
      </c>
      <c r="BR36" s="334">
        <v>1.1000000000000001</v>
      </c>
      <c r="BS36" s="334">
        <v>1.1000000000000001</v>
      </c>
      <c r="BT36" s="303">
        <v>0</v>
      </c>
      <c r="BU36" s="304">
        <v>0</v>
      </c>
      <c r="BV36" s="310" t="s">
        <v>386</v>
      </c>
      <c r="BW36" s="307">
        <v>4687.5</v>
      </c>
      <c r="BX36" s="307">
        <v>3750</v>
      </c>
      <c r="BY36" s="307">
        <v>3125</v>
      </c>
      <c r="BZ36" s="307">
        <v>0</v>
      </c>
      <c r="CA36" s="308">
        <v>0</v>
      </c>
      <c r="CB36" s="335">
        <v>781.25</v>
      </c>
      <c r="CC36" s="335">
        <v>781.25</v>
      </c>
      <c r="CD36" s="335">
        <v>781.25</v>
      </c>
      <c r="CE36" s="335" t="s">
        <v>455</v>
      </c>
      <c r="CF36" s="335" t="s">
        <v>455</v>
      </c>
      <c r="CG36" s="309">
        <v>0</v>
      </c>
      <c r="CH36" s="307">
        <v>0</v>
      </c>
      <c r="CI36" s="307">
        <v>0</v>
      </c>
      <c r="CJ36" s="307">
        <v>0</v>
      </c>
      <c r="CK36" s="308">
        <v>0</v>
      </c>
    </row>
    <row r="37" spans="1:89" s="298" customFormat="1" x14ac:dyDescent="0.2">
      <c r="A37" s="299" t="s">
        <v>387</v>
      </c>
      <c r="B37" s="300" t="s">
        <v>475</v>
      </c>
      <c r="C37" s="301" t="s">
        <v>388</v>
      </c>
      <c r="D37" s="302" t="s">
        <v>476</v>
      </c>
      <c r="E37" s="303" t="s">
        <v>476</v>
      </c>
      <c r="F37" s="303" t="s">
        <v>476</v>
      </c>
      <c r="G37" s="303">
        <v>0</v>
      </c>
      <c r="H37" s="304">
        <v>0</v>
      </c>
      <c r="I37" s="303" t="s">
        <v>477</v>
      </c>
      <c r="J37" s="303" t="s">
        <v>478</v>
      </c>
      <c r="K37" s="303" t="s">
        <v>479</v>
      </c>
      <c r="L37" s="303">
        <v>0</v>
      </c>
      <c r="M37" s="304">
        <v>0</v>
      </c>
      <c r="N37" s="303" t="s">
        <v>480</v>
      </c>
      <c r="O37" s="303" t="s">
        <v>480</v>
      </c>
      <c r="P37" s="303" t="s">
        <v>480</v>
      </c>
      <c r="Q37" s="303">
        <v>0</v>
      </c>
      <c r="R37" s="304">
        <v>0</v>
      </c>
      <c r="S37" s="303"/>
      <c r="T37" s="303"/>
      <c r="U37" s="303"/>
      <c r="V37" s="303"/>
      <c r="W37" s="304"/>
      <c r="X37" s="303" t="s">
        <v>481</v>
      </c>
      <c r="Y37" s="303" t="s">
        <v>481</v>
      </c>
      <c r="Z37" s="303" t="s">
        <v>481</v>
      </c>
      <c r="AA37" s="303">
        <v>0</v>
      </c>
      <c r="AB37" s="304">
        <v>0</v>
      </c>
      <c r="AC37" s="332">
        <v>0.89500000000000002</v>
      </c>
      <c r="AD37" s="332">
        <v>0.93</v>
      </c>
      <c r="AE37" s="332">
        <v>0.95499999999999996</v>
      </c>
      <c r="AF37" s="305">
        <v>0</v>
      </c>
      <c r="AG37" s="306">
        <v>0</v>
      </c>
      <c r="AH37" s="305">
        <v>0.57499999999999996</v>
      </c>
      <c r="AI37" s="305">
        <v>0.58499999999999996</v>
      </c>
      <c r="AJ37" s="305">
        <v>0.59499999999999997</v>
      </c>
      <c r="AK37" s="305">
        <v>0</v>
      </c>
      <c r="AL37" s="306">
        <v>0</v>
      </c>
      <c r="AM37" s="305">
        <v>0.32</v>
      </c>
      <c r="AN37" s="305">
        <v>0.34</v>
      </c>
      <c r="AO37" s="305">
        <v>0.36</v>
      </c>
      <c r="AP37" s="305">
        <v>0</v>
      </c>
      <c r="AQ37" s="306">
        <v>0</v>
      </c>
      <c r="AR37" s="303"/>
      <c r="AS37" s="303"/>
      <c r="AT37" s="303"/>
      <c r="AU37" s="303"/>
      <c r="AV37" s="304"/>
      <c r="AW37" s="303" t="s">
        <v>465</v>
      </c>
      <c r="AX37" s="303" t="s">
        <v>465</v>
      </c>
      <c r="AY37" s="303" t="s">
        <v>465</v>
      </c>
      <c r="AZ37" s="303">
        <v>0</v>
      </c>
      <c r="BA37" s="304">
        <v>0</v>
      </c>
      <c r="BB37" s="307">
        <v>72500</v>
      </c>
      <c r="BC37" s="307">
        <v>72500</v>
      </c>
      <c r="BD37" s="307">
        <v>72500</v>
      </c>
      <c r="BE37" s="307">
        <v>0</v>
      </c>
      <c r="BF37" s="308">
        <v>0</v>
      </c>
      <c r="BG37" s="307">
        <v>200</v>
      </c>
      <c r="BH37" s="307">
        <v>200</v>
      </c>
      <c r="BI37" s="307">
        <v>200</v>
      </c>
      <c r="BJ37" s="307">
        <v>0</v>
      </c>
      <c r="BK37" s="308">
        <v>0</v>
      </c>
      <c r="BL37" s="303">
        <v>0</v>
      </c>
      <c r="BM37" s="303">
        <v>0</v>
      </c>
      <c r="BN37" s="303">
        <v>0</v>
      </c>
      <c r="BO37" s="303">
        <v>0</v>
      </c>
      <c r="BP37" s="304">
        <v>0</v>
      </c>
      <c r="BQ37" s="333">
        <v>0.85</v>
      </c>
      <c r="BR37" s="334">
        <v>0.85</v>
      </c>
      <c r="BS37" s="334">
        <v>0.85</v>
      </c>
      <c r="BT37" s="303">
        <v>0</v>
      </c>
      <c r="BU37" s="304">
        <v>0</v>
      </c>
      <c r="BV37" s="310" t="s">
        <v>386</v>
      </c>
      <c r="BW37" s="311">
        <v>446.15384615384613</v>
      </c>
      <c r="BX37" s="311">
        <v>446.15384615384613</v>
      </c>
      <c r="BY37" s="311">
        <v>446.15384615384613</v>
      </c>
      <c r="BZ37" s="311" t="s">
        <v>455</v>
      </c>
      <c r="CA37" s="312" t="s">
        <v>455</v>
      </c>
      <c r="CB37" s="325">
        <v>1.2307692307692308</v>
      </c>
      <c r="CC37" s="336">
        <v>1.2307692307692308</v>
      </c>
      <c r="CD37" s="336">
        <v>1.2307692307692308</v>
      </c>
      <c r="CE37" s="336" t="s">
        <v>455</v>
      </c>
      <c r="CF37" s="337" t="s">
        <v>455</v>
      </c>
      <c r="CG37" s="309">
        <v>0</v>
      </c>
      <c r="CH37" s="307">
        <v>0</v>
      </c>
      <c r="CI37" s="307">
        <v>0</v>
      </c>
      <c r="CJ37" s="307" t="s">
        <v>455</v>
      </c>
      <c r="CK37" s="308" t="s">
        <v>455</v>
      </c>
    </row>
    <row r="38" spans="1:89" s="298" customFormat="1" x14ac:dyDescent="0.2">
      <c r="A38" s="299" t="s">
        <v>389</v>
      </c>
      <c r="B38" s="300" t="s">
        <v>458</v>
      </c>
      <c r="C38" s="301" t="s">
        <v>390</v>
      </c>
      <c r="D38" s="322" t="s">
        <v>391</v>
      </c>
      <c r="E38" s="318">
        <v>10</v>
      </c>
      <c r="F38" s="318">
        <v>10</v>
      </c>
      <c r="G38" s="318">
        <v>10</v>
      </c>
      <c r="H38" s="319">
        <v>10</v>
      </c>
      <c r="I38" s="303"/>
      <c r="J38" s="303"/>
      <c r="K38" s="303"/>
      <c r="L38" s="303"/>
      <c r="M38" s="304"/>
      <c r="N38" s="303">
        <v>0</v>
      </c>
      <c r="O38" s="303">
        <v>0</v>
      </c>
      <c r="P38" s="303">
        <v>0</v>
      </c>
      <c r="Q38" s="303">
        <v>0</v>
      </c>
      <c r="R38" s="304">
        <v>0</v>
      </c>
      <c r="S38" s="303"/>
      <c r="T38" s="303"/>
      <c r="U38" s="303"/>
      <c r="V38" s="303"/>
      <c r="W38" s="304"/>
      <c r="X38" s="303">
        <v>0</v>
      </c>
      <c r="Y38" s="303">
        <v>0</v>
      </c>
      <c r="Z38" s="303">
        <v>0</v>
      </c>
      <c r="AA38" s="303">
        <v>0</v>
      </c>
      <c r="AB38" s="304">
        <v>0</v>
      </c>
      <c r="AC38" s="338">
        <v>0.65</v>
      </c>
      <c r="AD38" s="338">
        <v>0.7</v>
      </c>
      <c r="AE38" s="338">
        <v>0.72499999999999998</v>
      </c>
      <c r="AF38" s="305">
        <v>0</v>
      </c>
      <c r="AG38" s="306">
        <v>0</v>
      </c>
      <c r="AH38" s="305">
        <v>0</v>
      </c>
      <c r="AI38" s="305">
        <v>0</v>
      </c>
      <c r="AJ38" s="305">
        <v>0</v>
      </c>
      <c r="AK38" s="305">
        <v>0</v>
      </c>
      <c r="AL38" s="306">
        <v>0</v>
      </c>
      <c r="AM38" s="339">
        <v>0.2</v>
      </c>
      <c r="AN38" s="339">
        <v>0.22</v>
      </c>
      <c r="AO38" s="339">
        <v>0.25</v>
      </c>
      <c r="AP38" s="303">
        <v>0</v>
      </c>
      <c r="AQ38" s="306">
        <v>0</v>
      </c>
      <c r="AR38" s="303"/>
      <c r="AS38" s="303"/>
      <c r="AT38" s="303"/>
      <c r="AU38" s="303"/>
      <c r="AV38" s="304"/>
      <c r="AW38" s="303">
        <v>0</v>
      </c>
      <c r="AX38" s="303">
        <v>0</v>
      </c>
      <c r="AY38" s="303">
        <v>0</v>
      </c>
      <c r="AZ38" s="303">
        <v>0</v>
      </c>
      <c r="BA38" s="304">
        <v>0</v>
      </c>
      <c r="BB38" s="311">
        <v>21450</v>
      </c>
      <c r="BC38" s="311">
        <v>17160</v>
      </c>
      <c r="BD38" s="311">
        <v>14371.5</v>
      </c>
      <c r="BE38" s="311">
        <v>14371.5</v>
      </c>
      <c r="BF38" s="312">
        <v>14371.5</v>
      </c>
      <c r="BG38" s="311">
        <v>2550</v>
      </c>
      <c r="BH38" s="311">
        <v>2550</v>
      </c>
      <c r="BI38" s="311">
        <v>2550</v>
      </c>
      <c r="BJ38" s="311">
        <v>2550</v>
      </c>
      <c r="BK38" s="312">
        <v>2550</v>
      </c>
      <c r="BL38" s="311">
        <v>310</v>
      </c>
      <c r="BM38" s="307">
        <v>0</v>
      </c>
      <c r="BN38" s="307">
        <v>0</v>
      </c>
      <c r="BO38" s="307">
        <v>0</v>
      </c>
      <c r="BP38" s="308">
        <v>0</v>
      </c>
      <c r="BQ38" s="340">
        <v>0</v>
      </c>
      <c r="BR38" s="305">
        <v>0</v>
      </c>
      <c r="BS38" s="305">
        <v>0</v>
      </c>
      <c r="BT38" s="307">
        <v>0</v>
      </c>
      <c r="BU38" s="308">
        <v>0</v>
      </c>
      <c r="BV38" s="310" t="s">
        <v>360</v>
      </c>
      <c r="BW38" s="307">
        <v>2145</v>
      </c>
      <c r="BX38" s="307">
        <v>1716</v>
      </c>
      <c r="BY38" s="307">
        <v>1437.15</v>
      </c>
      <c r="BZ38" s="307">
        <v>1437.15</v>
      </c>
      <c r="CA38" s="308">
        <v>1437.15</v>
      </c>
      <c r="CB38" s="307">
        <v>255</v>
      </c>
      <c r="CC38" s="307">
        <v>255</v>
      </c>
      <c r="CD38" s="307">
        <v>255</v>
      </c>
      <c r="CE38" s="307">
        <v>255</v>
      </c>
      <c r="CF38" s="308">
        <v>255</v>
      </c>
      <c r="CG38" s="309">
        <v>31</v>
      </c>
      <c r="CH38" s="307">
        <v>0</v>
      </c>
      <c r="CI38" s="307">
        <v>0</v>
      </c>
      <c r="CJ38" s="307">
        <v>0</v>
      </c>
      <c r="CK38" s="308">
        <v>0</v>
      </c>
    </row>
    <row r="39" spans="1:89" s="298" customFormat="1" x14ac:dyDescent="0.2">
      <c r="A39" s="299" t="s">
        <v>392</v>
      </c>
      <c r="B39" s="300" t="s">
        <v>482</v>
      </c>
      <c r="C39" s="301" t="s">
        <v>393</v>
      </c>
      <c r="D39" s="302" t="s">
        <v>483</v>
      </c>
      <c r="E39" s="303" t="s">
        <v>484</v>
      </c>
      <c r="F39" s="303" t="s">
        <v>485</v>
      </c>
      <c r="G39" s="303">
        <v>0</v>
      </c>
      <c r="H39" s="304">
        <v>0</v>
      </c>
      <c r="I39" s="303">
        <v>1</v>
      </c>
      <c r="J39" s="303">
        <v>1</v>
      </c>
      <c r="K39" s="303">
        <v>1</v>
      </c>
      <c r="L39" s="303">
        <v>0</v>
      </c>
      <c r="M39" s="304">
        <v>0</v>
      </c>
      <c r="N39" s="303" t="s">
        <v>486</v>
      </c>
      <c r="O39" s="303" t="s">
        <v>486</v>
      </c>
      <c r="P39" s="303" t="s">
        <v>486</v>
      </c>
      <c r="Q39" s="303">
        <v>0</v>
      </c>
      <c r="R39" s="304">
        <v>0</v>
      </c>
      <c r="S39" s="303"/>
      <c r="T39" s="303"/>
      <c r="U39" s="303"/>
      <c r="V39" s="303"/>
      <c r="W39" s="304"/>
      <c r="X39" s="303" t="s">
        <v>481</v>
      </c>
      <c r="Y39" s="303" t="s">
        <v>481</v>
      </c>
      <c r="Z39" s="303" t="s">
        <v>481</v>
      </c>
      <c r="AA39" s="303">
        <v>0</v>
      </c>
      <c r="AB39" s="304">
        <v>0</v>
      </c>
      <c r="AC39" s="305">
        <v>0.89500000000000002</v>
      </c>
      <c r="AD39" s="305">
        <v>0.94</v>
      </c>
      <c r="AE39" s="305">
        <v>0.98499999999999999</v>
      </c>
      <c r="AF39" s="305">
        <v>0</v>
      </c>
      <c r="AG39" s="306">
        <v>0</v>
      </c>
      <c r="AH39" s="305">
        <v>0.77500000000000002</v>
      </c>
      <c r="AI39" s="305">
        <v>0.8</v>
      </c>
      <c r="AJ39" s="305">
        <v>0.82499999999999996</v>
      </c>
      <c r="AK39" s="305">
        <v>0</v>
      </c>
      <c r="AL39" s="306">
        <v>0</v>
      </c>
      <c r="AM39" s="305">
        <v>0.12</v>
      </c>
      <c r="AN39" s="305">
        <v>0.14000000000000001</v>
      </c>
      <c r="AO39" s="305">
        <v>0.16</v>
      </c>
      <c r="AP39" s="305">
        <v>0</v>
      </c>
      <c r="AQ39" s="306">
        <v>0</v>
      </c>
      <c r="AR39" s="303"/>
      <c r="AS39" s="303"/>
      <c r="AT39" s="303"/>
      <c r="AU39" s="303"/>
      <c r="AV39" s="304"/>
      <c r="AW39" s="303">
        <v>10</v>
      </c>
      <c r="AX39" s="303" t="s">
        <v>474</v>
      </c>
      <c r="AY39" s="303" t="s">
        <v>474</v>
      </c>
      <c r="AZ39" s="303">
        <v>0</v>
      </c>
      <c r="BA39" s="304">
        <v>0</v>
      </c>
      <c r="BB39" s="307">
        <v>12000</v>
      </c>
      <c r="BC39" s="307">
        <v>7000</v>
      </c>
      <c r="BD39" s="307">
        <v>5000</v>
      </c>
      <c r="BE39" s="307">
        <v>0</v>
      </c>
      <c r="BF39" s="308">
        <v>0</v>
      </c>
      <c r="BG39" s="307">
        <v>2500</v>
      </c>
      <c r="BH39" s="307">
        <v>2500</v>
      </c>
      <c r="BI39" s="307">
        <v>2500</v>
      </c>
      <c r="BJ39" s="307">
        <v>0</v>
      </c>
      <c r="BK39" s="308">
        <v>0</v>
      </c>
      <c r="BL39" s="303">
        <v>0</v>
      </c>
      <c r="BM39" s="303">
        <v>0</v>
      </c>
      <c r="BN39" s="303">
        <v>0</v>
      </c>
      <c r="BO39" s="303">
        <v>0</v>
      </c>
      <c r="BP39" s="304">
        <v>0</v>
      </c>
      <c r="BQ39" s="333">
        <v>0.75</v>
      </c>
      <c r="BR39" s="334">
        <v>0.75</v>
      </c>
      <c r="BS39" s="334">
        <v>0.75</v>
      </c>
      <c r="BT39" s="303">
        <v>0</v>
      </c>
      <c r="BU39" s="304">
        <v>0</v>
      </c>
      <c r="BV39" s="310" t="s">
        <v>394</v>
      </c>
      <c r="BW39" s="311">
        <v>1263.1578947368421</v>
      </c>
      <c r="BX39" s="311">
        <v>875</v>
      </c>
      <c r="BY39" s="311">
        <v>909.09090909090912</v>
      </c>
      <c r="BZ39" s="311" t="s">
        <v>455</v>
      </c>
      <c r="CA39" s="312" t="s">
        <v>455</v>
      </c>
      <c r="CB39" s="311">
        <v>263.15789473684208</v>
      </c>
      <c r="CC39" s="311">
        <v>312.5</v>
      </c>
      <c r="CD39" s="311">
        <v>454.54545454545456</v>
      </c>
      <c r="CE39" s="311" t="s">
        <v>455</v>
      </c>
      <c r="CF39" s="312" t="s">
        <v>455</v>
      </c>
      <c r="CG39" s="309">
        <v>0</v>
      </c>
      <c r="CH39" s="307">
        <v>0</v>
      </c>
      <c r="CI39" s="307">
        <v>0</v>
      </c>
      <c r="CJ39" s="307">
        <v>0</v>
      </c>
      <c r="CK39" s="308">
        <v>0</v>
      </c>
    </row>
    <row r="40" spans="1:89" s="298" customFormat="1" x14ac:dyDescent="0.2">
      <c r="A40" s="299" t="s">
        <v>395</v>
      </c>
      <c r="B40" s="300" t="s">
        <v>487</v>
      </c>
      <c r="C40" s="301" t="s">
        <v>396</v>
      </c>
      <c r="D40" s="302">
        <v>15</v>
      </c>
      <c r="E40" s="303">
        <v>14</v>
      </c>
      <c r="F40" s="303">
        <v>13</v>
      </c>
      <c r="G40" s="303">
        <v>0</v>
      </c>
      <c r="H40" s="304">
        <v>0</v>
      </c>
      <c r="I40" s="303">
        <v>7</v>
      </c>
      <c r="J40" s="303">
        <v>7</v>
      </c>
      <c r="K40" s="303">
        <v>7</v>
      </c>
      <c r="L40" s="303">
        <v>0</v>
      </c>
      <c r="M40" s="304">
        <v>0</v>
      </c>
      <c r="N40" s="303" t="s">
        <v>486</v>
      </c>
      <c r="O40" s="303" t="s">
        <v>486</v>
      </c>
      <c r="P40" s="303" t="s">
        <v>486</v>
      </c>
      <c r="Q40" s="303">
        <v>0</v>
      </c>
      <c r="R40" s="304">
        <v>0</v>
      </c>
      <c r="S40" s="303"/>
      <c r="T40" s="303"/>
      <c r="U40" s="303"/>
      <c r="V40" s="303"/>
      <c r="W40" s="304"/>
      <c r="X40" s="303" t="s">
        <v>488</v>
      </c>
      <c r="Y40" s="303" t="s">
        <v>488</v>
      </c>
      <c r="Z40" s="303" t="s">
        <v>488</v>
      </c>
      <c r="AA40" s="303">
        <v>0</v>
      </c>
      <c r="AB40" s="304">
        <v>0</v>
      </c>
      <c r="AC40" s="305">
        <v>0.8</v>
      </c>
      <c r="AD40" s="305">
        <v>0.82</v>
      </c>
      <c r="AE40" s="305">
        <v>0.85</v>
      </c>
      <c r="AF40" s="305">
        <v>0</v>
      </c>
      <c r="AG40" s="306">
        <v>0</v>
      </c>
      <c r="AH40" s="305">
        <v>0.55000000000000004</v>
      </c>
      <c r="AI40" s="305">
        <v>0.55000000000000004</v>
      </c>
      <c r="AJ40" s="305">
        <v>0.55000000000000004</v>
      </c>
      <c r="AK40" s="305">
        <v>0</v>
      </c>
      <c r="AL40" s="306">
        <v>0</v>
      </c>
      <c r="AM40" s="305">
        <v>0.25</v>
      </c>
      <c r="AN40" s="305">
        <v>0.27</v>
      </c>
      <c r="AO40" s="305">
        <v>0.3</v>
      </c>
      <c r="AP40" s="305">
        <v>0</v>
      </c>
      <c r="AQ40" s="306">
        <v>0</v>
      </c>
      <c r="AR40" s="303"/>
      <c r="AS40" s="303"/>
      <c r="AT40" s="303"/>
      <c r="AU40" s="303"/>
      <c r="AV40" s="304"/>
      <c r="AW40" s="303">
        <v>10</v>
      </c>
      <c r="AX40" s="303" t="s">
        <v>474</v>
      </c>
      <c r="AY40" s="303" t="s">
        <v>474</v>
      </c>
      <c r="AZ40" s="303">
        <v>0</v>
      </c>
      <c r="BA40" s="304">
        <v>0</v>
      </c>
      <c r="BB40" s="307">
        <v>20000</v>
      </c>
      <c r="BC40" s="307">
        <v>18000</v>
      </c>
      <c r="BD40" s="307">
        <v>15000</v>
      </c>
      <c r="BE40" s="307">
        <v>0</v>
      </c>
      <c r="BF40" s="308">
        <v>0</v>
      </c>
      <c r="BG40" s="307">
        <v>200</v>
      </c>
      <c r="BH40" s="307">
        <v>200</v>
      </c>
      <c r="BI40" s="307">
        <v>200</v>
      </c>
      <c r="BJ40" s="307">
        <v>0</v>
      </c>
      <c r="BK40" s="308">
        <v>0</v>
      </c>
      <c r="BL40" s="303">
        <v>0</v>
      </c>
      <c r="BM40" s="303">
        <v>0</v>
      </c>
      <c r="BN40" s="303">
        <v>0</v>
      </c>
      <c r="BO40" s="303">
        <v>0</v>
      </c>
      <c r="BP40" s="304">
        <v>0</v>
      </c>
      <c r="BQ40" s="333">
        <v>0.7</v>
      </c>
      <c r="BR40" s="334">
        <v>0.7</v>
      </c>
      <c r="BS40" s="334">
        <v>0.7</v>
      </c>
      <c r="BT40" s="303">
        <v>0</v>
      </c>
      <c r="BU40" s="304">
        <v>0</v>
      </c>
      <c r="BV40" s="310" t="s">
        <v>394</v>
      </c>
      <c r="BW40" s="307">
        <v>1333.3333333333333</v>
      </c>
      <c r="BX40" s="307">
        <v>1200</v>
      </c>
      <c r="BY40" s="307">
        <v>1000</v>
      </c>
      <c r="BZ40" s="307">
        <v>0</v>
      </c>
      <c r="CA40" s="308">
        <v>0</v>
      </c>
      <c r="CB40" s="307">
        <v>13.333333333333334</v>
      </c>
      <c r="CC40" s="307">
        <v>13.333333333333334</v>
      </c>
      <c r="CD40" s="307">
        <v>13.333333333333334</v>
      </c>
      <c r="CE40" s="307">
        <v>0</v>
      </c>
      <c r="CF40" s="308">
        <v>0</v>
      </c>
      <c r="CG40" s="309">
        <v>0</v>
      </c>
      <c r="CH40" s="307">
        <v>0</v>
      </c>
      <c r="CI40" s="307">
        <v>0</v>
      </c>
      <c r="CJ40" s="307">
        <v>0</v>
      </c>
      <c r="CK40" s="308">
        <v>0</v>
      </c>
    </row>
    <row r="41" spans="1:89" s="298" customFormat="1" x14ac:dyDescent="0.2">
      <c r="A41" s="299" t="s">
        <v>397</v>
      </c>
      <c r="B41" s="300" t="s">
        <v>489</v>
      </c>
      <c r="C41" s="301" t="s">
        <v>398</v>
      </c>
      <c r="D41" s="302" t="s">
        <v>490</v>
      </c>
      <c r="E41" s="303" t="s">
        <v>490</v>
      </c>
      <c r="F41" s="303" t="s">
        <v>490</v>
      </c>
      <c r="G41" s="303" t="s">
        <v>455</v>
      </c>
      <c r="H41" s="304" t="s">
        <v>455</v>
      </c>
      <c r="I41" s="303" t="s">
        <v>491</v>
      </c>
      <c r="J41" s="303" t="s">
        <v>491</v>
      </c>
      <c r="K41" s="303" t="s">
        <v>491</v>
      </c>
      <c r="L41" s="303">
        <v>0</v>
      </c>
      <c r="M41" s="304">
        <v>0</v>
      </c>
      <c r="N41" s="303" t="s">
        <v>492</v>
      </c>
      <c r="O41" s="303" t="s">
        <v>492</v>
      </c>
      <c r="P41" s="303" t="s">
        <v>492</v>
      </c>
      <c r="Q41" s="303">
        <v>0</v>
      </c>
      <c r="R41" s="304">
        <v>0</v>
      </c>
      <c r="S41" s="303"/>
      <c r="T41" s="303"/>
      <c r="U41" s="303"/>
      <c r="V41" s="303"/>
      <c r="W41" s="304"/>
      <c r="X41" s="303" t="s">
        <v>493</v>
      </c>
      <c r="Y41" s="303" t="s">
        <v>493</v>
      </c>
      <c r="Z41" s="303" t="s">
        <v>493</v>
      </c>
      <c r="AA41" s="303">
        <v>0</v>
      </c>
      <c r="AB41" s="304">
        <v>0</v>
      </c>
      <c r="AC41" s="305">
        <v>0.875</v>
      </c>
      <c r="AD41" s="305">
        <v>0.47499999999999998</v>
      </c>
      <c r="AE41" s="305">
        <v>0.98499999999999999</v>
      </c>
      <c r="AF41" s="305">
        <v>0</v>
      </c>
      <c r="AG41" s="306">
        <v>0</v>
      </c>
      <c r="AH41" s="305">
        <v>0.55000000000000004</v>
      </c>
      <c r="AI41" s="305">
        <v>0.52500000000000002</v>
      </c>
      <c r="AJ41" s="305">
        <v>0.52500000000000002</v>
      </c>
      <c r="AK41" s="305">
        <v>0</v>
      </c>
      <c r="AL41" s="306">
        <v>0</v>
      </c>
      <c r="AM41" s="305">
        <v>0.375</v>
      </c>
      <c r="AN41" s="305">
        <v>0.45</v>
      </c>
      <c r="AO41" s="305">
        <v>0.47499999999999998</v>
      </c>
      <c r="AP41" s="305">
        <v>0</v>
      </c>
      <c r="AQ41" s="306">
        <v>0</v>
      </c>
      <c r="AR41" s="303"/>
      <c r="AS41" s="303"/>
      <c r="AT41" s="303"/>
      <c r="AU41" s="303"/>
      <c r="AV41" s="304"/>
      <c r="AW41" s="303" t="s">
        <v>494</v>
      </c>
      <c r="AX41" s="303" t="s">
        <v>495</v>
      </c>
      <c r="AY41" s="303" t="s">
        <v>495</v>
      </c>
      <c r="AZ41" s="303">
        <v>0</v>
      </c>
      <c r="BA41" s="304">
        <v>0</v>
      </c>
      <c r="BB41" s="307">
        <v>21000</v>
      </c>
      <c r="BC41" s="311">
        <v>18900</v>
      </c>
      <c r="BD41" s="311">
        <v>15750</v>
      </c>
      <c r="BE41" s="307">
        <v>0</v>
      </c>
      <c r="BF41" s="308">
        <v>0</v>
      </c>
      <c r="BG41" s="307">
        <v>2500</v>
      </c>
      <c r="BH41" s="307">
        <v>2500</v>
      </c>
      <c r="BI41" s="307">
        <v>2500</v>
      </c>
      <c r="BJ41" s="307">
        <v>0</v>
      </c>
      <c r="BK41" s="308">
        <v>0</v>
      </c>
      <c r="BL41" s="318">
        <v>500</v>
      </c>
      <c r="BM41" s="303">
        <v>0</v>
      </c>
      <c r="BN41" s="303">
        <v>0</v>
      </c>
      <c r="BO41" s="303">
        <v>0</v>
      </c>
      <c r="BP41" s="304">
        <v>0</v>
      </c>
      <c r="BQ41" s="302">
        <v>0</v>
      </c>
      <c r="BR41" s="303">
        <v>0</v>
      </c>
      <c r="BS41" s="303">
        <v>0</v>
      </c>
      <c r="BT41" s="303">
        <v>0</v>
      </c>
      <c r="BU41" s="304">
        <v>0</v>
      </c>
      <c r="BV41" s="310" t="s">
        <v>394</v>
      </c>
      <c r="BW41" s="307">
        <v>14000</v>
      </c>
      <c r="BX41" s="307">
        <v>12600</v>
      </c>
      <c r="BY41" s="307">
        <v>10500</v>
      </c>
      <c r="BZ41" s="307">
        <v>0</v>
      </c>
      <c r="CA41" s="308">
        <v>0</v>
      </c>
      <c r="CB41" s="307">
        <v>1666.6666666666667</v>
      </c>
      <c r="CC41" s="307">
        <v>1666.6666666666667</v>
      </c>
      <c r="CD41" s="307">
        <v>1666.6666666666667</v>
      </c>
      <c r="CE41" s="307">
        <v>0</v>
      </c>
      <c r="CF41" s="308">
        <v>0</v>
      </c>
      <c r="CG41" s="309">
        <v>333.33333333333331</v>
      </c>
      <c r="CH41" s="307">
        <v>0</v>
      </c>
      <c r="CI41" s="307">
        <v>0</v>
      </c>
      <c r="CJ41" s="307">
        <v>0</v>
      </c>
      <c r="CK41" s="308">
        <v>0</v>
      </c>
    </row>
    <row r="42" spans="1:89" s="298" customFormat="1" x14ac:dyDescent="0.2">
      <c r="A42" s="299" t="s">
        <v>399</v>
      </c>
      <c r="B42" s="300" t="s">
        <v>496</v>
      </c>
      <c r="C42" s="301" t="s">
        <v>400</v>
      </c>
      <c r="D42" s="302">
        <v>1.6</v>
      </c>
      <c r="E42" s="303">
        <v>1.6</v>
      </c>
      <c r="F42" s="303">
        <v>1.6</v>
      </c>
      <c r="G42" s="303">
        <v>0</v>
      </c>
      <c r="H42" s="304">
        <v>0</v>
      </c>
      <c r="I42" s="303">
        <v>1.4</v>
      </c>
      <c r="J42" s="303">
        <v>1.4</v>
      </c>
      <c r="K42" s="303">
        <v>1.4</v>
      </c>
      <c r="L42" s="303">
        <v>0</v>
      </c>
      <c r="M42" s="304">
        <v>0</v>
      </c>
      <c r="N42" s="303" t="s">
        <v>481</v>
      </c>
      <c r="O42" s="303" t="s">
        <v>481</v>
      </c>
      <c r="P42" s="303" t="s">
        <v>481</v>
      </c>
      <c r="Q42" s="303">
        <v>0</v>
      </c>
      <c r="R42" s="304">
        <v>0</v>
      </c>
      <c r="S42" s="303"/>
      <c r="T42" s="303"/>
      <c r="U42" s="303"/>
      <c r="V42" s="303"/>
      <c r="W42" s="304"/>
      <c r="X42" s="303" t="s">
        <v>481</v>
      </c>
      <c r="Y42" s="303" t="s">
        <v>481</v>
      </c>
      <c r="Z42" s="303" t="s">
        <v>481</v>
      </c>
      <c r="AA42" s="303">
        <v>0</v>
      </c>
      <c r="AB42" s="304">
        <v>0</v>
      </c>
      <c r="AC42" s="305">
        <v>0.875</v>
      </c>
      <c r="AD42" s="305">
        <v>0.94</v>
      </c>
      <c r="AE42" s="305">
        <v>0.98499999999999999</v>
      </c>
      <c r="AF42" s="305">
        <v>0</v>
      </c>
      <c r="AG42" s="306">
        <v>0</v>
      </c>
      <c r="AH42" s="305">
        <v>0.4</v>
      </c>
      <c r="AI42" s="305">
        <v>0.44</v>
      </c>
      <c r="AJ42" s="305">
        <v>0.45</v>
      </c>
      <c r="AK42" s="305">
        <v>0</v>
      </c>
      <c r="AL42" s="306">
        <v>0</v>
      </c>
      <c r="AM42" s="305">
        <v>0.47499999999999998</v>
      </c>
      <c r="AN42" s="305">
        <v>0.505</v>
      </c>
      <c r="AO42" s="305">
        <v>0.54500000000000004</v>
      </c>
      <c r="AP42" s="305">
        <v>0</v>
      </c>
      <c r="AQ42" s="306">
        <v>0</v>
      </c>
      <c r="AR42" s="303"/>
      <c r="AS42" s="303"/>
      <c r="AT42" s="303"/>
      <c r="AU42" s="303"/>
      <c r="AV42" s="304"/>
      <c r="AW42" s="303">
        <v>7</v>
      </c>
      <c r="AX42" s="303" t="s">
        <v>474</v>
      </c>
      <c r="AY42" s="303" t="s">
        <v>474</v>
      </c>
      <c r="AZ42" s="303">
        <v>0</v>
      </c>
      <c r="BA42" s="304">
        <v>0</v>
      </c>
      <c r="BB42" s="307">
        <v>10500</v>
      </c>
      <c r="BC42" s="311">
        <v>9450</v>
      </c>
      <c r="BD42" s="311">
        <v>7875</v>
      </c>
      <c r="BE42" s="307">
        <v>0</v>
      </c>
      <c r="BF42" s="308">
        <v>0</v>
      </c>
      <c r="BG42" s="307">
        <v>2500</v>
      </c>
      <c r="BH42" s="307">
        <v>2500</v>
      </c>
      <c r="BI42" s="307">
        <v>2500</v>
      </c>
      <c r="BJ42" s="307">
        <v>0</v>
      </c>
      <c r="BK42" s="308">
        <v>0</v>
      </c>
      <c r="BL42" s="318">
        <v>500</v>
      </c>
      <c r="BM42" s="303">
        <v>0</v>
      </c>
      <c r="BN42" s="303">
        <v>0</v>
      </c>
      <c r="BO42" s="303">
        <v>0</v>
      </c>
      <c r="BP42" s="304">
        <v>0</v>
      </c>
      <c r="BQ42" s="302">
        <v>0</v>
      </c>
      <c r="BR42" s="303">
        <v>0</v>
      </c>
      <c r="BS42" s="303">
        <v>0</v>
      </c>
      <c r="BT42" s="303">
        <v>0</v>
      </c>
      <c r="BU42" s="304">
        <v>0</v>
      </c>
      <c r="BV42" s="310" t="s">
        <v>394</v>
      </c>
      <c r="BW42" s="307">
        <v>6562.5</v>
      </c>
      <c r="BX42" s="307">
        <v>5906.25</v>
      </c>
      <c r="BY42" s="307">
        <v>4921.875</v>
      </c>
      <c r="BZ42" s="307">
        <v>0</v>
      </c>
      <c r="CA42" s="308">
        <v>0</v>
      </c>
      <c r="CB42" s="307">
        <v>1562.5</v>
      </c>
      <c r="CC42" s="307">
        <v>1562.5</v>
      </c>
      <c r="CD42" s="307">
        <v>1562.5</v>
      </c>
      <c r="CE42" s="307">
        <v>0</v>
      </c>
      <c r="CF42" s="308">
        <v>0</v>
      </c>
      <c r="CG42" s="309">
        <v>312.5</v>
      </c>
      <c r="CH42" s="307">
        <v>0</v>
      </c>
      <c r="CI42" s="307">
        <v>0</v>
      </c>
      <c r="CJ42" s="307">
        <v>0</v>
      </c>
      <c r="CK42" s="308">
        <v>0</v>
      </c>
    </row>
    <row r="43" spans="1:89" s="298" customFormat="1" x14ac:dyDescent="0.2">
      <c r="A43" s="291" t="s">
        <v>401</v>
      </c>
      <c r="B43" s="292"/>
      <c r="C43" s="293"/>
      <c r="D43" s="294"/>
      <c r="E43" s="295"/>
      <c r="F43" s="295"/>
      <c r="G43" s="295"/>
      <c r="H43" s="296"/>
      <c r="I43" s="295"/>
      <c r="J43" s="295"/>
      <c r="K43" s="295"/>
      <c r="L43" s="295"/>
      <c r="M43" s="296"/>
      <c r="N43" s="295"/>
      <c r="O43" s="295"/>
      <c r="P43" s="295"/>
      <c r="Q43" s="295"/>
      <c r="R43" s="296"/>
      <c r="S43" s="295"/>
      <c r="T43" s="295"/>
      <c r="U43" s="295"/>
      <c r="V43" s="295"/>
      <c r="W43" s="296"/>
      <c r="X43" s="295"/>
      <c r="Y43" s="295"/>
      <c r="Z43" s="295"/>
      <c r="AA43" s="295"/>
      <c r="AB43" s="296"/>
      <c r="AC43" s="320">
        <v>0</v>
      </c>
      <c r="AD43" s="320">
        <v>0</v>
      </c>
      <c r="AE43" s="320">
        <v>0</v>
      </c>
      <c r="AF43" s="320">
        <v>0</v>
      </c>
      <c r="AG43" s="321">
        <v>0</v>
      </c>
      <c r="AH43" s="320">
        <v>0</v>
      </c>
      <c r="AI43" s="320">
        <v>0</v>
      </c>
      <c r="AJ43" s="320">
        <v>0</v>
      </c>
      <c r="AK43" s="320">
        <v>0</v>
      </c>
      <c r="AL43" s="321">
        <v>0</v>
      </c>
      <c r="AM43" s="320">
        <v>0</v>
      </c>
      <c r="AN43" s="320">
        <v>0</v>
      </c>
      <c r="AO43" s="320">
        <v>0</v>
      </c>
      <c r="AP43" s="320">
        <v>0</v>
      </c>
      <c r="AQ43" s="321">
        <v>0</v>
      </c>
      <c r="AR43" s="295"/>
      <c r="AS43" s="295"/>
      <c r="AT43" s="295"/>
      <c r="AU43" s="295"/>
      <c r="AV43" s="296"/>
      <c r="AW43" s="295"/>
      <c r="AX43" s="295"/>
      <c r="AY43" s="295"/>
      <c r="AZ43" s="295"/>
      <c r="BA43" s="296"/>
      <c r="BB43" s="295"/>
      <c r="BC43" s="295"/>
      <c r="BD43" s="295"/>
      <c r="BE43" s="295"/>
      <c r="BF43" s="296"/>
      <c r="BG43" s="295"/>
      <c r="BH43" s="295"/>
      <c r="BI43" s="295"/>
      <c r="BJ43" s="295"/>
      <c r="BK43" s="296"/>
      <c r="BL43" s="295"/>
      <c r="BM43" s="295"/>
      <c r="BN43" s="295"/>
      <c r="BO43" s="295"/>
      <c r="BP43" s="296"/>
      <c r="BQ43" s="294"/>
      <c r="BR43" s="295"/>
      <c r="BS43" s="295"/>
      <c r="BT43" s="295"/>
      <c r="BU43" s="296"/>
      <c r="BV43" s="297"/>
      <c r="BW43" s="295"/>
      <c r="BX43" s="295"/>
      <c r="BY43" s="295"/>
      <c r="BZ43" s="295"/>
      <c r="CA43" s="296"/>
      <c r="CB43" s="295"/>
      <c r="CC43" s="295"/>
      <c r="CD43" s="295"/>
      <c r="CE43" s="295"/>
      <c r="CF43" s="296"/>
      <c r="CG43" s="294"/>
      <c r="CH43" s="295"/>
      <c r="CI43" s="295"/>
      <c r="CJ43" s="295"/>
      <c r="CK43" s="296"/>
    </row>
    <row r="44" spans="1:89" s="298" customFormat="1" x14ac:dyDescent="0.2">
      <c r="A44" s="299"/>
      <c r="B44" s="300"/>
      <c r="C44" s="301" t="s">
        <v>402</v>
      </c>
      <c r="D44" s="302"/>
      <c r="E44" s="303"/>
      <c r="F44" s="303"/>
      <c r="G44" s="303"/>
      <c r="H44" s="304"/>
      <c r="I44" s="303"/>
      <c r="J44" s="303"/>
      <c r="K44" s="303"/>
      <c r="L44" s="303"/>
      <c r="M44" s="304"/>
      <c r="N44" s="303"/>
      <c r="O44" s="303"/>
      <c r="P44" s="303"/>
      <c r="Q44" s="303"/>
      <c r="R44" s="304"/>
      <c r="S44" s="303"/>
      <c r="T44" s="303"/>
      <c r="U44" s="303"/>
      <c r="V44" s="303"/>
      <c r="W44" s="304"/>
      <c r="X44" s="303"/>
      <c r="Y44" s="303"/>
      <c r="Z44" s="303"/>
      <c r="AA44" s="303"/>
      <c r="AB44" s="304"/>
      <c r="AC44" s="305">
        <v>0</v>
      </c>
      <c r="AD44" s="305">
        <v>0</v>
      </c>
      <c r="AE44" s="305">
        <v>0</v>
      </c>
      <c r="AF44" s="305">
        <v>0</v>
      </c>
      <c r="AG44" s="306">
        <v>0</v>
      </c>
      <c r="AH44" s="305">
        <v>0</v>
      </c>
      <c r="AI44" s="305">
        <v>0</v>
      </c>
      <c r="AJ44" s="305">
        <v>0</v>
      </c>
      <c r="AK44" s="305">
        <v>0</v>
      </c>
      <c r="AL44" s="306">
        <v>0</v>
      </c>
      <c r="AM44" s="305">
        <v>0</v>
      </c>
      <c r="AN44" s="305">
        <v>0</v>
      </c>
      <c r="AO44" s="305">
        <v>0</v>
      </c>
      <c r="AP44" s="305">
        <v>0</v>
      </c>
      <c r="AQ44" s="306">
        <v>0</v>
      </c>
      <c r="AR44" s="303"/>
      <c r="AS44" s="303"/>
      <c r="AT44" s="303"/>
      <c r="AU44" s="303"/>
      <c r="AV44" s="304"/>
      <c r="AW44" s="303"/>
      <c r="AX44" s="303"/>
      <c r="AY44" s="303"/>
      <c r="AZ44" s="303"/>
      <c r="BA44" s="304"/>
      <c r="BB44" s="307">
        <v>0</v>
      </c>
      <c r="BC44" s="307">
        <v>0</v>
      </c>
      <c r="BD44" s="307">
        <v>0</v>
      </c>
      <c r="BE44" s="307">
        <v>0</v>
      </c>
      <c r="BF44" s="308">
        <v>0</v>
      </c>
      <c r="BG44" s="303"/>
      <c r="BH44" s="303"/>
      <c r="BI44" s="303"/>
      <c r="BJ44" s="303"/>
      <c r="BK44" s="304"/>
      <c r="BL44" s="303"/>
      <c r="BM44" s="303"/>
      <c r="BN44" s="303"/>
      <c r="BO44" s="303"/>
      <c r="BP44" s="304"/>
      <c r="BQ44" s="302"/>
      <c r="BR44" s="303"/>
      <c r="BS44" s="303"/>
      <c r="BT44" s="303"/>
      <c r="BU44" s="304"/>
      <c r="BV44" s="310"/>
      <c r="BW44" s="307"/>
      <c r="BX44" s="307"/>
      <c r="BY44" s="307"/>
      <c r="BZ44" s="307"/>
      <c r="CA44" s="308"/>
      <c r="CB44" s="307"/>
      <c r="CC44" s="307"/>
      <c r="CD44" s="307"/>
      <c r="CE44" s="307"/>
      <c r="CF44" s="308"/>
      <c r="CG44" s="309"/>
      <c r="CH44" s="307"/>
      <c r="CI44" s="307"/>
      <c r="CJ44" s="307"/>
      <c r="CK44" s="308"/>
    </row>
    <row r="45" spans="1:89" s="298" customFormat="1" x14ac:dyDescent="0.2">
      <c r="A45" s="299" t="s">
        <v>403</v>
      </c>
      <c r="B45" s="300" t="s">
        <v>497</v>
      </c>
      <c r="C45" s="301" t="s">
        <v>404</v>
      </c>
      <c r="D45" s="302">
        <v>4.2</v>
      </c>
      <c r="E45" s="303">
        <v>4.2</v>
      </c>
      <c r="F45" s="303">
        <v>4.2</v>
      </c>
      <c r="G45" s="303">
        <v>4.2</v>
      </c>
      <c r="H45" s="304">
        <v>4.2</v>
      </c>
      <c r="I45" s="303"/>
      <c r="J45" s="303"/>
      <c r="K45" s="303"/>
      <c r="L45" s="303"/>
      <c r="M45" s="304"/>
      <c r="N45" s="303">
        <v>10</v>
      </c>
      <c r="O45" s="303">
        <v>10</v>
      </c>
      <c r="P45" s="303">
        <v>12</v>
      </c>
      <c r="Q45" s="303">
        <v>12</v>
      </c>
      <c r="R45" s="304">
        <v>12</v>
      </c>
      <c r="S45" s="303"/>
      <c r="T45" s="303"/>
      <c r="U45" s="303"/>
      <c r="V45" s="303"/>
      <c r="W45" s="304"/>
      <c r="X45" s="303">
        <v>65</v>
      </c>
      <c r="Y45" s="303">
        <v>65</v>
      </c>
      <c r="Z45" s="303">
        <v>70</v>
      </c>
      <c r="AA45" s="303">
        <v>70</v>
      </c>
      <c r="AB45" s="304">
        <v>70</v>
      </c>
      <c r="AC45" s="305">
        <v>0</v>
      </c>
      <c r="AD45" s="305">
        <v>0</v>
      </c>
      <c r="AE45" s="305">
        <v>0</v>
      </c>
      <c r="AF45" s="305">
        <v>0</v>
      </c>
      <c r="AG45" s="306">
        <v>0</v>
      </c>
      <c r="AH45" s="305">
        <v>0</v>
      </c>
      <c r="AI45" s="305">
        <v>0</v>
      </c>
      <c r="AJ45" s="305">
        <v>0</v>
      </c>
      <c r="AK45" s="305">
        <v>0</v>
      </c>
      <c r="AL45" s="306">
        <v>0</v>
      </c>
      <c r="AM45" s="305">
        <v>0</v>
      </c>
      <c r="AN45" s="305">
        <v>0</v>
      </c>
      <c r="AO45" s="305">
        <v>0</v>
      </c>
      <c r="AP45" s="305">
        <v>0</v>
      </c>
      <c r="AQ45" s="306">
        <v>0</v>
      </c>
      <c r="AR45" s="303"/>
      <c r="AS45" s="303"/>
      <c r="AT45" s="303"/>
      <c r="AU45" s="303"/>
      <c r="AV45" s="304"/>
      <c r="AW45" s="303">
        <v>20</v>
      </c>
      <c r="AX45" s="303">
        <v>25</v>
      </c>
      <c r="AY45" s="303">
        <v>30</v>
      </c>
      <c r="AZ45" s="303">
        <v>30</v>
      </c>
      <c r="BA45" s="304">
        <v>30</v>
      </c>
      <c r="BB45" s="307">
        <v>5400</v>
      </c>
      <c r="BC45" s="307">
        <v>5100</v>
      </c>
      <c r="BD45" s="307">
        <v>4600</v>
      </c>
      <c r="BE45" s="307">
        <v>3700</v>
      </c>
      <c r="BF45" s="308">
        <v>3700</v>
      </c>
      <c r="BG45" s="303">
        <v>0</v>
      </c>
      <c r="BH45" s="303">
        <v>0</v>
      </c>
      <c r="BI45" s="303">
        <v>0</v>
      </c>
      <c r="BJ45" s="303">
        <v>0</v>
      </c>
      <c r="BK45" s="304">
        <v>0</v>
      </c>
      <c r="BL45" s="303">
        <v>62</v>
      </c>
      <c r="BM45" s="303">
        <v>62</v>
      </c>
      <c r="BN45" s="303">
        <v>62</v>
      </c>
      <c r="BO45" s="303">
        <v>62</v>
      </c>
      <c r="BP45" s="304">
        <v>62</v>
      </c>
      <c r="BQ45" s="302"/>
      <c r="BR45" s="303"/>
      <c r="BS45" s="303"/>
      <c r="BT45" s="303"/>
      <c r="BU45" s="304"/>
      <c r="BV45" s="310"/>
      <c r="BW45" s="307">
        <v>1285.7142857142856</v>
      </c>
      <c r="BX45" s="307">
        <v>1214.2857142857142</v>
      </c>
      <c r="BY45" s="307">
        <v>1095.2380952380952</v>
      </c>
      <c r="BZ45" s="307">
        <v>880.95238095238096</v>
      </c>
      <c r="CA45" s="308">
        <v>880.95238095238096</v>
      </c>
      <c r="CB45" s="307">
        <v>0</v>
      </c>
      <c r="CC45" s="307">
        <v>0</v>
      </c>
      <c r="CD45" s="307">
        <v>0</v>
      </c>
      <c r="CE45" s="307">
        <v>0</v>
      </c>
      <c r="CF45" s="308">
        <v>0</v>
      </c>
      <c r="CG45" s="309">
        <v>14.761904761904761</v>
      </c>
      <c r="CH45" s="307">
        <v>14.761904761904761</v>
      </c>
      <c r="CI45" s="307">
        <v>14.761904761904761</v>
      </c>
      <c r="CJ45" s="307">
        <v>14.761904761904761</v>
      </c>
      <c r="CK45" s="308">
        <v>14.761904761904761</v>
      </c>
    </row>
    <row r="46" spans="1:89" s="298" customFormat="1" x14ac:dyDescent="0.2">
      <c r="A46" s="299" t="s">
        <v>405</v>
      </c>
      <c r="B46" s="300" t="s">
        <v>498</v>
      </c>
      <c r="C46" s="301" t="s">
        <v>406</v>
      </c>
      <c r="D46" s="302">
        <v>140</v>
      </c>
      <c r="E46" s="303">
        <v>140</v>
      </c>
      <c r="F46" s="303">
        <v>140</v>
      </c>
      <c r="G46" s="303">
        <v>140</v>
      </c>
      <c r="H46" s="304">
        <v>140</v>
      </c>
      <c r="I46" s="303"/>
      <c r="J46" s="303"/>
      <c r="K46" s="303"/>
      <c r="L46" s="303"/>
      <c r="M46" s="304"/>
      <c r="N46" s="303">
        <v>10</v>
      </c>
      <c r="O46" s="303">
        <v>10</v>
      </c>
      <c r="P46" s="303">
        <v>12</v>
      </c>
      <c r="Q46" s="303">
        <v>12</v>
      </c>
      <c r="R46" s="304">
        <v>12</v>
      </c>
      <c r="S46" s="303"/>
      <c r="T46" s="303"/>
      <c r="U46" s="303"/>
      <c r="V46" s="303"/>
      <c r="W46" s="304"/>
      <c r="X46" s="303">
        <v>65</v>
      </c>
      <c r="Y46" s="303">
        <v>65</v>
      </c>
      <c r="Z46" s="303">
        <v>70</v>
      </c>
      <c r="AA46" s="303">
        <v>70</v>
      </c>
      <c r="AB46" s="304">
        <v>70</v>
      </c>
      <c r="AC46" s="305">
        <v>0</v>
      </c>
      <c r="AD46" s="305">
        <v>0</v>
      </c>
      <c r="AE46" s="305">
        <v>0</v>
      </c>
      <c r="AF46" s="305">
        <v>0</v>
      </c>
      <c r="AG46" s="306">
        <v>0</v>
      </c>
      <c r="AH46" s="305">
        <v>0</v>
      </c>
      <c r="AI46" s="305">
        <v>0</v>
      </c>
      <c r="AJ46" s="305">
        <v>0</v>
      </c>
      <c r="AK46" s="305">
        <v>0</v>
      </c>
      <c r="AL46" s="306">
        <v>0</v>
      </c>
      <c r="AM46" s="305">
        <v>0</v>
      </c>
      <c r="AN46" s="305">
        <v>0</v>
      </c>
      <c r="AO46" s="305">
        <v>0</v>
      </c>
      <c r="AP46" s="305">
        <v>0</v>
      </c>
      <c r="AQ46" s="306">
        <v>0</v>
      </c>
      <c r="AR46" s="303"/>
      <c r="AS46" s="303"/>
      <c r="AT46" s="303"/>
      <c r="AU46" s="303"/>
      <c r="AV46" s="304"/>
      <c r="AW46" s="303">
        <v>20</v>
      </c>
      <c r="AX46" s="303">
        <v>25</v>
      </c>
      <c r="AY46" s="303">
        <v>30</v>
      </c>
      <c r="AZ46" s="303">
        <v>30</v>
      </c>
      <c r="BA46" s="304">
        <v>30</v>
      </c>
      <c r="BB46" s="307">
        <v>90000</v>
      </c>
      <c r="BC46" s="307">
        <v>90000</v>
      </c>
      <c r="BD46" s="307">
        <v>90000</v>
      </c>
      <c r="BE46" s="307">
        <v>90000</v>
      </c>
      <c r="BF46" s="308">
        <v>90000</v>
      </c>
      <c r="BG46" s="303">
        <v>0</v>
      </c>
      <c r="BH46" s="303">
        <v>0</v>
      </c>
      <c r="BI46" s="303">
        <v>0</v>
      </c>
      <c r="BJ46" s="303">
        <v>0</v>
      </c>
      <c r="BK46" s="304">
        <v>0</v>
      </c>
      <c r="BL46" s="303">
        <v>600</v>
      </c>
      <c r="BM46" s="303">
        <v>600</v>
      </c>
      <c r="BN46" s="303">
        <v>600</v>
      </c>
      <c r="BO46" s="303">
        <v>600</v>
      </c>
      <c r="BP46" s="304">
        <v>600</v>
      </c>
      <c r="BQ46" s="302"/>
      <c r="BR46" s="303"/>
      <c r="BS46" s="303"/>
      <c r="BT46" s="303"/>
      <c r="BU46" s="304"/>
      <c r="BV46" s="310"/>
      <c r="BW46" s="307">
        <v>642.85714285714289</v>
      </c>
      <c r="BX46" s="307">
        <v>642.85714285714289</v>
      </c>
      <c r="BY46" s="307">
        <v>642.85714285714289</v>
      </c>
      <c r="BZ46" s="307">
        <v>642.85714285714289</v>
      </c>
      <c r="CA46" s="308">
        <v>642.85714285714289</v>
      </c>
      <c r="CB46" s="307">
        <v>0</v>
      </c>
      <c r="CC46" s="307">
        <v>0</v>
      </c>
      <c r="CD46" s="307">
        <v>0</v>
      </c>
      <c r="CE46" s="307">
        <v>0</v>
      </c>
      <c r="CF46" s="308">
        <v>0</v>
      </c>
      <c r="CG46" s="309">
        <v>4.2857142857142856</v>
      </c>
      <c r="CH46" s="307">
        <v>4.2857142857142856</v>
      </c>
      <c r="CI46" s="307">
        <v>4.2857142857142856</v>
      </c>
      <c r="CJ46" s="307">
        <v>4.2857142857142856</v>
      </c>
      <c r="CK46" s="308">
        <v>4.2857142857142856</v>
      </c>
    </row>
    <row r="47" spans="1:89" s="298" customFormat="1" x14ac:dyDescent="0.2">
      <c r="A47" s="299"/>
      <c r="B47" s="300"/>
      <c r="C47" s="301" t="s">
        <v>407</v>
      </c>
      <c r="D47" s="302"/>
      <c r="E47" s="303"/>
      <c r="F47" s="303"/>
      <c r="G47" s="303"/>
      <c r="H47" s="304"/>
      <c r="I47" s="303"/>
      <c r="J47" s="303"/>
      <c r="K47" s="303"/>
      <c r="L47" s="303"/>
      <c r="M47" s="304"/>
      <c r="N47" s="303"/>
      <c r="O47" s="303"/>
      <c r="P47" s="303"/>
      <c r="Q47" s="303"/>
      <c r="R47" s="304"/>
      <c r="S47" s="303"/>
      <c r="T47" s="303"/>
      <c r="U47" s="303"/>
      <c r="V47" s="303"/>
      <c r="W47" s="304"/>
      <c r="X47" s="303"/>
      <c r="Y47" s="303"/>
      <c r="Z47" s="303"/>
      <c r="AA47" s="303"/>
      <c r="AB47" s="304"/>
      <c r="AC47" s="305">
        <v>0</v>
      </c>
      <c r="AD47" s="305">
        <v>0</v>
      </c>
      <c r="AE47" s="305">
        <v>0</v>
      </c>
      <c r="AF47" s="305">
        <v>0</v>
      </c>
      <c r="AG47" s="306">
        <v>0</v>
      </c>
      <c r="AH47" s="305">
        <v>0</v>
      </c>
      <c r="AI47" s="305">
        <v>0</v>
      </c>
      <c r="AJ47" s="305">
        <v>0</v>
      </c>
      <c r="AK47" s="305">
        <v>0</v>
      </c>
      <c r="AL47" s="306">
        <v>0</v>
      </c>
      <c r="AM47" s="305">
        <v>0</v>
      </c>
      <c r="AN47" s="305">
        <v>0</v>
      </c>
      <c r="AO47" s="305">
        <v>0</v>
      </c>
      <c r="AP47" s="305">
        <v>0</v>
      </c>
      <c r="AQ47" s="306">
        <v>0</v>
      </c>
      <c r="AR47" s="303"/>
      <c r="AS47" s="303"/>
      <c r="AT47" s="303"/>
      <c r="AU47" s="303"/>
      <c r="AV47" s="304"/>
      <c r="AW47" s="303"/>
      <c r="AX47" s="303"/>
      <c r="AY47" s="303"/>
      <c r="AZ47" s="303"/>
      <c r="BA47" s="304"/>
      <c r="BB47" s="307">
        <v>0</v>
      </c>
      <c r="BC47" s="307">
        <v>0</v>
      </c>
      <c r="BD47" s="307">
        <v>0</v>
      </c>
      <c r="BE47" s="307">
        <v>0</v>
      </c>
      <c r="BF47" s="308">
        <v>0</v>
      </c>
      <c r="BG47" s="303"/>
      <c r="BH47" s="303"/>
      <c r="BI47" s="303"/>
      <c r="BJ47" s="303"/>
      <c r="BK47" s="304"/>
      <c r="BL47" s="303"/>
      <c r="BM47" s="303"/>
      <c r="BN47" s="303"/>
      <c r="BO47" s="303"/>
      <c r="BP47" s="304"/>
      <c r="BQ47" s="302"/>
      <c r="BR47" s="303"/>
      <c r="BS47" s="303"/>
      <c r="BT47" s="303"/>
      <c r="BU47" s="304"/>
      <c r="BV47" s="310"/>
      <c r="BW47" s="307"/>
      <c r="BX47" s="307"/>
      <c r="BY47" s="307"/>
      <c r="BZ47" s="307"/>
      <c r="CA47" s="308"/>
      <c r="CB47" s="307"/>
      <c r="CC47" s="307"/>
      <c r="CD47" s="307"/>
      <c r="CE47" s="307"/>
      <c r="CF47" s="308"/>
      <c r="CG47" s="309"/>
      <c r="CH47" s="307"/>
      <c r="CI47" s="307"/>
      <c r="CJ47" s="307"/>
      <c r="CK47" s="308"/>
    </row>
    <row r="48" spans="1:89" s="298" customFormat="1" x14ac:dyDescent="0.2">
      <c r="A48" s="299" t="s">
        <v>408</v>
      </c>
      <c r="B48" s="300" t="s">
        <v>499</v>
      </c>
      <c r="C48" s="301" t="s">
        <v>409</v>
      </c>
      <c r="D48" s="302">
        <v>5</v>
      </c>
      <c r="E48" s="303">
        <v>5</v>
      </c>
      <c r="F48" s="303">
        <v>5</v>
      </c>
      <c r="G48" s="303">
        <v>5</v>
      </c>
      <c r="H48" s="304">
        <v>5</v>
      </c>
      <c r="I48" s="303"/>
      <c r="J48" s="303"/>
      <c r="K48" s="303"/>
      <c r="L48" s="303"/>
      <c r="M48" s="304"/>
      <c r="N48" s="303">
        <v>100</v>
      </c>
      <c r="O48" s="303">
        <v>100</v>
      </c>
      <c r="P48" s="303">
        <v>100</v>
      </c>
      <c r="Q48" s="303">
        <v>100</v>
      </c>
      <c r="R48" s="304">
        <v>100</v>
      </c>
      <c r="S48" s="303"/>
      <c r="T48" s="303"/>
      <c r="U48" s="303"/>
      <c r="V48" s="303"/>
      <c r="W48" s="304"/>
      <c r="X48" s="303">
        <v>100</v>
      </c>
      <c r="Y48" s="303">
        <v>100</v>
      </c>
      <c r="Z48" s="303">
        <v>100</v>
      </c>
      <c r="AA48" s="303">
        <v>100</v>
      </c>
      <c r="AB48" s="304">
        <v>100</v>
      </c>
      <c r="AC48" s="305">
        <v>1</v>
      </c>
      <c r="AD48" s="305">
        <v>1</v>
      </c>
      <c r="AE48" s="305">
        <v>1</v>
      </c>
      <c r="AF48" s="305">
        <v>1</v>
      </c>
      <c r="AG48" s="306">
        <v>1</v>
      </c>
      <c r="AH48" s="305">
        <v>0</v>
      </c>
      <c r="AI48" s="305">
        <v>0</v>
      </c>
      <c r="AJ48" s="305">
        <v>0</v>
      </c>
      <c r="AK48" s="305">
        <v>0</v>
      </c>
      <c r="AL48" s="306">
        <v>0</v>
      </c>
      <c r="AM48" s="305">
        <v>0</v>
      </c>
      <c r="AN48" s="305">
        <v>0</v>
      </c>
      <c r="AO48" s="305">
        <v>0</v>
      </c>
      <c r="AP48" s="305">
        <v>0</v>
      </c>
      <c r="AQ48" s="306">
        <v>0</v>
      </c>
      <c r="AR48" s="303"/>
      <c r="AS48" s="303"/>
      <c r="AT48" s="303"/>
      <c r="AU48" s="303"/>
      <c r="AV48" s="304"/>
      <c r="AW48" s="303">
        <v>30</v>
      </c>
      <c r="AX48" s="303">
        <v>30</v>
      </c>
      <c r="AY48" s="303">
        <v>30</v>
      </c>
      <c r="AZ48" s="303">
        <v>30</v>
      </c>
      <c r="BA48" s="304">
        <v>30</v>
      </c>
      <c r="BB48" s="307">
        <v>4000</v>
      </c>
      <c r="BC48" s="307">
        <v>4000</v>
      </c>
      <c r="BD48" s="307">
        <v>4000</v>
      </c>
      <c r="BE48" s="307">
        <v>4000</v>
      </c>
      <c r="BF48" s="308">
        <v>4000</v>
      </c>
      <c r="BG48" s="303">
        <v>0</v>
      </c>
      <c r="BH48" s="303">
        <v>0</v>
      </c>
      <c r="BI48" s="303">
        <v>0</v>
      </c>
      <c r="BJ48" s="303">
        <v>0</v>
      </c>
      <c r="BK48" s="304">
        <v>0</v>
      </c>
      <c r="BL48" s="303">
        <v>50</v>
      </c>
      <c r="BM48" s="303">
        <v>50</v>
      </c>
      <c r="BN48" s="303">
        <v>50</v>
      </c>
      <c r="BO48" s="303">
        <v>50</v>
      </c>
      <c r="BP48" s="304">
        <v>50</v>
      </c>
      <c r="BQ48" s="302">
        <v>0</v>
      </c>
      <c r="BR48" s="303">
        <v>0</v>
      </c>
      <c r="BS48" s="303">
        <v>0</v>
      </c>
      <c r="BT48" s="303">
        <v>0</v>
      </c>
      <c r="BU48" s="304">
        <v>0</v>
      </c>
      <c r="BV48" s="310" t="s">
        <v>410</v>
      </c>
      <c r="BW48" s="307">
        <v>800</v>
      </c>
      <c r="BX48" s="307">
        <v>800</v>
      </c>
      <c r="BY48" s="307">
        <v>800</v>
      </c>
      <c r="BZ48" s="307">
        <v>800</v>
      </c>
      <c r="CA48" s="308">
        <v>800</v>
      </c>
      <c r="CB48" s="307">
        <v>0</v>
      </c>
      <c r="CC48" s="307">
        <v>0</v>
      </c>
      <c r="CD48" s="307">
        <v>0</v>
      </c>
      <c r="CE48" s="307">
        <v>0</v>
      </c>
      <c r="CF48" s="308">
        <v>0</v>
      </c>
      <c r="CG48" s="309">
        <v>10</v>
      </c>
      <c r="CH48" s="307">
        <v>10</v>
      </c>
      <c r="CI48" s="307">
        <v>10</v>
      </c>
      <c r="CJ48" s="307">
        <v>10</v>
      </c>
      <c r="CK48" s="308">
        <v>10</v>
      </c>
    </row>
    <row r="49" spans="1:89" s="298" customFormat="1" x14ac:dyDescent="0.2">
      <c r="A49" s="299" t="s">
        <v>411</v>
      </c>
      <c r="B49" s="300" t="s">
        <v>500</v>
      </c>
      <c r="C49" s="301" t="s">
        <v>412</v>
      </c>
      <c r="D49" s="302">
        <v>400</v>
      </c>
      <c r="E49" s="303">
        <v>400</v>
      </c>
      <c r="F49" s="303">
        <v>400</v>
      </c>
      <c r="G49" s="303">
        <v>400</v>
      </c>
      <c r="H49" s="304">
        <v>400</v>
      </c>
      <c r="I49" s="303"/>
      <c r="J49" s="303"/>
      <c r="K49" s="303"/>
      <c r="L49" s="303"/>
      <c r="M49" s="304"/>
      <c r="N49" s="303">
        <v>100</v>
      </c>
      <c r="O49" s="303">
        <v>100</v>
      </c>
      <c r="P49" s="303">
        <v>100</v>
      </c>
      <c r="Q49" s="303">
        <v>100</v>
      </c>
      <c r="R49" s="304">
        <v>100</v>
      </c>
      <c r="S49" s="303"/>
      <c r="T49" s="303"/>
      <c r="U49" s="303"/>
      <c r="V49" s="303"/>
      <c r="W49" s="304"/>
      <c r="X49" s="303">
        <v>100</v>
      </c>
      <c r="Y49" s="303">
        <v>100</v>
      </c>
      <c r="Z49" s="303">
        <v>100</v>
      </c>
      <c r="AA49" s="303">
        <v>100</v>
      </c>
      <c r="AB49" s="304">
        <v>100</v>
      </c>
      <c r="AC49" s="305">
        <v>0.95</v>
      </c>
      <c r="AD49" s="305">
        <v>0.95</v>
      </c>
      <c r="AE49" s="305">
        <v>0.95</v>
      </c>
      <c r="AF49" s="305">
        <v>0.95</v>
      </c>
      <c r="AG49" s="306">
        <v>0.95</v>
      </c>
      <c r="AH49" s="305">
        <v>0</v>
      </c>
      <c r="AI49" s="305">
        <v>0</v>
      </c>
      <c r="AJ49" s="305">
        <v>0</v>
      </c>
      <c r="AK49" s="305">
        <v>0</v>
      </c>
      <c r="AL49" s="306">
        <v>0</v>
      </c>
      <c r="AM49" s="305">
        <v>0</v>
      </c>
      <c r="AN49" s="305">
        <v>0</v>
      </c>
      <c r="AO49" s="305">
        <v>0</v>
      </c>
      <c r="AP49" s="305">
        <v>0</v>
      </c>
      <c r="AQ49" s="306">
        <v>0</v>
      </c>
      <c r="AR49" s="303"/>
      <c r="AS49" s="303"/>
      <c r="AT49" s="303"/>
      <c r="AU49" s="303"/>
      <c r="AV49" s="304"/>
      <c r="AW49" s="303">
        <v>30</v>
      </c>
      <c r="AX49" s="303">
        <v>30</v>
      </c>
      <c r="AY49" s="303">
        <v>30</v>
      </c>
      <c r="AZ49" s="303">
        <v>30</v>
      </c>
      <c r="BA49" s="304">
        <v>30</v>
      </c>
      <c r="BB49" s="307">
        <v>266000</v>
      </c>
      <c r="BC49" s="307">
        <v>266000</v>
      </c>
      <c r="BD49" s="307">
        <v>266000</v>
      </c>
      <c r="BE49" s="307">
        <v>266000</v>
      </c>
      <c r="BF49" s="308">
        <v>266000</v>
      </c>
      <c r="BG49" s="303">
        <v>0</v>
      </c>
      <c r="BH49" s="303">
        <v>0</v>
      </c>
      <c r="BI49" s="303">
        <v>0</v>
      </c>
      <c r="BJ49" s="303">
        <v>0</v>
      </c>
      <c r="BK49" s="304">
        <v>0</v>
      </c>
      <c r="BL49" s="303">
        <v>4000</v>
      </c>
      <c r="BM49" s="303">
        <v>4000</v>
      </c>
      <c r="BN49" s="303">
        <v>4000</v>
      </c>
      <c r="BO49" s="303">
        <v>4000</v>
      </c>
      <c r="BP49" s="304">
        <v>4000</v>
      </c>
      <c r="BQ49" s="302">
        <v>0</v>
      </c>
      <c r="BR49" s="303">
        <v>0</v>
      </c>
      <c r="BS49" s="303">
        <v>0</v>
      </c>
      <c r="BT49" s="303">
        <v>0</v>
      </c>
      <c r="BU49" s="304">
        <v>0</v>
      </c>
      <c r="BV49" s="310" t="s">
        <v>410</v>
      </c>
      <c r="BW49" s="307">
        <v>665</v>
      </c>
      <c r="BX49" s="307">
        <v>665</v>
      </c>
      <c r="BY49" s="307">
        <v>665</v>
      </c>
      <c r="BZ49" s="307">
        <v>665</v>
      </c>
      <c r="CA49" s="308">
        <v>665</v>
      </c>
      <c r="CB49" s="307">
        <v>0</v>
      </c>
      <c r="CC49" s="307">
        <v>0</v>
      </c>
      <c r="CD49" s="307">
        <v>0</v>
      </c>
      <c r="CE49" s="307">
        <v>0</v>
      </c>
      <c r="CF49" s="308">
        <v>0</v>
      </c>
      <c r="CG49" s="309">
        <v>10</v>
      </c>
      <c r="CH49" s="307">
        <v>10</v>
      </c>
      <c r="CI49" s="307">
        <v>10</v>
      </c>
      <c r="CJ49" s="307">
        <v>10</v>
      </c>
      <c r="CK49" s="308">
        <v>10</v>
      </c>
    </row>
    <row r="50" spans="1:89" s="298" customFormat="1" x14ac:dyDescent="0.2">
      <c r="A50" s="299" t="s">
        <v>413</v>
      </c>
      <c r="B50" s="300" t="s">
        <v>458</v>
      </c>
      <c r="C50" s="301" t="s">
        <v>413</v>
      </c>
      <c r="D50" s="302">
        <v>0</v>
      </c>
      <c r="E50" s="303">
        <v>0</v>
      </c>
      <c r="F50" s="303">
        <v>0</v>
      </c>
      <c r="G50" s="303">
        <v>0</v>
      </c>
      <c r="H50" s="304">
        <v>0</v>
      </c>
      <c r="I50" s="303"/>
      <c r="J50" s="303"/>
      <c r="K50" s="303"/>
      <c r="L50" s="303"/>
      <c r="M50" s="304"/>
      <c r="N50" s="303">
        <v>0</v>
      </c>
      <c r="O50" s="303">
        <v>0</v>
      </c>
      <c r="P50" s="303">
        <v>0</v>
      </c>
      <c r="Q50" s="303">
        <v>0</v>
      </c>
      <c r="R50" s="304">
        <v>0</v>
      </c>
      <c r="S50" s="303"/>
      <c r="T50" s="303"/>
      <c r="U50" s="303"/>
      <c r="V50" s="303"/>
      <c r="W50" s="304"/>
      <c r="X50" s="303">
        <v>0</v>
      </c>
      <c r="Y50" s="303">
        <v>0</v>
      </c>
      <c r="Z50" s="303">
        <v>0</v>
      </c>
      <c r="AA50" s="303">
        <v>0</v>
      </c>
      <c r="AB50" s="304">
        <v>0</v>
      </c>
      <c r="AC50" s="305">
        <v>0</v>
      </c>
      <c r="AD50" s="305">
        <v>0</v>
      </c>
      <c r="AE50" s="305">
        <v>0</v>
      </c>
      <c r="AF50" s="305">
        <v>0</v>
      </c>
      <c r="AG50" s="306">
        <v>0</v>
      </c>
      <c r="AH50" s="305">
        <v>0</v>
      </c>
      <c r="AI50" s="305">
        <v>0</v>
      </c>
      <c r="AJ50" s="305">
        <v>0</v>
      </c>
      <c r="AK50" s="305">
        <v>0</v>
      </c>
      <c r="AL50" s="306">
        <v>0</v>
      </c>
      <c r="AM50" s="305">
        <v>0</v>
      </c>
      <c r="AN50" s="305">
        <v>0</v>
      </c>
      <c r="AO50" s="305">
        <v>0</v>
      </c>
      <c r="AP50" s="305">
        <v>0</v>
      </c>
      <c r="AQ50" s="306">
        <v>0</v>
      </c>
      <c r="AR50" s="303"/>
      <c r="AS50" s="303"/>
      <c r="AT50" s="303"/>
      <c r="AU50" s="303"/>
      <c r="AV50" s="304"/>
      <c r="AW50" s="303">
        <v>0</v>
      </c>
      <c r="AX50" s="303">
        <v>0</v>
      </c>
      <c r="AY50" s="303">
        <v>0</v>
      </c>
      <c r="AZ50" s="303">
        <v>0</v>
      </c>
      <c r="BA50" s="304">
        <v>0</v>
      </c>
      <c r="BB50" s="307">
        <v>0</v>
      </c>
      <c r="BC50" s="307">
        <v>0</v>
      </c>
      <c r="BD50" s="307">
        <v>0</v>
      </c>
      <c r="BE50" s="307">
        <v>0</v>
      </c>
      <c r="BF50" s="308">
        <v>0</v>
      </c>
      <c r="BG50" s="307">
        <v>0</v>
      </c>
      <c r="BH50" s="307">
        <v>0</v>
      </c>
      <c r="BI50" s="307">
        <v>0</v>
      </c>
      <c r="BJ50" s="307">
        <v>0</v>
      </c>
      <c r="BK50" s="308">
        <v>0</v>
      </c>
      <c r="BL50" s="307">
        <v>0</v>
      </c>
      <c r="BM50" s="307">
        <v>0</v>
      </c>
      <c r="BN50" s="307">
        <v>0</v>
      </c>
      <c r="BO50" s="307">
        <v>0</v>
      </c>
      <c r="BP50" s="308">
        <v>0</v>
      </c>
      <c r="BQ50" s="309">
        <v>0</v>
      </c>
      <c r="BR50" s="307">
        <v>0</v>
      </c>
      <c r="BS50" s="307">
        <v>0</v>
      </c>
      <c r="BT50" s="307">
        <v>0</v>
      </c>
      <c r="BU50" s="308">
        <v>0</v>
      </c>
      <c r="BV50" s="310" t="s">
        <v>360</v>
      </c>
      <c r="BW50" s="307" t="s">
        <v>455</v>
      </c>
      <c r="BX50" s="307" t="s">
        <v>455</v>
      </c>
      <c r="BY50" s="307" t="s">
        <v>455</v>
      </c>
      <c r="BZ50" s="307" t="s">
        <v>455</v>
      </c>
      <c r="CA50" s="308" t="s">
        <v>455</v>
      </c>
      <c r="CB50" s="307" t="s">
        <v>455</v>
      </c>
      <c r="CC50" s="307" t="s">
        <v>455</v>
      </c>
      <c r="CD50" s="307" t="s">
        <v>455</v>
      </c>
      <c r="CE50" s="307" t="s">
        <v>455</v>
      </c>
      <c r="CF50" s="308" t="s">
        <v>455</v>
      </c>
      <c r="CG50" s="309" t="s">
        <v>455</v>
      </c>
      <c r="CH50" s="307" t="s">
        <v>455</v>
      </c>
      <c r="CI50" s="307" t="s">
        <v>455</v>
      </c>
      <c r="CJ50" s="307" t="s">
        <v>455</v>
      </c>
      <c r="CK50" s="308" t="s">
        <v>455</v>
      </c>
    </row>
    <row r="51" spans="1:89" s="298" customFormat="1" x14ac:dyDescent="0.2">
      <c r="A51" s="299"/>
      <c r="B51" s="300"/>
      <c r="C51" s="301" t="s">
        <v>414</v>
      </c>
      <c r="D51" s="302"/>
      <c r="E51" s="303"/>
      <c r="F51" s="303"/>
      <c r="G51" s="303"/>
      <c r="H51" s="304"/>
      <c r="I51" s="303"/>
      <c r="J51" s="303"/>
      <c r="K51" s="303"/>
      <c r="L51" s="303"/>
      <c r="M51" s="304"/>
      <c r="N51" s="303"/>
      <c r="O51" s="303"/>
      <c r="P51" s="303"/>
      <c r="Q51" s="303"/>
      <c r="R51" s="304"/>
      <c r="S51" s="303"/>
      <c r="T51" s="303"/>
      <c r="U51" s="303"/>
      <c r="V51" s="303"/>
      <c r="W51" s="304"/>
      <c r="X51" s="303"/>
      <c r="Y51" s="303"/>
      <c r="Z51" s="303"/>
      <c r="AA51" s="303"/>
      <c r="AB51" s="304"/>
      <c r="AC51" s="305">
        <v>0</v>
      </c>
      <c r="AD51" s="305">
        <v>0</v>
      </c>
      <c r="AE51" s="305">
        <v>0</v>
      </c>
      <c r="AF51" s="305">
        <v>0</v>
      </c>
      <c r="AG51" s="306">
        <v>0</v>
      </c>
      <c r="AH51" s="305">
        <v>0</v>
      </c>
      <c r="AI51" s="305">
        <v>0</v>
      </c>
      <c r="AJ51" s="305">
        <v>0</v>
      </c>
      <c r="AK51" s="305">
        <v>0</v>
      </c>
      <c r="AL51" s="306">
        <v>0</v>
      </c>
      <c r="AM51" s="305">
        <v>0</v>
      </c>
      <c r="AN51" s="305">
        <v>0</v>
      </c>
      <c r="AO51" s="305">
        <v>0</v>
      </c>
      <c r="AP51" s="305">
        <v>0</v>
      </c>
      <c r="AQ51" s="306">
        <v>0</v>
      </c>
      <c r="AR51" s="303"/>
      <c r="AS51" s="303"/>
      <c r="AT51" s="303"/>
      <c r="AU51" s="303"/>
      <c r="AV51" s="304"/>
      <c r="AW51" s="303"/>
      <c r="AX51" s="303"/>
      <c r="AY51" s="303"/>
      <c r="AZ51" s="303"/>
      <c r="BA51" s="304"/>
      <c r="BB51" s="307">
        <v>0</v>
      </c>
      <c r="BC51" s="307">
        <v>0</v>
      </c>
      <c r="BD51" s="307">
        <v>0</v>
      </c>
      <c r="BE51" s="307">
        <v>0</v>
      </c>
      <c r="BF51" s="308">
        <v>0</v>
      </c>
      <c r="BG51" s="307"/>
      <c r="BH51" s="307"/>
      <c r="BI51" s="307"/>
      <c r="BJ51" s="307"/>
      <c r="BK51" s="308"/>
      <c r="BL51" s="307"/>
      <c r="BM51" s="307"/>
      <c r="BN51" s="307"/>
      <c r="BO51" s="307"/>
      <c r="BP51" s="308"/>
      <c r="BQ51" s="309"/>
      <c r="BR51" s="307"/>
      <c r="BS51" s="307"/>
      <c r="BT51" s="307"/>
      <c r="BU51" s="308"/>
      <c r="BV51" s="310"/>
      <c r="BW51" s="307"/>
      <c r="BX51" s="307"/>
      <c r="BY51" s="307"/>
      <c r="BZ51" s="307"/>
      <c r="CA51" s="308"/>
      <c r="CB51" s="307"/>
      <c r="CC51" s="307"/>
      <c r="CD51" s="307"/>
      <c r="CE51" s="307"/>
      <c r="CF51" s="308"/>
      <c r="CG51" s="309"/>
      <c r="CH51" s="307"/>
      <c r="CI51" s="307"/>
      <c r="CJ51" s="307"/>
      <c r="CK51" s="308"/>
    </row>
    <row r="52" spans="1:89" s="298" customFormat="1" x14ac:dyDescent="0.2">
      <c r="A52" s="341" t="s">
        <v>415</v>
      </c>
      <c r="B52" s="342" t="s">
        <v>458</v>
      </c>
      <c r="C52" s="343"/>
      <c r="D52" s="344">
        <v>0</v>
      </c>
      <c r="E52" s="345">
        <v>0</v>
      </c>
      <c r="F52" s="345">
        <v>0</v>
      </c>
      <c r="G52" s="345">
        <v>0</v>
      </c>
      <c r="H52" s="346">
        <v>0</v>
      </c>
      <c r="I52" s="345"/>
      <c r="J52" s="345"/>
      <c r="K52" s="345"/>
      <c r="L52" s="345"/>
      <c r="M52" s="346"/>
      <c r="N52" s="345">
        <v>0</v>
      </c>
      <c r="O52" s="345">
        <v>0</v>
      </c>
      <c r="P52" s="345">
        <v>0</v>
      </c>
      <c r="Q52" s="345">
        <v>0</v>
      </c>
      <c r="R52" s="346">
        <v>0</v>
      </c>
      <c r="S52" s="345"/>
      <c r="T52" s="345"/>
      <c r="U52" s="345"/>
      <c r="V52" s="345"/>
      <c r="W52" s="346"/>
      <c r="X52" s="345">
        <v>0</v>
      </c>
      <c r="Y52" s="345">
        <v>0</v>
      </c>
      <c r="Z52" s="345">
        <v>0</v>
      </c>
      <c r="AA52" s="345">
        <v>0</v>
      </c>
      <c r="AB52" s="346">
        <v>0</v>
      </c>
      <c r="AC52" s="347">
        <v>0</v>
      </c>
      <c r="AD52" s="347">
        <v>0</v>
      </c>
      <c r="AE52" s="347">
        <v>0</v>
      </c>
      <c r="AF52" s="347">
        <v>0</v>
      </c>
      <c r="AG52" s="348">
        <v>0</v>
      </c>
      <c r="AH52" s="347">
        <v>0</v>
      </c>
      <c r="AI52" s="347">
        <v>0</v>
      </c>
      <c r="AJ52" s="347">
        <v>0</v>
      </c>
      <c r="AK52" s="347">
        <v>0</v>
      </c>
      <c r="AL52" s="348">
        <v>0</v>
      </c>
      <c r="AM52" s="347">
        <v>0</v>
      </c>
      <c r="AN52" s="347">
        <v>0</v>
      </c>
      <c r="AO52" s="347">
        <v>0</v>
      </c>
      <c r="AP52" s="347">
        <v>0</v>
      </c>
      <c r="AQ52" s="348">
        <v>0</v>
      </c>
      <c r="AR52" s="345"/>
      <c r="AS52" s="345"/>
      <c r="AT52" s="345"/>
      <c r="AU52" s="345"/>
      <c r="AV52" s="346"/>
      <c r="AW52" s="345">
        <v>0</v>
      </c>
      <c r="AX52" s="345">
        <v>0</v>
      </c>
      <c r="AY52" s="345">
        <v>0</v>
      </c>
      <c r="AZ52" s="345">
        <v>0</v>
      </c>
      <c r="BA52" s="346">
        <v>0</v>
      </c>
      <c r="BB52" s="349">
        <v>0</v>
      </c>
      <c r="BC52" s="350">
        <v>0</v>
      </c>
      <c r="BD52" s="350">
        <v>0</v>
      </c>
      <c r="BE52" s="350">
        <v>0</v>
      </c>
      <c r="BF52" s="351">
        <v>0</v>
      </c>
      <c r="BG52" s="350">
        <v>0</v>
      </c>
      <c r="BH52" s="350">
        <v>0</v>
      </c>
      <c r="BI52" s="350">
        <v>0</v>
      </c>
      <c r="BJ52" s="350">
        <v>0</v>
      </c>
      <c r="BK52" s="351">
        <v>0</v>
      </c>
      <c r="BL52" s="350">
        <v>0</v>
      </c>
      <c r="BM52" s="350">
        <v>0</v>
      </c>
      <c r="BN52" s="350">
        <v>0</v>
      </c>
      <c r="BO52" s="350">
        <v>0</v>
      </c>
      <c r="BP52" s="351">
        <v>0</v>
      </c>
      <c r="BQ52" s="349">
        <v>0</v>
      </c>
      <c r="BR52" s="350">
        <v>0</v>
      </c>
      <c r="BS52" s="350">
        <v>0</v>
      </c>
      <c r="BT52" s="350">
        <v>0</v>
      </c>
      <c r="BU52" s="351">
        <v>0</v>
      </c>
      <c r="BV52" s="352" t="s">
        <v>360</v>
      </c>
      <c r="BW52" s="350" t="s">
        <v>455</v>
      </c>
      <c r="BX52" s="350" t="s">
        <v>455</v>
      </c>
      <c r="BY52" s="350" t="s">
        <v>455</v>
      </c>
      <c r="BZ52" s="350" t="s">
        <v>455</v>
      </c>
      <c r="CA52" s="351" t="s">
        <v>455</v>
      </c>
      <c r="CB52" s="350" t="s">
        <v>455</v>
      </c>
      <c r="CC52" s="350" t="s">
        <v>455</v>
      </c>
      <c r="CD52" s="350" t="s">
        <v>455</v>
      </c>
      <c r="CE52" s="350" t="s">
        <v>455</v>
      </c>
      <c r="CF52" s="351" t="s">
        <v>455</v>
      </c>
      <c r="CG52" s="350" t="s">
        <v>455</v>
      </c>
      <c r="CH52" s="350" t="s">
        <v>455</v>
      </c>
      <c r="CI52" s="350" t="s">
        <v>455</v>
      </c>
      <c r="CJ52" s="350" t="s">
        <v>455</v>
      </c>
      <c r="CK52" s="351" t="s">
        <v>455</v>
      </c>
    </row>
    <row r="53" spans="1:89" s="298" customFormat="1" x14ac:dyDescent="0.2">
      <c r="A53" s="341" t="s">
        <v>416</v>
      </c>
      <c r="B53" s="342" t="s">
        <v>458</v>
      </c>
      <c r="C53" s="343"/>
      <c r="D53" s="344">
        <v>0</v>
      </c>
      <c r="E53" s="345">
        <v>0</v>
      </c>
      <c r="F53" s="345">
        <v>0</v>
      </c>
      <c r="G53" s="345">
        <v>0</v>
      </c>
      <c r="H53" s="346">
        <v>0</v>
      </c>
      <c r="I53" s="345"/>
      <c r="J53" s="345"/>
      <c r="K53" s="345"/>
      <c r="L53" s="345"/>
      <c r="M53" s="346"/>
      <c r="N53" s="345">
        <v>0</v>
      </c>
      <c r="O53" s="345">
        <v>0</v>
      </c>
      <c r="P53" s="345">
        <v>0</v>
      </c>
      <c r="Q53" s="345">
        <v>0</v>
      </c>
      <c r="R53" s="346">
        <v>0</v>
      </c>
      <c r="S53" s="345"/>
      <c r="T53" s="345"/>
      <c r="U53" s="345"/>
      <c r="V53" s="345"/>
      <c r="W53" s="346"/>
      <c r="X53" s="345">
        <v>0</v>
      </c>
      <c r="Y53" s="345">
        <v>0</v>
      </c>
      <c r="Z53" s="345">
        <v>0</v>
      </c>
      <c r="AA53" s="345">
        <v>0</v>
      </c>
      <c r="AB53" s="346">
        <v>0</v>
      </c>
      <c r="AC53" s="347">
        <v>0</v>
      </c>
      <c r="AD53" s="347">
        <v>0</v>
      </c>
      <c r="AE53" s="347">
        <v>0</v>
      </c>
      <c r="AF53" s="347">
        <v>0</v>
      </c>
      <c r="AG53" s="348">
        <v>0</v>
      </c>
      <c r="AH53" s="347">
        <v>0</v>
      </c>
      <c r="AI53" s="347">
        <v>0</v>
      </c>
      <c r="AJ53" s="347">
        <v>0</v>
      </c>
      <c r="AK53" s="347">
        <v>0</v>
      </c>
      <c r="AL53" s="348">
        <v>0</v>
      </c>
      <c r="AM53" s="347">
        <v>0</v>
      </c>
      <c r="AN53" s="347">
        <v>0</v>
      </c>
      <c r="AO53" s="347">
        <v>0</v>
      </c>
      <c r="AP53" s="347">
        <v>0</v>
      </c>
      <c r="AQ53" s="348">
        <v>0</v>
      </c>
      <c r="AR53" s="345"/>
      <c r="AS53" s="345"/>
      <c r="AT53" s="345"/>
      <c r="AU53" s="345"/>
      <c r="AV53" s="346"/>
      <c r="AW53" s="345">
        <v>0</v>
      </c>
      <c r="AX53" s="345">
        <v>0</v>
      </c>
      <c r="AY53" s="345">
        <v>0</v>
      </c>
      <c r="AZ53" s="345">
        <v>0</v>
      </c>
      <c r="BA53" s="346">
        <v>0</v>
      </c>
      <c r="BB53" s="349">
        <v>0</v>
      </c>
      <c r="BC53" s="350">
        <v>0</v>
      </c>
      <c r="BD53" s="350">
        <v>0</v>
      </c>
      <c r="BE53" s="350">
        <v>0</v>
      </c>
      <c r="BF53" s="351">
        <v>0</v>
      </c>
      <c r="BG53" s="350">
        <v>0</v>
      </c>
      <c r="BH53" s="350">
        <v>0</v>
      </c>
      <c r="BI53" s="350">
        <v>0</v>
      </c>
      <c r="BJ53" s="350">
        <v>0</v>
      </c>
      <c r="BK53" s="351">
        <v>0</v>
      </c>
      <c r="BL53" s="350">
        <v>0</v>
      </c>
      <c r="BM53" s="350">
        <v>0</v>
      </c>
      <c r="BN53" s="350">
        <v>0</v>
      </c>
      <c r="BO53" s="350">
        <v>0</v>
      </c>
      <c r="BP53" s="351">
        <v>0</v>
      </c>
      <c r="BQ53" s="349">
        <v>0</v>
      </c>
      <c r="BR53" s="350">
        <v>0</v>
      </c>
      <c r="BS53" s="350">
        <v>0</v>
      </c>
      <c r="BT53" s="350">
        <v>0</v>
      </c>
      <c r="BU53" s="351">
        <v>0</v>
      </c>
      <c r="BV53" s="352" t="s">
        <v>360</v>
      </c>
      <c r="BW53" s="350" t="s">
        <v>455</v>
      </c>
      <c r="BX53" s="350" t="s">
        <v>455</v>
      </c>
      <c r="BY53" s="350" t="s">
        <v>455</v>
      </c>
      <c r="BZ53" s="350" t="s">
        <v>455</v>
      </c>
      <c r="CA53" s="351" t="s">
        <v>455</v>
      </c>
      <c r="CB53" s="350" t="s">
        <v>455</v>
      </c>
      <c r="CC53" s="350" t="s">
        <v>455</v>
      </c>
      <c r="CD53" s="350" t="s">
        <v>455</v>
      </c>
      <c r="CE53" s="350" t="s">
        <v>455</v>
      </c>
      <c r="CF53" s="351" t="s">
        <v>455</v>
      </c>
      <c r="CG53" s="350" t="s">
        <v>455</v>
      </c>
      <c r="CH53" s="350" t="s">
        <v>455</v>
      </c>
      <c r="CI53" s="350" t="s">
        <v>455</v>
      </c>
      <c r="CJ53" s="350" t="s">
        <v>455</v>
      </c>
      <c r="CK53" s="351" t="s">
        <v>455</v>
      </c>
    </row>
    <row r="54" spans="1:89" s="298" customFormat="1" x14ac:dyDescent="0.2">
      <c r="A54" s="341" t="s">
        <v>417</v>
      </c>
      <c r="B54" s="342" t="s">
        <v>458</v>
      </c>
      <c r="C54" s="343"/>
      <c r="D54" s="344">
        <v>0</v>
      </c>
      <c r="E54" s="345">
        <v>0</v>
      </c>
      <c r="F54" s="345">
        <v>0</v>
      </c>
      <c r="G54" s="345">
        <v>0</v>
      </c>
      <c r="H54" s="346">
        <v>0</v>
      </c>
      <c r="I54" s="345"/>
      <c r="J54" s="345"/>
      <c r="K54" s="345"/>
      <c r="L54" s="345"/>
      <c r="M54" s="346"/>
      <c r="N54" s="345">
        <v>0</v>
      </c>
      <c r="O54" s="345">
        <v>0</v>
      </c>
      <c r="P54" s="345">
        <v>0</v>
      </c>
      <c r="Q54" s="345">
        <v>0</v>
      </c>
      <c r="R54" s="346">
        <v>0</v>
      </c>
      <c r="S54" s="345"/>
      <c r="T54" s="345"/>
      <c r="U54" s="345"/>
      <c r="V54" s="345"/>
      <c r="W54" s="346"/>
      <c r="X54" s="345">
        <v>0</v>
      </c>
      <c r="Y54" s="345">
        <v>0</v>
      </c>
      <c r="Z54" s="345">
        <v>0</v>
      </c>
      <c r="AA54" s="345">
        <v>0</v>
      </c>
      <c r="AB54" s="346">
        <v>0</v>
      </c>
      <c r="AC54" s="347">
        <v>0</v>
      </c>
      <c r="AD54" s="347">
        <v>0</v>
      </c>
      <c r="AE54" s="347">
        <v>0</v>
      </c>
      <c r="AF54" s="347">
        <v>0</v>
      </c>
      <c r="AG54" s="348">
        <v>0</v>
      </c>
      <c r="AH54" s="347">
        <v>0</v>
      </c>
      <c r="AI54" s="347">
        <v>0</v>
      </c>
      <c r="AJ54" s="347">
        <v>0</v>
      </c>
      <c r="AK54" s="347">
        <v>0</v>
      </c>
      <c r="AL54" s="348">
        <v>0</v>
      </c>
      <c r="AM54" s="347">
        <v>0</v>
      </c>
      <c r="AN54" s="347">
        <v>0</v>
      </c>
      <c r="AO54" s="347">
        <v>0</v>
      </c>
      <c r="AP54" s="347">
        <v>0</v>
      </c>
      <c r="AQ54" s="348">
        <v>0</v>
      </c>
      <c r="AR54" s="345"/>
      <c r="AS54" s="345"/>
      <c r="AT54" s="345"/>
      <c r="AU54" s="345"/>
      <c r="AV54" s="346"/>
      <c r="AW54" s="345">
        <v>0</v>
      </c>
      <c r="AX54" s="345">
        <v>0</v>
      </c>
      <c r="AY54" s="345">
        <v>0</v>
      </c>
      <c r="AZ54" s="345">
        <v>0</v>
      </c>
      <c r="BA54" s="346">
        <v>0</v>
      </c>
      <c r="BB54" s="349">
        <v>0</v>
      </c>
      <c r="BC54" s="350">
        <v>0</v>
      </c>
      <c r="BD54" s="350">
        <v>0</v>
      </c>
      <c r="BE54" s="350">
        <v>0</v>
      </c>
      <c r="BF54" s="351">
        <v>0</v>
      </c>
      <c r="BG54" s="350">
        <v>0</v>
      </c>
      <c r="BH54" s="350">
        <v>0</v>
      </c>
      <c r="BI54" s="350">
        <v>0</v>
      </c>
      <c r="BJ54" s="350">
        <v>0</v>
      </c>
      <c r="BK54" s="351">
        <v>0</v>
      </c>
      <c r="BL54" s="350">
        <v>0</v>
      </c>
      <c r="BM54" s="350">
        <v>0</v>
      </c>
      <c r="BN54" s="350">
        <v>0</v>
      </c>
      <c r="BO54" s="350">
        <v>0</v>
      </c>
      <c r="BP54" s="351">
        <v>0</v>
      </c>
      <c r="BQ54" s="349">
        <v>0</v>
      </c>
      <c r="BR54" s="350">
        <v>0</v>
      </c>
      <c r="BS54" s="350">
        <v>0</v>
      </c>
      <c r="BT54" s="350">
        <v>0</v>
      </c>
      <c r="BU54" s="351">
        <v>0</v>
      </c>
      <c r="BV54" s="352" t="s">
        <v>360</v>
      </c>
      <c r="BW54" s="350" t="s">
        <v>455</v>
      </c>
      <c r="BX54" s="350" t="s">
        <v>455</v>
      </c>
      <c r="BY54" s="350" t="s">
        <v>455</v>
      </c>
      <c r="BZ54" s="350" t="s">
        <v>455</v>
      </c>
      <c r="CA54" s="351" t="s">
        <v>455</v>
      </c>
      <c r="CB54" s="350" t="s">
        <v>455</v>
      </c>
      <c r="CC54" s="350" t="s">
        <v>455</v>
      </c>
      <c r="CD54" s="350" t="s">
        <v>455</v>
      </c>
      <c r="CE54" s="350" t="s">
        <v>455</v>
      </c>
      <c r="CF54" s="351" t="s">
        <v>455</v>
      </c>
      <c r="CG54" s="350" t="s">
        <v>455</v>
      </c>
      <c r="CH54" s="350" t="s">
        <v>455</v>
      </c>
      <c r="CI54" s="350" t="s">
        <v>455</v>
      </c>
      <c r="CJ54" s="350" t="s">
        <v>455</v>
      </c>
      <c r="CK54" s="351" t="s">
        <v>455</v>
      </c>
    </row>
    <row r="55" spans="1:89" s="298" customFormat="1" x14ac:dyDescent="0.2">
      <c r="A55" s="341" t="s">
        <v>418</v>
      </c>
      <c r="B55" s="342" t="s">
        <v>458</v>
      </c>
      <c r="C55" s="343"/>
      <c r="D55" s="344">
        <v>0</v>
      </c>
      <c r="E55" s="345">
        <v>0</v>
      </c>
      <c r="F55" s="345">
        <v>0</v>
      </c>
      <c r="G55" s="345">
        <v>0</v>
      </c>
      <c r="H55" s="346">
        <v>0</v>
      </c>
      <c r="I55" s="345"/>
      <c r="J55" s="345"/>
      <c r="K55" s="345"/>
      <c r="L55" s="345"/>
      <c r="M55" s="346"/>
      <c r="N55" s="345">
        <v>0</v>
      </c>
      <c r="O55" s="345">
        <v>0</v>
      </c>
      <c r="P55" s="345">
        <v>0</v>
      </c>
      <c r="Q55" s="345">
        <v>0</v>
      </c>
      <c r="R55" s="346">
        <v>0</v>
      </c>
      <c r="S55" s="345"/>
      <c r="T55" s="345"/>
      <c r="U55" s="345"/>
      <c r="V55" s="345"/>
      <c r="W55" s="346"/>
      <c r="X55" s="345">
        <v>0</v>
      </c>
      <c r="Y55" s="345">
        <v>0</v>
      </c>
      <c r="Z55" s="345">
        <v>0</v>
      </c>
      <c r="AA55" s="345">
        <v>0</v>
      </c>
      <c r="AB55" s="346">
        <v>0</v>
      </c>
      <c r="AC55" s="347">
        <v>0</v>
      </c>
      <c r="AD55" s="347">
        <v>0</v>
      </c>
      <c r="AE55" s="347">
        <v>0</v>
      </c>
      <c r="AF55" s="347">
        <v>0</v>
      </c>
      <c r="AG55" s="348">
        <v>0</v>
      </c>
      <c r="AH55" s="347">
        <v>0</v>
      </c>
      <c r="AI55" s="347">
        <v>0</v>
      </c>
      <c r="AJ55" s="347">
        <v>0</v>
      </c>
      <c r="AK55" s="347">
        <v>0</v>
      </c>
      <c r="AL55" s="348">
        <v>0</v>
      </c>
      <c r="AM55" s="347">
        <v>0</v>
      </c>
      <c r="AN55" s="347">
        <v>0</v>
      </c>
      <c r="AO55" s="347">
        <v>0</v>
      </c>
      <c r="AP55" s="347">
        <v>0</v>
      </c>
      <c r="AQ55" s="348">
        <v>0</v>
      </c>
      <c r="AR55" s="345"/>
      <c r="AS55" s="345"/>
      <c r="AT55" s="345"/>
      <c r="AU55" s="345"/>
      <c r="AV55" s="346"/>
      <c r="AW55" s="345">
        <v>0</v>
      </c>
      <c r="AX55" s="345">
        <v>0</v>
      </c>
      <c r="AY55" s="345">
        <v>0</v>
      </c>
      <c r="AZ55" s="345">
        <v>0</v>
      </c>
      <c r="BA55" s="346">
        <v>0</v>
      </c>
      <c r="BB55" s="349">
        <v>0</v>
      </c>
      <c r="BC55" s="350">
        <v>0</v>
      </c>
      <c r="BD55" s="350">
        <v>0</v>
      </c>
      <c r="BE55" s="350">
        <v>0</v>
      </c>
      <c r="BF55" s="351">
        <v>0</v>
      </c>
      <c r="BG55" s="350">
        <v>0</v>
      </c>
      <c r="BH55" s="350">
        <v>0</v>
      </c>
      <c r="BI55" s="350">
        <v>0</v>
      </c>
      <c r="BJ55" s="350">
        <v>0</v>
      </c>
      <c r="BK55" s="351">
        <v>0</v>
      </c>
      <c r="BL55" s="350">
        <v>0</v>
      </c>
      <c r="BM55" s="350">
        <v>0</v>
      </c>
      <c r="BN55" s="350">
        <v>0</v>
      </c>
      <c r="BO55" s="350">
        <v>0</v>
      </c>
      <c r="BP55" s="351">
        <v>0</v>
      </c>
      <c r="BQ55" s="349">
        <v>0</v>
      </c>
      <c r="BR55" s="350">
        <v>0</v>
      </c>
      <c r="BS55" s="350">
        <v>0</v>
      </c>
      <c r="BT55" s="350">
        <v>0</v>
      </c>
      <c r="BU55" s="351">
        <v>0</v>
      </c>
      <c r="BV55" s="352" t="s">
        <v>360</v>
      </c>
      <c r="BW55" s="350" t="s">
        <v>455</v>
      </c>
      <c r="BX55" s="350" t="s">
        <v>455</v>
      </c>
      <c r="BY55" s="350" t="s">
        <v>455</v>
      </c>
      <c r="BZ55" s="350" t="s">
        <v>455</v>
      </c>
      <c r="CA55" s="351" t="s">
        <v>455</v>
      </c>
      <c r="CB55" s="350" t="s">
        <v>455</v>
      </c>
      <c r="CC55" s="350" t="s">
        <v>455</v>
      </c>
      <c r="CD55" s="350" t="s">
        <v>455</v>
      </c>
      <c r="CE55" s="350" t="s">
        <v>455</v>
      </c>
      <c r="CF55" s="351" t="s">
        <v>455</v>
      </c>
      <c r="CG55" s="350" t="s">
        <v>455</v>
      </c>
      <c r="CH55" s="350" t="s">
        <v>455</v>
      </c>
      <c r="CI55" s="350" t="s">
        <v>455</v>
      </c>
      <c r="CJ55" s="350" t="s">
        <v>455</v>
      </c>
      <c r="CK55" s="351" t="s">
        <v>455</v>
      </c>
    </row>
    <row r="56" spans="1:89" s="298" customFormat="1" x14ac:dyDescent="0.2">
      <c r="A56" s="341" t="s">
        <v>419</v>
      </c>
      <c r="B56" s="342" t="s">
        <v>458</v>
      </c>
      <c r="C56" s="343"/>
      <c r="D56" s="344">
        <v>0</v>
      </c>
      <c r="E56" s="345">
        <v>0</v>
      </c>
      <c r="F56" s="345">
        <v>0</v>
      </c>
      <c r="G56" s="345">
        <v>0</v>
      </c>
      <c r="H56" s="346">
        <v>0</v>
      </c>
      <c r="I56" s="345"/>
      <c r="J56" s="345"/>
      <c r="K56" s="345"/>
      <c r="L56" s="345"/>
      <c r="M56" s="346"/>
      <c r="N56" s="345">
        <v>0</v>
      </c>
      <c r="O56" s="345">
        <v>0</v>
      </c>
      <c r="P56" s="345">
        <v>0</v>
      </c>
      <c r="Q56" s="345">
        <v>0</v>
      </c>
      <c r="R56" s="346">
        <v>0</v>
      </c>
      <c r="S56" s="345"/>
      <c r="T56" s="345"/>
      <c r="U56" s="345"/>
      <c r="V56" s="345"/>
      <c r="W56" s="346"/>
      <c r="X56" s="345">
        <v>0</v>
      </c>
      <c r="Y56" s="345">
        <v>0</v>
      </c>
      <c r="Z56" s="345">
        <v>0</v>
      </c>
      <c r="AA56" s="345">
        <v>0</v>
      </c>
      <c r="AB56" s="346">
        <v>0</v>
      </c>
      <c r="AC56" s="347">
        <v>0</v>
      </c>
      <c r="AD56" s="347">
        <v>0</v>
      </c>
      <c r="AE56" s="347">
        <v>0</v>
      </c>
      <c r="AF56" s="347">
        <v>0</v>
      </c>
      <c r="AG56" s="348">
        <v>0</v>
      </c>
      <c r="AH56" s="347">
        <v>0</v>
      </c>
      <c r="AI56" s="347">
        <v>0</v>
      </c>
      <c r="AJ56" s="347">
        <v>0</v>
      </c>
      <c r="AK56" s="347">
        <v>0</v>
      </c>
      <c r="AL56" s="348">
        <v>0</v>
      </c>
      <c r="AM56" s="347">
        <v>0</v>
      </c>
      <c r="AN56" s="347">
        <v>0</v>
      </c>
      <c r="AO56" s="347">
        <v>0</v>
      </c>
      <c r="AP56" s="347">
        <v>0</v>
      </c>
      <c r="AQ56" s="348">
        <v>0</v>
      </c>
      <c r="AR56" s="345"/>
      <c r="AS56" s="345"/>
      <c r="AT56" s="345"/>
      <c r="AU56" s="345"/>
      <c r="AV56" s="346"/>
      <c r="AW56" s="345">
        <v>0</v>
      </c>
      <c r="AX56" s="345">
        <v>0</v>
      </c>
      <c r="AY56" s="345">
        <v>0</v>
      </c>
      <c r="AZ56" s="345">
        <v>0</v>
      </c>
      <c r="BA56" s="346">
        <v>0</v>
      </c>
      <c r="BB56" s="349">
        <v>0</v>
      </c>
      <c r="BC56" s="350">
        <v>0</v>
      </c>
      <c r="BD56" s="350">
        <v>0</v>
      </c>
      <c r="BE56" s="350">
        <v>0</v>
      </c>
      <c r="BF56" s="351">
        <v>0</v>
      </c>
      <c r="BG56" s="350">
        <v>0</v>
      </c>
      <c r="BH56" s="350">
        <v>0</v>
      </c>
      <c r="BI56" s="350">
        <v>0</v>
      </c>
      <c r="BJ56" s="350">
        <v>0</v>
      </c>
      <c r="BK56" s="351">
        <v>0</v>
      </c>
      <c r="BL56" s="350">
        <v>0</v>
      </c>
      <c r="BM56" s="350">
        <v>0</v>
      </c>
      <c r="BN56" s="350">
        <v>0</v>
      </c>
      <c r="BO56" s="350">
        <v>0</v>
      </c>
      <c r="BP56" s="351">
        <v>0</v>
      </c>
      <c r="BQ56" s="349">
        <v>0</v>
      </c>
      <c r="BR56" s="350">
        <v>0</v>
      </c>
      <c r="BS56" s="350">
        <v>0</v>
      </c>
      <c r="BT56" s="350">
        <v>0</v>
      </c>
      <c r="BU56" s="351">
        <v>0</v>
      </c>
      <c r="BV56" s="352" t="s">
        <v>360</v>
      </c>
      <c r="BW56" s="350" t="s">
        <v>455</v>
      </c>
      <c r="BX56" s="350" t="s">
        <v>455</v>
      </c>
      <c r="BY56" s="350" t="s">
        <v>455</v>
      </c>
      <c r="BZ56" s="350" t="s">
        <v>455</v>
      </c>
      <c r="CA56" s="351" t="s">
        <v>455</v>
      </c>
      <c r="CB56" s="350" t="s">
        <v>455</v>
      </c>
      <c r="CC56" s="350" t="s">
        <v>455</v>
      </c>
      <c r="CD56" s="350" t="s">
        <v>455</v>
      </c>
      <c r="CE56" s="350" t="s">
        <v>455</v>
      </c>
      <c r="CF56" s="351" t="s">
        <v>455</v>
      </c>
      <c r="CG56" s="350" t="s">
        <v>455</v>
      </c>
      <c r="CH56" s="350" t="s">
        <v>455</v>
      </c>
      <c r="CI56" s="350" t="s">
        <v>455</v>
      </c>
      <c r="CJ56" s="350" t="s">
        <v>455</v>
      </c>
      <c r="CK56" s="351" t="s">
        <v>455</v>
      </c>
    </row>
    <row r="57" spans="1:89" s="298" customFormat="1" x14ac:dyDescent="0.2">
      <c r="A57" s="341" t="s">
        <v>420</v>
      </c>
      <c r="B57" s="342" t="s">
        <v>458</v>
      </c>
      <c r="C57" s="343"/>
      <c r="D57" s="344">
        <v>0</v>
      </c>
      <c r="E57" s="345">
        <v>0</v>
      </c>
      <c r="F57" s="345">
        <v>0</v>
      </c>
      <c r="G57" s="345">
        <v>0</v>
      </c>
      <c r="H57" s="346">
        <v>0</v>
      </c>
      <c r="I57" s="345"/>
      <c r="J57" s="345"/>
      <c r="K57" s="345"/>
      <c r="L57" s="345"/>
      <c r="M57" s="346"/>
      <c r="N57" s="345">
        <v>0</v>
      </c>
      <c r="O57" s="345">
        <v>0</v>
      </c>
      <c r="P57" s="345">
        <v>0</v>
      </c>
      <c r="Q57" s="345">
        <v>0</v>
      </c>
      <c r="R57" s="346">
        <v>0</v>
      </c>
      <c r="S57" s="345"/>
      <c r="T57" s="345"/>
      <c r="U57" s="345"/>
      <c r="V57" s="345"/>
      <c r="W57" s="346"/>
      <c r="X57" s="345">
        <v>0</v>
      </c>
      <c r="Y57" s="345">
        <v>0</v>
      </c>
      <c r="Z57" s="345">
        <v>0</v>
      </c>
      <c r="AA57" s="345">
        <v>0</v>
      </c>
      <c r="AB57" s="346">
        <v>0</v>
      </c>
      <c r="AC57" s="347">
        <v>0</v>
      </c>
      <c r="AD57" s="347">
        <v>0</v>
      </c>
      <c r="AE57" s="347">
        <v>0</v>
      </c>
      <c r="AF57" s="347">
        <v>0</v>
      </c>
      <c r="AG57" s="348">
        <v>0</v>
      </c>
      <c r="AH57" s="347">
        <v>0</v>
      </c>
      <c r="AI57" s="347">
        <v>0</v>
      </c>
      <c r="AJ57" s="347">
        <v>0</v>
      </c>
      <c r="AK57" s="347">
        <v>0</v>
      </c>
      <c r="AL57" s="348">
        <v>0</v>
      </c>
      <c r="AM57" s="347">
        <v>0</v>
      </c>
      <c r="AN57" s="347">
        <v>0</v>
      </c>
      <c r="AO57" s="347">
        <v>0</v>
      </c>
      <c r="AP57" s="347">
        <v>0</v>
      </c>
      <c r="AQ57" s="348">
        <v>0</v>
      </c>
      <c r="AR57" s="345"/>
      <c r="AS57" s="345"/>
      <c r="AT57" s="345"/>
      <c r="AU57" s="345"/>
      <c r="AV57" s="346"/>
      <c r="AW57" s="345">
        <v>0</v>
      </c>
      <c r="AX57" s="345">
        <v>0</v>
      </c>
      <c r="AY57" s="345">
        <v>0</v>
      </c>
      <c r="AZ57" s="345">
        <v>0</v>
      </c>
      <c r="BA57" s="346">
        <v>0</v>
      </c>
      <c r="BB57" s="349">
        <v>0</v>
      </c>
      <c r="BC57" s="350">
        <v>0</v>
      </c>
      <c r="BD57" s="350">
        <v>0</v>
      </c>
      <c r="BE57" s="350">
        <v>0</v>
      </c>
      <c r="BF57" s="351">
        <v>0</v>
      </c>
      <c r="BG57" s="350">
        <v>0</v>
      </c>
      <c r="BH57" s="350">
        <v>0</v>
      </c>
      <c r="BI57" s="350">
        <v>0</v>
      </c>
      <c r="BJ57" s="350">
        <v>0</v>
      </c>
      <c r="BK57" s="351">
        <v>0</v>
      </c>
      <c r="BL57" s="350">
        <v>0</v>
      </c>
      <c r="BM57" s="350">
        <v>0</v>
      </c>
      <c r="BN57" s="350">
        <v>0</v>
      </c>
      <c r="BO57" s="350">
        <v>0</v>
      </c>
      <c r="BP57" s="351">
        <v>0</v>
      </c>
      <c r="BQ57" s="349">
        <v>0</v>
      </c>
      <c r="BR57" s="350">
        <v>0</v>
      </c>
      <c r="BS57" s="350">
        <v>0</v>
      </c>
      <c r="BT57" s="350">
        <v>0</v>
      </c>
      <c r="BU57" s="351">
        <v>0</v>
      </c>
      <c r="BV57" s="352" t="s">
        <v>360</v>
      </c>
      <c r="BW57" s="350" t="s">
        <v>455</v>
      </c>
      <c r="BX57" s="350" t="s">
        <v>455</v>
      </c>
      <c r="BY57" s="350" t="s">
        <v>455</v>
      </c>
      <c r="BZ57" s="350" t="s">
        <v>455</v>
      </c>
      <c r="CA57" s="351" t="s">
        <v>455</v>
      </c>
      <c r="CB57" s="350" t="s">
        <v>455</v>
      </c>
      <c r="CC57" s="350" t="s">
        <v>455</v>
      </c>
      <c r="CD57" s="350" t="s">
        <v>455</v>
      </c>
      <c r="CE57" s="350" t="s">
        <v>455</v>
      </c>
      <c r="CF57" s="351" t="s">
        <v>455</v>
      </c>
      <c r="CG57" s="350" t="s">
        <v>455</v>
      </c>
      <c r="CH57" s="350" t="s">
        <v>455</v>
      </c>
      <c r="CI57" s="350" t="s">
        <v>455</v>
      </c>
      <c r="CJ57" s="350" t="s">
        <v>455</v>
      </c>
      <c r="CK57" s="351" t="s">
        <v>455</v>
      </c>
    </row>
    <row r="58" spans="1:89" s="298" customFormat="1" x14ac:dyDescent="0.2">
      <c r="A58" s="341" t="s">
        <v>421</v>
      </c>
      <c r="B58" s="342" t="s">
        <v>458</v>
      </c>
      <c r="C58" s="343"/>
      <c r="D58" s="344">
        <v>0</v>
      </c>
      <c r="E58" s="345">
        <v>0</v>
      </c>
      <c r="F58" s="345">
        <v>0</v>
      </c>
      <c r="G58" s="345">
        <v>0</v>
      </c>
      <c r="H58" s="346">
        <v>0</v>
      </c>
      <c r="I58" s="345"/>
      <c r="J58" s="345"/>
      <c r="K58" s="345"/>
      <c r="L58" s="345"/>
      <c r="M58" s="346"/>
      <c r="N58" s="345">
        <v>0</v>
      </c>
      <c r="O58" s="345">
        <v>0</v>
      </c>
      <c r="P58" s="345">
        <v>0</v>
      </c>
      <c r="Q58" s="345">
        <v>0</v>
      </c>
      <c r="R58" s="346">
        <v>0</v>
      </c>
      <c r="S58" s="345"/>
      <c r="T58" s="345"/>
      <c r="U58" s="345"/>
      <c r="V58" s="345"/>
      <c r="W58" s="346"/>
      <c r="X58" s="345">
        <v>0</v>
      </c>
      <c r="Y58" s="345">
        <v>0</v>
      </c>
      <c r="Z58" s="345">
        <v>0</v>
      </c>
      <c r="AA58" s="345">
        <v>0</v>
      </c>
      <c r="AB58" s="346">
        <v>0</v>
      </c>
      <c r="AC58" s="347">
        <v>0</v>
      </c>
      <c r="AD58" s="347">
        <v>0</v>
      </c>
      <c r="AE58" s="347">
        <v>0</v>
      </c>
      <c r="AF58" s="347">
        <v>0</v>
      </c>
      <c r="AG58" s="348">
        <v>0</v>
      </c>
      <c r="AH58" s="347">
        <v>0</v>
      </c>
      <c r="AI58" s="347">
        <v>0</v>
      </c>
      <c r="AJ58" s="347">
        <v>0</v>
      </c>
      <c r="AK58" s="347">
        <v>0</v>
      </c>
      <c r="AL58" s="348">
        <v>0</v>
      </c>
      <c r="AM58" s="347">
        <v>0</v>
      </c>
      <c r="AN58" s="347">
        <v>0</v>
      </c>
      <c r="AO58" s="347">
        <v>0</v>
      </c>
      <c r="AP58" s="347">
        <v>0</v>
      </c>
      <c r="AQ58" s="348">
        <v>0</v>
      </c>
      <c r="AR58" s="345"/>
      <c r="AS58" s="345"/>
      <c r="AT58" s="345"/>
      <c r="AU58" s="345"/>
      <c r="AV58" s="346"/>
      <c r="AW58" s="345">
        <v>0</v>
      </c>
      <c r="AX58" s="345">
        <v>0</v>
      </c>
      <c r="AY58" s="345">
        <v>0</v>
      </c>
      <c r="AZ58" s="345">
        <v>0</v>
      </c>
      <c r="BA58" s="346">
        <v>0</v>
      </c>
      <c r="BB58" s="349">
        <v>0</v>
      </c>
      <c r="BC58" s="350">
        <v>0</v>
      </c>
      <c r="BD58" s="350">
        <v>0</v>
      </c>
      <c r="BE58" s="350">
        <v>0</v>
      </c>
      <c r="BF58" s="351">
        <v>0</v>
      </c>
      <c r="BG58" s="350">
        <v>0</v>
      </c>
      <c r="BH58" s="350">
        <v>0</v>
      </c>
      <c r="BI58" s="350">
        <v>0</v>
      </c>
      <c r="BJ58" s="350">
        <v>0</v>
      </c>
      <c r="BK58" s="351">
        <v>0</v>
      </c>
      <c r="BL58" s="350">
        <v>0</v>
      </c>
      <c r="BM58" s="350">
        <v>0</v>
      </c>
      <c r="BN58" s="350">
        <v>0</v>
      </c>
      <c r="BO58" s="350">
        <v>0</v>
      </c>
      <c r="BP58" s="351">
        <v>0</v>
      </c>
      <c r="BQ58" s="349">
        <v>0</v>
      </c>
      <c r="BR58" s="350">
        <v>0</v>
      </c>
      <c r="BS58" s="350">
        <v>0</v>
      </c>
      <c r="BT58" s="350">
        <v>0</v>
      </c>
      <c r="BU58" s="351">
        <v>0</v>
      </c>
      <c r="BV58" s="352" t="s">
        <v>360</v>
      </c>
      <c r="BW58" s="350" t="s">
        <v>455</v>
      </c>
      <c r="BX58" s="350" t="s">
        <v>455</v>
      </c>
      <c r="BY58" s="350" t="s">
        <v>455</v>
      </c>
      <c r="BZ58" s="350" t="s">
        <v>455</v>
      </c>
      <c r="CA58" s="351" t="s">
        <v>455</v>
      </c>
      <c r="CB58" s="350" t="s">
        <v>455</v>
      </c>
      <c r="CC58" s="350" t="s">
        <v>455</v>
      </c>
      <c r="CD58" s="350" t="s">
        <v>455</v>
      </c>
      <c r="CE58" s="350" t="s">
        <v>455</v>
      </c>
      <c r="CF58" s="351" t="s">
        <v>455</v>
      </c>
      <c r="CG58" s="350" t="s">
        <v>455</v>
      </c>
      <c r="CH58" s="350" t="s">
        <v>455</v>
      </c>
      <c r="CI58" s="350" t="s">
        <v>455</v>
      </c>
      <c r="CJ58" s="350" t="s">
        <v>455</v>
      </c>
      <c r="CK58" s="351" t="s">
        <v>455</v>
      </c>
    </row>
    <row r="59" spans="1:89" s="298" customFormat="1" x14ac:dyDescent="0.2">
      <c r="A59" s="341" t="s">
        <v>422</v>
      </c>
      <c r="B59" s="342" t="s">
        <v>458</v>
      </c>
      <c r="C59" s="343"/>
      <c r="D59" s="344">
        <v>0</v>
      </c>
      <c r="E59" s="345">
        <v>0</v>
      </c>
      <c r="F59" s="345">
        <v>0</v>
      </c>
      <c r="G59" s="345">
        <v>0</v>
      </c>
      <c r="H59" s="346">
        <v>0</v>
      </c>
      <c r="I59" s="345"/>
      <c r="J59" s="345"/>
      <c r="K59" s="345"/>
      <c r="L59" s="345"/>
      <c r="M59" s="346"/>
      <c r="N59" s="345">
        <v>0</v>
      </c>
      <c r="O59" s="345">
        <v>0</v>
      </c>
      <c r="P59" s="345">
        <v>0</v>
      </c>
      <c r="Q59" s="345">
        <v>0</v>
      </c>
      <c r="R59" s="346">
        <v>0</v>
      </c>
      <c r="S59" s="345"/>
      <c r="T59" s="345"/>
      <c r="U59" s="345"/>
      <c r="V59" s="345"/>
      <c r="W59" s="346"/>
      <c r="X59" s="345">
        <v>0</v>
      </c>
      <c r="Y59" s="345">
        <v>0</v>
      </c>
      <c r="Z59" s="345">
        <v>0</v>
      </c>
      <c r="AA59" s="345">
        <v>0</v>
      </c>
      <c r="AB59" s="346">
        <v>0</v>
      </c>
      <c r="AC59" s="347">
        <v>0</v>
      </c>
      <c r="AD59" s="347">
        <v>0</v>
      </c>
      <c r="AE59" s="347">
        <v>0</v>
      </c>
      <c r="AF59" s="347">
        <v>0</v>
      </c>
      <c r="AG59" s="348">
        <v>0</v>
      </c>
      <c r="AH59" s="347">
        <v>0</v>
      </c>
      <c r="AI59" s="347">
        <v>0</v>
      </c>
      <c r="AJ59" s="347">
        <v>0</v>
      </c>
      <c r="AK59" s="347">
        <v>0</v>
      </c>
      <c r="AL59" s="348">
        <v>0</v>
      </c>
      <c r="AM59" s="347">
        <v>0</v>
      </c>
      <c r="AN59" s="347">
        <v>0</v>
      </c>
      <c r="AO59" s="347">
        <v>0</v>
      </c>
      <c r="AP59" s="347">
        <v>0</v>
      </c>
      <c r="AQ59" s="348">
        <v>0</v>
      </c>
      <c r="AR59" s="345"/>
      <c r="AS59" s="345"/>
      <c r="AT59" s="345"/>
      <c r="AU59" s="345"/>
      <c r="AV59" s="346"/>
      <c r="AW59" s="345">
        <v>0</v>
      </c>
      <c r="AX59" s="345">
        <v>0</v>
      </c>
      <c r="AY59" s="345">
        <v>0</v>
      </c>
      <c r="AZ59" s="345">
        <v>0</v>
      </c>
      <c r="BA59" s="346">
        <v>0</v>
      </c>
      <c r="BB59" s="349">
        <v>0</v>
      </c>
      <c r="BC59" s="350">
        <v>0</v>
      </c>
      <c r="BD59" s="350">
        <v>0</v>
      </c>
      <c r="BE59" s="350">
        <v>0</v>
      </c>
      <c r="BF59" s="351">
        <v>0</v>
      </c>
      <c r="BG59" s="350">
        <v>0</v>
      </c>
      <c r="BH59" s="350">
        <v>0</v>
      </c>
      <c r="BI59" s="350">
        <v>0</v>
      </c>
      <c r="BJ59" s="350">
        <v>0</v>
      </c>
      <c r="BK59" s="351">
        <v>0</v>
      </c>
      <c r="BL59" s="350">
        <v>0</v>
      </c>
      <c r="BM59" s="350">
        <v>0</v>
      </c>
      <c r="BN59" s="350">
        <v>0</v>
      </c>
      <c r="BO59" s="350">
        <v>0</v>
      </c>
      <c r="BP59" s="351">
        <v>0</v>
      </c>
      <c r="BQ59" s="349">
        <v>0</v>
      </c>
      <c r="BR59" s="350">
        <v>0</v>
      </c>
      <c r="BS59" s="350">
        <v>0</v>
      </c>
      <c r="BT59" s="350">
        <v>0</v>
      </c>
      <c r="BU59" s="351">
        <v>0</v>
      </c>
      <c r="BV59" s="352" t="s">
        <v>360</v>
      </c>
      <c r="BW59" s="350" t="s">
        <v>455</v>
      </c>
      <c r="BX59" s="350" t="s">
        <v>455</v>
      </c>
      <c r="BY59" s="350" t="s">
        <v>455</v>
      </c>
      <c r="BZ59" s="350" t="s">
        <v>455</v>
      </c>
      <c r="CA59" s="351" t="s">
        <v>455</v>
      </c>
      <c r="CB59" s="350" t="s">
        <v>455</v>
      </c>
      <c r="CC59" s="350" t="s">
        <v>455</v>
      </c>
      <c r="CD59" s="350" t="s">
        <v>455</v>
      </c>
      <c r="CE59" s="350" t="s">
        <v>455</v>
      </c>
      <c r="CF59" s="351" t="s">
        <v>455</v>
      </c>
      <c r="CG59" s="350" t="s">
        <v>455</v>
      </c>
      <c r="CH59" s="350" t="s">
        <v>455</v>
      </c>
      <c r="CI59" s="350" t="s">
        <v>455</v>
      </c>
      <c r="CJ59" s="350" t="s">
        <v>455</v>
      </c>
      <c r="CK59" s="351" t="s">
        <v>455</v>
      </c>
    </row>
    <row r="60" spans="1:89" s="298" customFormat="1" x14ac:dyDescent="0.2">
      <c r="A60" s="341" t="s">
        <v>423</v>
      </c>
      <c r="B60" s="342" t="s">
        <v>501</v>
      </c>
      <c r="C60" s="343"/>
      <c r="D60" s="344"/>
      <c r="E60" s="345"/>
      <c r="F60" s="345"/>
      <c r="G60" s="345"/>
      <c r="H60" s="346"/>
      <c r="I60" s="345"/>
      <c r="J60" s="345"/>
      <c r="K60" s="345"/>
      <c r="L60" s="345"/>
      <c r="M60" s="346"/>
      <c r="N60" s="345"/>
      <c r="O60" s="345"/>
      <c r="P60" s="345"/>
      <c r="Q60" s="345"/>
      <c r="R60" s="346"/>
      <c r="S60" s="345"/>
      <c r="T60" s="345"/>
      <c r="U60" s="345"/>
      <c r="V60" s="345"/>
      <c r="W60" s="346"/>
      <c r="X60" s="345"/>
      <c r="Y60" s="345"/>
      <c r="Z60" s="345"/>
      <c r="AA60" s="345"/>
      <c r="AB60" s="346"/>
      <c r="AC60" s="347">
        <v>0.85</v>
      </c>
      <c r="AD60" s="347">
        <v>0.85</v>
      </c>
      <c r="AE60" s="347">
        <v>0.85</v>
      </c>
      <c r="AF60" s="347">
        <v>0.85</v>
      </c>
      <c r="AG60" s="348">
        <v>0.85</v>
      </c>
      <c r="AH60" s="347">
        <v>0</v>
      </c>
      <c r="AI60" s="347">
        <v>0</v>
      </c>
      <c r="AJ60" s="347">
        <v>0</v>
      </c>
      <c r="AK60" s="347">
        <v>0</v>
      </c>
      <c r="AL60" s="348">
        <v>0</v>
      </c>
      <c r="AM60" s="347">
        <v>0</v>
      </c>
      <c r="AN60" s="347">
        <v>0</v>
      </c>
      <c r="AO60" s="347">
        <v>0</v>
      </c>
      <c r="AP60" s="347">
        <v>0</v>
      </c>
      <c r="AQ60" s="348">
        <v>0</v>
      </c>
      <c r="AR60" s="345"/>
      <c r="AS60" s="345"/>
      <c r="AT60" s="345"/>
      <c r="AU60" s="345"/>
      <c r="AV60" s="346"/>
      <c r="AW60" s="345" t="s">
        <v>488</v>
      </c>
      <c r="AX60" s="345" t="s">
        <v>488</v>
      </c>
      <c r="AY60" s="345" t="s">
        <v>488</v>
      </c>
      <c r="AZ60" s="345" t="s">
        <v>488</v>
      </c>
      <c r="BA60" s="346" t="s">
        <v>488</v>
      </c>
      <c r="BB60" s="344" t="s">
        <v>502</v>
      </c>
      <c r="BC60" s="345" t="s">
        <v>502</v>
      </c>
      <c r="BD60" s="345" t="s">
        <v>502</v>
      </c>
      <c r="BE60" s="345" t="s">
        <v>502</v>
      </c>
      <c r="BF60" s="346" t="s">
        <v>502</v>
      </c>
      <c r="BG60" s="345">
        <v>0</v>
      </c>
      <c r="BH60" s="345">
        <v>0</v>
      </c>
      <c r="BI60" s="345">
        <v>0</v>
      </c>
      <c r="BJ60" s="345">
        <v>0</v>
      </c>
      <c r="BK60" s="346">
        <v>0</v>
      </c>
      <c r="BL60" s="345">
        <v>250</v>
      </c>
      <c r="BM60" s="345">
        <v>250</v>
      </c>
      <c r="BN60" s="345">
        <v>250</v>
      </c>
      <c r="BO60" s="345">
        <v>250</v>
      </c>
      <c r="BP60" s="346">
        <v>250</v>
      </c>
      <c r="BQ60" s="344">
        <v>0</v>
      </c>
      <c r="BR60" s="345">
        <v>0</v>
      </c>
      <c r="BS60" s="345">
        <v>0</v>
      </c>
      <c r="BT60" s="345">
        <v>0</v>
      </c>
      <c r="BU60" s="346">
        <v>0</v>
      </c>
      <c r="BV60" s="352"/>
      <c r="BW60" s="350" t="s">
        <v>455</v>
      </c>
      <c r="BX60" s="350" t="s">
        <v>455</v>
      </c>
      <c r="BY60" s="350" t="s">
        <v>455</v>
      </c>
      <c r="BZ60" s="350" t="s">
        <v>455</v>
      </c>
      <c r="CA60" s="351" t="s">
        <v>455</v>
      </c>
      <c r="CB60" s="350" t="s">
        <v>455</v>
      </c>
      <c r="CC60" s="350" t="s">
        <v>455</v>
      </c>
      <c r="CD60" s="350" t="s">
        <v>455</v>
      </c>
      <c r="CE60" s="350" t="s">
        <v>455</v>
      </c>
      <c r="CF60" s="351" t="s">
        <v>455</v>
      </c>
      <c r="CG60" s="350" t="s">
        <v>455</v>
      </c>
      <c r="CH60" s="350" t="s">
        <v>455</v>
      </c>
      <c r="CI60" s="350" t="s">
        <v>455</v>
      </c>
      <c r="CJ60" s="350" t="s">
        <v>455</v>
      </c>
      <c r="CK60" s="351" t="s">
        <v>455</v>
      </c>
    </row>
    <row r="61" spans="1:89" s="298" customFormat="1" x14ac:dyDescent="0.2">
      <c r="A61" s="341" t="s">
        <v>424</v>
      </c>
      <c r="B61" s="342" t="s">
        <v>503</v>
      </c>
      <c r="C61" s="343"/>
      <c r="D61" s="344"/>
      <c r="E61" s="345"/>
      <c r="F61" s="345"/>
      <c r="G61" s="345"/>
      <c r="H61" s="346"/>
      <c r="I61" s="345"/>
      <c r="J61" s="345"/>
      <c r="K61" s="345"/>
      <c r="L61" s="345"/>
      <c r="M61" s="346"/>
      <c r="N61" s="345"/>
      <c r="O61" s="345"/>
      <c r="P61" s="345"/>
      <c r="Q61" s="345"/>
      <c r="R61" s="346"/>
      <c r="S61" s="345"/>
      <c r="T61" s="345"/>
      <c r="U61" s="345"/>
      <c r="V61" s="345"/>
      <c r="W61" s="346"/>
      <c r="X61" s="345"/>
      <c r="Y61" s="345"/>
      <c r="Z61" s="345"/>
      <c r="AA61" s="345"/>
      <c r="AB61" s="346"/>
      <c r="AC61" s="347">
        <v>0.85499999999999998</v>
      </c>
      <c r="AD61" s="347">
        <v>0.85499999999999998</v>
      </c>
      <c r="AE61" s="347">
        <v>0.85499999999999998</v>
      </c>
      <c r="AF61" s="347">
        <v>0.85499999999999998</v>
      </c>
      <c r="AG61" s="348">
        <v>0.85499999999999998</v>
      </c>
      <c r="AH61" s="347">
        <v>0</v>
      </c>
      <c r="AI61" s="347">
        <v>0</v>
      </c>
      <c r="AJ61" s="347">
        <v>0</v>
      </c>
      <c r="AK61" s="347">
        <v>0</v>
      </c>
      <c r="AL61" s="348">
        <v>0</v>
      </c>
      <c r="AM61" s="347">
        <v>0</v>
      </c>
      <c r="AN61" s="347">
        <v>0</v>
      </c>
      <c r="AO61" s="347">
        <v>0</v>
      </c>
      <c r="AP61" s="347">
        <v>0</v>
      </c>
      <c r="AQ61" s="348">
        <v>0</v>
      </c>
      <c r="AR61" s="345"/>
      <c r="AS61" s="345"/>
      <c r="AT61" s="345"/>
      <c r="AU61" s="345"/>
      <c r="AV61" s="346"/>
      <c r="AW61" s="345" t="s">
        <v>488</v>
      </c>
      <c r="AX61" s="345" t="s">
        <v>488</v>
      </c>
      <c r="AY61" s="345" t="s">
        <v>488</v>
      </c>
      <c r="AZ61" s="345" t="s">
        <v>488</v>
      </c>
      <c r="BA61" s="346" t="s">
        <v>488</v>
      </c>
      <c r="BB61" s="344" t="s">
        <v>504</v>
      </c>
      <c r="BC61" s="345" t="s">
        <v>504</v>
      </c>
      <c r="BD61" s="345" t="s">
        <v>504</v>
      </c>
      <c r="BE61" s="345" t="s">
        <v>504</v>
      </c>
      <c r="BF61" s="346" t="s">
        <v>504</v>
      </c>
      <c r="BG61" s="345">
        <v>0</v>
      </c>
      <c r="BH61" s="345">
        <v>0</v>
      </c>
      <c r="BI61" s="345">
        <v>0</v>
      </c>
      <c r="BJ61" s="345">
        <v>0</v>
      </c>
      <c r="BK61" s="346">
        <v>0</v>
      </c>
      <c r="BL61" s="345" t="s">
        <v>505</v>
      </c>
      <c r="BM61" s="345" t="s">
        <v>505</v>
      </c>
      <c r="BN61" s="345" t="s">
        <v>505</v>
      </c>
      <c r="BO61" s="345" t="s">
        <v>505</v>
      </c>
      <c r="BP61" s="346" t="s">
        <v>505</v>
      </c>
      <c r="BQ61" s="344">
        <v>0</v>
      </c>
      <c r="BR61" s="345">
        <v>0</v>
      </c>
      <c r="BS61" s="345">
        <v>0</v>
      </c>
      <c r="BT61" s="345">
        <v>0</v>
      </c>
      <c r="BU61" s="346">
        <v>0</v>
      </c>
      <c r="BV61" s="352"/>
      <c r="BW61" s="350" t="s">
        <v>455</v>
      </c>
      <c r="BX61" s="350" t="s">
        <v>455</v>
      </c>
      <c r="BY61" s="350" t="s">
        <v>455</v>
      </c>
      <c r="BZ61" s="350" t="s">
        <v>455</v>
      </c>
      <c r="CA61" s="351" t="s">
        <v>455</v>
      </c>
      <c r="CB61" s="350" t="s">
        <v>455</v>
      </c>
      <c r="CC61" s="350" t="s">
        <v>455</v>
      </c>
      <c r="CD61" s="350" t="s">
        <v>455</v>
      </c>
      <c r="CE61" s="350" t="s">
        <v>455</v>
      </c>
      <c r="CF61" s="351" t="s">
        <v>455</v>
      </c>
      <c r="CG61" s="350" t="s">
        <v>455</v>
      </c>
      <c r="CH61" s="350" t="s">
        <v>455</v>
      </c>
      <c r="CI61" s="350" t="s">
        <v>455</v>
      </c>
      <c r="CJ61" s="350" t="s">
        <v>455</v>
      </c>
      <c r="CK61" s="351" t="s">
        <v>455</v>
      </c>
    </row>
    <row r="62" spans="1:89" s="298" customFormat="1" x14ac:dyDescent="0.2">
      <c r="A62" s="299" t="s">
        <v>425</v>
      </c>
      <c r="B62" s="300" t="s">
        <v>506</v>
      </c>
      <c r="C62" s="301" t="s">
        <v>426</v>
      </c>
      <c r="D62" s="302">
        <v>10</v>
      </c>
      <c r="E62" s="303">
        <v>10</v>
      </c>
      <c r="F62" s="303">
        <v>10</v>
      </c>
      <c r="G62" s="303">
        <v>10</v>
      </c>
      <c r="H62" s="304">
        <v>10</v>
      </c>
      <c r="I62" s="303"/>
      <c r="J62" s="303"/>
      <c r="K62" s="303"/>
      <c r="L62" s="303"/>
      <c r="M62" s="304"/>
      <c r="N62" s="303">
        <v>100</v>
      </c>
      <c r="O62" s="303">
        <v>100</v>
      </c>
      <c r="P62" s="303">
        <v>100</v>
      </c>
      <c r="Q62" s="303">
        <v>100</v>
      </c>
      <c r="R62" s="304">
        <v>100</v>
      </c>
      <c r="S62" s="303"/>
      <c r="T62" s="303"/>
      <c r="U62" s="303"/>
      <c r="V62" s="303"/>
      <c r="W62" s="304"/>
      <c r="X62" s="303">
        <v>100</v>
      </c>
      <c r="Y62" s="303">
        <v>100</v>
      </c>
      <c r="Z62" s="303">
        <v>100</v>
      </c>
      <c r="AA62" s="303">
        <v>100</v>
      </c>
      <c r="AB62" s="304">
        <v>100</v>
      </c>
      <c r="AC62" s="305">
        <v>0.98</v>
      </c>
      <c r="AD62" s="305">
        <v>0.98</v>
      </c>
      <c r="AE62" s="305">
        <v>0.98</v>
      </c>
      <c r="AF62" s="305">
        <v>0.98</v>
      </c>
      <c r="AG62" s="306">
        <v>0.98</v>
      </c>
      <c r="AH62" s="305">
        <v>0</v>
      </c>
      <c r="AI62" s="305">
        <v>0</v>
      </c>
      <c r="AJ62" s="305">
        <v>0</v>
      </c>
      <c r="AK62" s="305">
        <v>0</v>
      </c>
      <c r="AL62" s="306">
        <v>0</v>
      </c>
      <c r="AM62" s="305">
        <v>0</v>
      </c>
      <c r="AN62" s="305">
        <v>0</v>
      </c>
      <c r="AO62" s="305">
        <v>0</v>
      </c>
      <c r="AP62" s="305">
        <v>0</v>
      </c>
      <c r="AQ62" s="306">
        <v>0</v>
      </c>
      <c r="AR62" s="303"/>
      <c r="AS62" s="303"/>
      <c r="AT62" s="303"/>
      <c r="AU62" s="303"/>
      <c r="AV62" s="304"/>
      <c r="AW62" s="303">
        <v>20</v>
      </c>
      <c r="AX62" s="303">
        <v>20</v>
      </c>
      <c r="AY62" s="303">
        <v>20</v>
      </c>
      <c r="AZ62" s="303">
        <v>20</v>
      </c>
      <c r="BA62" s="304">
        <v>20</v>
      </c>
      <c r="BB62" s="313">
        <v>2500</v>
      </c>
      <c r="BC62" s="311">
        <v>2500</v>
      </c>
      <c r="BD62" s="311">
        <v>2500</v>
      </c>
      <c r="BE62" s="311">
        <v>2500</v>
      </c>
      <c r="BF62" s="312">
        <v>2500</v>
      </c>
      <c r="BG62" s="307">
        <v>3000</v>
      </c>
      <c r="BH62" s="307">
        <v>3000</v>
      </c>
      <c r="BI62" s="307">
        <v>3000</v>
      </c>
      <c r="BJ62" s="307">
        <v>3000</v>
      </c>
      <c r="BK62" s="308">
        <v>3000</v>
      </c>
      <c r="BL62" s="307">
        <v>150</v>
      </c>
      <c r="BM62" s="307">
        <v>150</v>
      </c>
      <c r="BN62" s="307">
        <v>150</v>
      </c>
      <c r="BO62" s="307">
        <v>150</v>
      </c>
      <c r="BP62" s="308">
        <v>150</v>
      </c>
      <c r="BQ62" s="309">
        <v>0</v>
      </c>
      <c r="BR62" s="307">
        <v>0</v>
      </c>
      <c r="BS62" s="307">
        <v>0</v>
      </c>
      <c r="BT62" s="307">
        <v>0</v>
      </c>
      <c r="BU62" s="308">
        <v>0</v>
      </c>
      <c r="BV62" s="310"/>
      <c r="BW62" s="307">
        <v>250</v>
      </c>
      <c r="BX62" s="307">
        <v>250</v>
      </c>
      <c r="BY62" s="307">
        <v>250</v>
      </c>
      <c r="BZ62" s="307">
        <v>250</v>
      </c>
      <c r="CA62" s="308">
        <v>250</v>
      </c>
      <c r="CB62" s="307">
        <v>300</v>
      </c>
      <c r="CC62" s="307">
        <v>300</v>
      </c>
      <c r="CD62" s="307">
        <v>300</v>
      </c>
      <c r="CE62" s="307">
        <v>300</v>
      </c>
      <c r="CF62" s="308">
        <v>300</v>
      </c>
      <c r="CG62" s="307">
        <v>15</v>
      </c>
      <c r="CH62" s="307">
        <v>15</v>
      </c>
      <c r="CI62" s="307">
        <v>15</v>
      </c>
      <c r="CJ62" s="307">
        <v>15</v>
      </c>
      <c r="CK62" s="308">
        <v>15</v>
      </c>
    </row>
    <row r="63" spans="1:89" s="298" customFormat="1" x14ac:dyDescent="0.2">
      <c r="A63" s="353" t="s">
        <v>427</v>
      </c>
      <c r="B63" s="354" t="s">
        <v>458</v>
      </c>
      <c r="C63" s="355"/>
      <c r="D63" s="356">
        <v>0</v>
      </c>
      <c r="E63" s="357">
        <v>0</v>
      </c>
      <c r="F63" s="357">
        <v>0</v>
      </c>
      <c r="G63" s="357">
        <v>0</v>
      </c>
      <c r="H63" s="358">
        <v>0</v>
      </c>
      <c r="I63" s="357"/>
      <c r="J63" s="357"/>
      <c r="K63" s="357"/>
      <c r="L63" s="357"/>
      <c r="M63" s="358"/>
      <c r="N63" s="357">
        <v>0</v>
      </c>
      <c r="O63" s="357">
        <v>0</v>
      </c>
      <c r="P63" s="357">
        <v>0</v>
      </c>
      <c r="Q63" s="357">
        <v>0</v>
      </c>
      <c r="R63" s="358">
        <v>0</v>
      </c>
      <c r="S63" s="357"/>
      <c r="T63" s="357"/>
      <c r="U63" s="357"/>
      <c r="V63" s="357"/>
      <c r="W63" s="358"/>
      <c r="X63" s="357">
        <v>0</v>
      </c>
      <c r="Y63" s="357">
        <v>0</v>
      </c>
      <c r="Z63" s="357">
        <v>0</v>
      </c>
      <c r="AA63" s="357">
        <v>0</v>
      </c>
      <c r="AB63" s="358">
        <v>0</v>
      </c>
      <c r="AC63" s="359">
        <v>0</v>
      </c>
      <c r="AD63" s="359">
        <v>0</v>
      </c>
      <c r="AE63" s="359">
        <v>0</v>
      </c>
      <c r="AF63" s="359">
        <v>0</v>
      </c>
      <c r="AG63" s="360">
        <v>0</v>
      </c>
      <c r="AH63" s="359">
        <v>0</v>
      </c>
      <c r="AI63" s="359">
        <v>0</v>
      </c>
      <c r="AJ63" s="359">
        <v>0</v>
      </c>
      <c r="AK63" s="359">
        <v>0</v>
      </c>
      <c r="AL63" s="360">
        <v>0</v>
      </c>
      <c r="AM63" s="359">
        <v>0</v>
      </c>
      <c r="AN63" s="359">
        <v>0</v>
      </c>
      <c r="AO63" s="359">
        <v>0</v>
      </c>
      <c r="AP63" s="359">
        <v>0</v>
      </c>
      <c r="AQ63" s="360">
        <v>0</v>
      </c>
      <c r="AR63" s="357"/>
      <c r="AS63" s="357"/>
      <c r="AT63" s="357"/>
      <c r="AU63" s="357"/>
      <c r="AV63" s="358"/>
      <c r="AW63" s="357">
        <v>0</v>
      </c>
      <c r="AX63" s="357">
        <v>0</v>
      </c>
      <c r="AY63" s="357">
        <v>0</v>
      </c>
      <c r="AZ63" s="357">
        <v>0</v>
      </c>
      <c r="BA63" s="358">
        <v>0</v>
      </c>
      <c r="BB63" s="356">
        <v>0</v>
      </c>
      <c r="BC63" s="357">
        <v>0</v>
      </c>
      <c r="BD63" s="357">
        <v>0</v>
      </c>
      <c r="BE63" s="357">
        <v>0</v>
      </c>
      <c r="BF63" s="358">
        <v>0</v>
      </c>
      <c r="BG63" s="357">
        <v>0</v>
      </c>
      <c r="BH63" s="357">
        <v>0</v>
      </c>
      <c r="BI63" s="357">
        <v>0</v>
      </c>
      <c r="BJ63" s="357">
        <v>0</v>
      </c>
      <c r="BK63" s="358">
        <v>0</v>
      </c>
      <c r="BL63" s="357">
        <v>0</v>
      </c>
      <c r="BM63" s="357">
        <v>0</v>
      </c>
      <c r="BN63" s="357">
        <v>0</v>
      </c>
      <c r="BO63" s="357">
        <v>0</v>
      </c>
      <c r="BP63" s="358">
        <v>0</v>
      </c>
      <c r="BQ63" s="356">
        <v>0</v>
      </c>
      <c r="BR63" s="357">
        <v>0</v>
      </c>
      <c r="BS63" s="357">
        <v>0</v>
      </c>
      <c r="BT63" s="357">
        <v>0</v>
      </c>
      <c r="BU63" s="358">
        <v>0</v>
      </c>
      <c r="BV63" s="361" t="s">
        <v>360</v>
      </c>
      <c r="BW63" s="362" t="s">
        <v>455</v>
      </c>
      <c r="BX63" s="362" t="s">
        <v>455</v>
      </c>
      <c r="BY63" s="362" t="s">
        <v>455</v>
      </c>
      <c r="BZ63" s="362" t="s">
        <v>455</v>
      </c>
      <c r="CA63" s="363" t="s">
        <v>455</v>
      </c>
      <c r="CB63" s="362" t="s">
        <v>455</v>
      </c>
      <c r="CC63" s="362" t="s">
        <v>455</v>
      </c>
      <c r="CD63" s="362" t="s">
        <v>455</v>
      </c>
      <c r="CE63" s="362" t="s">
        <v>455</v>
      </c>
      <c r="CF63" s="363" t="s">
        <v>455</v>
      </c>
      <c r="CG63" s="362" t="s">
        <v>455</v>
      </c>
      <c r="CH63" s="362" t="s">
        <v>455</v>
      </c>
      <c r="CI63" s="362" t="s">
        <v>455</v>
      </c>
      <c r="CJ63" s="362" t="s">
        <v>455</v>
      </c>
      <c r="CK63" s="363" t="s">
        <v>455</v>
      </c>
    </row>
    <row r="66" spans="1:74" x14ac:dyDescent="0.2">
      <c r="BB66" s="364" t="e">
        <f ca="1">LEFT(INDIRECT("'"&amp;$A62&amp;"'!"&amp;BB$3&amp;"21"),3)</f>
        <v>#REF!</v>
      </c>
    </row>
    <row r="79" spans="1:74" s="269" customFormat="1" x14ac:dyDescent="0.2">
      <c r="A79" s="268"/>
      <c r="B79" s="268"/>
      <c r="C79" s="268"/>
      <c r="BV79" s="268"/>
    </row>
    <row r="80" spans="1:74" s="269" customFormat="1" x14ac:dyDescent="0.2">
      <c r="A80" s="268"/>
      <c r="B80" s="268"/>
      <c r="C80" s="268"/>
      <c r="BV80" s="268"/>
    </row>
    <row r="81" spans="1:74" s="269" customFormat="1" x14ac:dyDescent="0.2">
      <c r="A81" s="268"/>
      <c r="B81" s="268"/>
      <c r="C81" s="268"/>
      <c r="BV81" s="268"/>
    </row>
    <row r="82" spans="1:74" s="269" customFormat="1" x14ac:dyDescent="0.2">
      <c r="A82" s="268"/>
      <c r="B82" s="268"/>
      <c r="C82" s="268"/>
      <c r="BV82" s="268"/>
    </row>
    <row r="83" spans="1:74" s="269" customFormat="1" x14ac:dyDescent="0.2">
      <c r="A83" s="268"/>
      <c r="B83" s="268"/>
      <c r="C83" s="268"/>
      <c r="BV83" s="268"/>
    </row>
    <row r="84" spans="1:74" s="269" customFormat="1" x14ac:dyDescent="0.2">
      <c r="A84" s="268"/>
      <c r="B84" s="268"/>
      <c r="C84" s="268"/>
      <c r="BV84" s="268"/>
    </row>
    <row r="85" spans="1:74" s="269" customFormat="1" x14ac:dyDescent="0.2">
      <c r="A85" s="268"/>
      <c r="B85" s="268"/>
      <c r="C85" s="268"/>
      <c r="BV85" s="268"/>
    </row>
    <row r="86" spans="1:74" s="269" customFormat="1" x14ac:dyDescent="0.2">
      <c r="A86" s="268"/>
      <c r="B86" s="268"/>
      <c r="C86" s="268"/>
      <c r="BV86" s="268"/>
    </row>
    <row r="87" spans="1:74" s="269" customFormat="1" x14ac:dyDescent="0.2">
      <c r="A87" s="268"/>
      <c r="B87" s="268"/>
      <c r="C87" s="268"/>
      <c r="BV87" s="268"/>
    </row>
    <row r="88" spans="1:74" s="269" customFormat="1" x14ac:dyDescent="0.2">
      <c r="A88" s="268"/>
      <c r="B88" s="268"/>
      <c r="C88" s="268"/>
      <c r="BV88" s="268"/>
    </row>
    <row r="89" spans="1:74" s="269" customFormat="1" x14ac:dyDescent="0.2">
      <c r="A89" s="268"/>
      <c r="B89" s="268"/>
      <c r="C89" s="268"/>
      <c r="BV89" s="268"/>
    </row>
    <row r="90" spans="1:74" s="269" customFormat="1" x14ac:dyDescent="0.2">
      <c r="A90" s="268"/>
      <c r="B90" s="268"/>
      <c r="C90" s="268"/>
      <c r="BV90" s="268"/>
    </row>
    <row r="91" spans="1:74" s="269" customFormat="1" x14ac:dyDescent="0.2">
      <c r="A91" s="268"/>
      <c r="B91" s="268"/>
      <c r="C91" s="268"/>
      <c r="BV91" s="268"/>
    </row>
    <row r="92" spans="1:74" s="269" customFormat="1" x14ac:dyDescent="0.2">
      <c r="A92" s="268"/>
      <c r="B92" s="268"/>
      <c r="C92" s="268"/>
      <c r="BV92" s="268"/>
    </row>
    <row r="93" spans="1:74" s="269" customFormat="1" x14ac:dyDescent="0.2">
      <c r="A93" s="268"/>
      <c r="B93" s="268"/>
      <c r="C93" s="268"/>
      <c r="BV93" s="268"/>
    </row>
    <row r="94" spans="1:74" s="269" customFormat="1" x14ac:dyDescent="0.2">
      <c r="A94" s="268"/>
      <c r="B94" s="268"/>
      <c r="C94" s="268"/>
      <c r="BV94" s="268"/>
    </row>
    <row r="95" spans="1:74" s="269" customFormat="1" x14ac:dyDescent="0.2">
      <c r="A95" s="268"/>
      <c r="B95" s="268"/>
      <c r="C95" s="268"/>
      <c r="BV95" s="268"/>
    </row>
    <row r="96" spans="1:74" s="269" customFormat="1" x14ac:dyDescent="0.2">
      <c r="A96" s="268"/>
      <c r="B96" s="268"/>
      <c r="C96" s="268"/>
      <c r="BV96" s="268"/>
    </row>
    <row r="97" spans="1:74" s="269" customFormat="1" x14ac:dyDescent="0.2">
      <c r="A97" s="268"/>
      <c r="B97" s="268"/>
      <c r="C97" s="268"/>
      <c r="BV97" s="268"/>
    </row>
    <row r="98" spans="1:74" s="269" customFormat="1" x14ac:dyDescent="0.2">
      <c r="A98" s="268"/>
      <c r="B98" s="268"/>
      <c r="C98" s="268"/>
      <c r="BV98" s="268"/>
    </row>
    <row r="99" spans="1:74" s="269" customFormat="1" x14ac:dyDescent="0.2">
      <c r="A99" s="268"/>
      <c r="B99" s="268"/>
      <c r="C99" s="268"/>
      <c r="BV99" s="268"/>
    </row>
    <row r="100" spans="1:74" s="269" customFormat="1" x14ac:dyDescent="0.2">
      <c r="A100" s="268"/>
      <c r="B100" s="268"/>
      <c r="C100" s="268"/>
      <c r="BV100" s="268"/>
    </row>
    <row r="101" spans="1:74" s="269" customFormat="1" x14ac:dyDescent="0.2">
      <c r="A101" s="268"/>
      <c r="B101" s="268"/>
      <c r="C101" s="268"/>
      <c r="BV101" s="268"/>
    </row>
    <row r="102" spans="1:74" s="269" customFormat="1" x14ac:dyDescent="0.2">
      <c r="A102" s="268"/>
      <c r="B102" s="268"/>
      <c r="C102" s="268"/>
      <c r="BV102" s="268"/>
    </row>
    <row r="103" spans="1:74" s="269" customFormat="1" x14ac:dyDescent="0.2">
      <c r="A103" s="268"/>
      <c r="B103" s="268"/>
      <c r="C103" s="268"/>
      <c r="BV103" s="268"/>
    </row>
    <row r="104" spans="1:74" s="269" customFormat="1" x14ac:dyDescent="0.2">
      <c r="A104" s="268"/>
      <c r="B104" s="268"/>
      <c r="C104" s="268"/>
      <c r="BV104" s="268"/>
    </row>
    <row r="105" spans="1:74" s="269" customFormat="1" x14ac:dyDescent="0.2">
      <c r="A105" s="268"/>
      <c r="B105" s="268"/>
      <c r="C105" s="268"/>
      <c r="BV105" s="268"/>
    </row>
    <row r="106" spans="1:74" s="269" customFormat="1" x14ac:dyDescent="0.2">
      <c r="A106" s="268"/>
      <c r="B106" s="268"/>
      <c r="C106" s="268"/>
      <c r="BV106" s="268"/>
    </row>
    <row r="107" spans="1:74" s="269" customFormat="1" x14ac:dyDescent="0.2">
      <c r="A107" s="268"/>
      <c r="B107" s="268"/>
      <c r="C107" s="268"/>
      <c r="BV107" s="268"/>
    </row>
    <row r="108" spans="1:74" s="269" customFormat="1" x14ac:dyDescent="0.2">
      <c r="A108" s="268"/>
      <c r="B108" s="268"/>
      <c r="C108" s="268"/>
      <c r="BV108" s="268"/>
    </row>
    <row r="109" spans="1:74" s="269" customFormat="1" x14ac:dyDescent="0.2">
      <c r="A109" s="268"/>
      <c r="B109" s="268"/>
      <c r="C109" s="268"/>
      <c r="BV109" s="268"/>
    </row>
    <row r="110" spans="1:74" s="269" customFormat="1" x14ac:dyDescent="0.2">
      <c r="A110" s="268"/>
      <c r="B110" s="268"/>
      <c r="C110" s="268"/>
      <c r="BV110" s="268"/>
    </row>
    <row r="111" spans="1:74" s="269" customFormat="1" x14ac:dyDescent="0.2">
      <c r="A111" s="268"/>
      <c r="B111" s="268"/>
      <c r="C111" s="268"/>
      <c r="BV111" s="268"/>
    </row>
    <row r="112" spans="1:74" s="269" customFormat="1" x14ac:dyDescent="0.2">
      <c r="A112" s="268"/>
      <c r="B112" s="268"/>
      <c r="C112" s="268"/>
      <c r="BV112" s="268"/>
    </row>
    <row r="113" spans="1:74" s="269" customFormat="1" x14ac:dyDescent="0.2">
      <c r="A113" s="268"/>
      <c r="B113" s="268"/>
      <c r="C113" s="268"/>
      <c r="BV113" s="268"/>
    </row>
    <row r="114" spans="1:74" s="269" customFormat="1" x14ac:dyDescent="0.2">
      <c r="A114" s="268"/>
      <c r="B114" s="268"/>
      <c r="C114" s="268"/>
      <c r="BV114" s="268"/>
    </row>
    <row r="115" spans="1:74" s="269" customFormat="1" x14ac:dyDescent="0.2">
      <c r="A115" s="268"/>
      <c r="B115" s="268"/>
      <c r="C115" s="268"/>
      <c r="BV115" s="268"/>
    </row>
    <row r="116" spans="1:74" s="269" customFormat="1" x14ac:dyDescent="0.2">
      <c r="A116" s="268"/>
      <c r="B116" s="268"/>
      <c r="C116" s="268"/>
      <c r="BV116" s="268"/>
    </row>
    <row r="117" spans="1:74" s="269" customFormat="1" x14ac:dyDescent="0.2">
      <c r="A117" s="268"/>
      <c r="B117" s="268"/>
      <c r="C117" s="268"/>
      <c r="BV117" s="268"/>
    </row>
    <row r="118" spans="1:74" s="269" customFormat="1" x14ac:dyDescent="0.2">
      <c r="A118" s="268"/>
      <c r="B118" s="268"/>
      <c r="C118" s="268"/>
      <c r="BV118" s="268"/>
    </row>
    <row r="119" spans="1:74" s="269" customFormat="1" x14ac:dyDescent="0.2">
      <c r="A119" s="268"/>
      <c r="B119" s="268"/>
      <c r="C119" s="268"/>
      <c r="BV119" s="268"/>
    </row>
    <row r="120" spans="1:74" s="269" customFormat="1" x14ac:dyDescent="0.2">
      <c r="A120" s="268"/>
      <c r="B120" s="268"/>
      <c r="C120" s="268"/>
      <c r="BV120" s="268"/>
    </row>
    <row r="121" spans="1:74" s="269" customFormat="1" x14ac:dyDescent="0.2">
      <c r="A121" s="268"/>
      <c r="B121" s="268"/>
      <c r="C121" s="268"/>
      <c r="BV121" s="268"/>
    </row>
    <row r="122" spans="1:74" s="269" customFormat="1" x14ac:dyDescent="0.2">
      <c r="A122" s="268"/>
      <c r="B122" s="268"/>
      <c r="C122" s="268"/>
      <c r="BV122" s="268"/>
    </row>
    <row r="123" spans="1:74" s="269" customFormat="1" x14ac:dyDescent="0.2">
      <c r="A123" s="268"/>
      <c r="B123" s="268"/>
      <c r="C123" s="268"/>
      <c r="BV123" s="268"/>
    </row>
    <row r="124" spans="1:74" s="269" customFormat="1" x14ac:dyDescent="0.2">
      <c r="A124" s="268"/>
      <c r="B124" s="268"/>
      <c r="C124" s="268"/>
      <c r="BV124" s="268"/>
    </row>
    <row r="125" spans="1:74" s="269" customFormat="1" x14ac:dyDescent="0.2">
      <c r="A125" s="268"/>
      <c r="B125" s="268"/>
      <c r="C125" s="268"/>
      <c r="BV125" s="268"/>
    </row>
    <row r="126" spans="1:74" s="269" customFormat="1" x14ac:dyDescent="0.2">
      <c r="A126" s="268"/>
      <c r="B126" s="268"/>
      <c r="C126" s="268"/>
      <c r="BV126" s="268"/>
    </row>
    <row r="127" spans="1:74" s="269" customFormat="1" x14ac:dyDescent="0.2">
      <c r="A127" s="268"/>
      <c r="B127" s="268"/>
      <c r="C127" s="268"/>
      <c r="BV127" s="268"/>
    </row>
    <row r="128" spans="1:74" s="269" customFormat="1" x14ac:dyDescent="0.2">
      <c r="A128" s="268"/>
      <c r="B128" s="268"/>
      <c r="C128" s="268"/>
      <c r="BV128" s="268"/>
    </row>
    <row r="129" spans="1:74" s="269" customFormat="1" x14ac:dyDescent="0.2">
      <c r="A129" s="268"/>
      <c r="B129" s="268"/>
      <c r="C129" s="268"/>
      <c r="BV129" s="268"/>
    </row>
    <row r="130" spans="1:74" s="269" customFormat="1" x14ac:dyDescent="0.2">
      <c r="A130" s="268"/>
      <c r="B130" s="268"/>
      <c r="C130" s="268"/>
      <c r="BV130" s="268"/>
    </row>
    <row r="131" spans="1:74" s="269" customFormat="1" x14ac:dyDescent="0.2">
      <c r="A131" s="268"/>
      <c r="B131" s="268"/>
      <c r="C131" s="268"/>
      <c r="BV131" s="268"/>
    </row>
    <row r="132" spans="1:74" s="269" customFormat="1" x14ac:dyDescent="0.2">
      <c r="A132" s="268"/>
      <c r="B132" s="268"/>
      <c r="C132" s="268"/>
      <c r="BV132" s="268"/>
    </row>
    <row r="133" spans="1:74" s="269" customFormat="1" x14ac:dyDescent="0.2">
      <c r="A133" s="268"/>
      <c r="B133" s="268"/>
      <c r="C133" s="268"/>
      <c r="BV133" s="268"/>
    </row>
    <row r="134" spans="1:74" s="269" customFormat="1" x14ac:dyDescent="0.2">
      <c r="A134" s="268"/>
      <c r="B134" s="268"/>
      <c r="C134" s="268"/>
      <c r="BV134" s="268"/>
    </row>
    <row r="135" spans="1:74" s="269" customFormat="1" x14ac:dyDescent="0.2">
      <c r="A135" s="268"/>
      <c r="B135" s="268"/>
      <c r="C135" s="268"/>
      <c r="BV135" s="268"/>
    </row>
    <row r="136" spans="1:74" s="269" customFormat="1" x14ac:dyDescent="0.2">
      <c r="A136" s="268"/>
      <c r="B136" s="268"/>
      <c r="C136" s="268"/>
      <c r="BV136" s="268"/>
    </row>
    <row r="137" spans="1:74" s="269" customFormat="1" x14ac:dyDescent="0.2">
      <c r="A137" s="268"/>
      <c r="B137" s="268"/>
      <c r="C137" s="268"/>
      <c r="BV137" s="268"/>
    </row>
    <row r="138" spans="1:74" s="269" customFormat="1" x14ac:dyDescent="0.2">
      <c r="A138" s="268"/>
      <c r="B138" s="268"/>
      <c r="C138" s="268"/>
      <c r="BV138" s="268"/>
    </row>
    <row r="139" spans="1:74" s="269" customFormat="1" x14ac:dyDescent="0.2">
      <c r="A139" s="268"/>
      <c r="B139" s="268"/>
      <c r="C139" s="268"/>
      <c r="BV139" s="268"/>
    </row>
    <row r="140" spans="1:74" s="269" customFormat="1" x14ac:dyDescent="0.2">
      <c r="A140" s="268"/>
      <c r="B140" s="268"/>
      <c r="C140" s="268"/>
      <c r="BV140" s="268"/>
    </row>
    <row r="141" spans="1:74" s="269" customFormat="1" x14ac:dyDescent="0.2">
      <c r="A141" s="268"/>
      <c r="B141" s="268"/>
      <c r="C141" s="268"/>
      <c r="BV141" s="268"/>
    </row>
    <row r="142" spans="1:74" s="269" customFormat="1" x14ac:dyDescent="0.2">
      <c r="A142" s="268"/>
      <c r="B142" s="268"/>
      <c r="C142" s="268"/>
      <c r="BV142" s="268"/>
    </row>
    <row r="143" spans="1:74" s="269" customFormat="1" x14ac:dyDescent="0.2">
      <c r="A143" s="268"/>
      <c r="B143" s="268"/>
      <c r="C143" s="268"/>
      <c r="BV143" s="268"/>
    </row>
    <row r="144" spans="1:74" s="269" customFormat="1" x14ac:dyDescent="0.2">
      <c r="A144" s="268"/>
      <c r="B144" s="268"/>
      <c r="C144" s="268"/>
      <c r="BV144" s="268"/>
    </row>
    <row r="145" spans="1:74" s="269" customFormat="1" x14ac:dyDescent="0.2">
      <c r="A145" s="268"/>
      <c r="B145" s="268"/>
      <c r="C145" s="268"/>
      <c r="BV145" s="268"/>
    </row>
    <row r="146" spans="1:74" s="269" customFormat="1" x14ac:dyDescent="0.2">
      <c r="A146" s="268"/>
      <c r="B146" s="268"/>
      <c r="C146" s="268"/>
      <c r="BV146" s="268"/>
    </row>
    <row r="147" spans="1:74" s="269" customFormat="1" x14ac:dyDescent="0.2">
      <c r="A147" s="268"/>
      <c r="B147" s="268"/>
      <c r="C147" s="268"/>
      <c r="BV147" s="268"/>
    </row>
    <row r="148" spans="1:74" s="269" customFormat="1" x14ac:dyDescent="0.2">
      <c r="A148" s="268"/>
      <c r="B148" s="268"/>
      <c r="C148" s="268"/>
      <c r="BV148" s="268"/>
    </row>
    <row r="149" spans="1:74" s="269" customFormat="1" x14ac:dyDescent="0.2">
      <c r="A149" s="268"/>
      <c r="B149" s="268"/>
      <c r="C149" s="268"/>
      <c r="BV149" s="268"/>
    </row>
    <row r="150" spans="1:74" s="269" customFormat="1" x14ac:dyDescent="0.2">
      <c r="A150" s="268"/>
      <c r="B150" s="268"/>
      <c r="C150" s="268"/>
      <c r="BV150" s="268"/>
    </row>
    <row r="151" spans="1:74" s="269" customFormat="1" x14ac:dyDescent="0.2">
      <c r="A151" s="268"/>
      <c r="B151" s="268"/>
      <c r="C151" s="268"/>
      <c r="BV151" s="268"/>
    </row>
    <row r="152" spans="1:74" s="269" customFormat="1" x14ac:dyDescent="0.2">
      <c r="A152" s="268"/>
      <c r="B152" s="268"/>
      <c r="C152" s="268"/>
      <c r="BV152" s="268"/>
    </row>
    <row r="153" spans="1:74" s="269" customFormat="1" x14ac:dyDescent="0.2">
      <c r="A153" s="268"/>
      <c r="B153" s="268"/>
      <c r="C153" s="268"/>
      <c r="BV153" s="268"/>
    </row>
    <row r="154" spans="1:74" s="269" customFormat="1" x14ac:dyDescent="0.2">
      <c r="A154" s="268"/>
      <c r="B154" s="268"/>
      <c r="C154" s="268"/>
      <c r="BV154" s="268"/>
    </row>
    <row r="155" spans="1:74" s="269" customFormat="1" x14ac:dyDescent="0.2">
      <c r="A155" s="268"/>
      <c r="B155" s="268"/>
      <c r="C155" s="268"/>
      <c r="BV155" s="268"/>
    </row>
    <row r="156" spans="1:74" s="269" customFormat="1" x14ac:dyDescent="0.2">
      <c r="A156" s="268"/>
      <c r="B156" s="268"/>
      <c r="C156" s="268"/>
      <c r="BV156" s="268"/>
    </row>
    <row r="157" spans="1:74" s="269" customFormat="1" x14ac:dyDescent="0.2">
      <c r="A157" s="268"/>
      <c r="B157" s="268"/>
      <c r="C157" s="268"/>
      <c r="BV157" s="268"/>
    </row>
    <row r="158" spans="1:74" s="269" customFormat="1" x14ac:dyDescent="0.2">
      <c r="A158" s="268"/>
      <c r="B158" s="268"/>
      <c r="C158" s="268"/>
      <c r="BV158" s="268"/>
    </row>
    <row r="159" spans="1:74" s="269" customFormat="1" x14ac:dyDescent="0.2">
      <c r="A159" s="268"/>
      <c r="B159" s="268"/>
      <c r="C159" s="268"/>
      <c r="BV159" s="268"/>
    </row>
    <row r="160" spans="1:74" s="269" customFormat="1" x14ac:dyDescent="0.2">
      <c r="A160" s="268"/>
      <c r="B160" s="268"/>
      <c r="C160" s="268"/>
      <c r="BV160" s="268"/>
    </row>
    <row r="161" spans="1:74" s="269" customFormat="1" x14ac:dyDescent="0.2">
      <c r="A161" s="268"/>
      <c r="B161" s="268"/>
      <c r="C161" s="268"/>
      <c r="BV161" s="268"/>
    </row>
    <row r="162" spans="1:74" s="269" customFormat="1" x14ac:dyDescent="0.2">
      <c r="A162" s="268"/>
      <c r="B162" s="268"/>
      <c r="C162" s="268"/>
      <c r="BV162" s="268"/>
    </row>
    <row r="163" spans="1:74" s="269" customFormat="1" x14ac:dyDescent="0.2">
      <c r="A163" s="268"/>
      <c r="B163" s="268"/>
      <c r="C163" s="268"/>
      <c r="BV163" s="268"/>
    </row>
    <row r="164" spans="1:74" s="269" customFormat="1" x14ac:dyDescent="0.2">
      <c r="A164" s="268"/>
      <c r="B164" s="268"/>
      <c r="C164" s="268"/>
      <c r="BV164" s="268"/>
    </row>
    <row r="165" spans="1:74" s="269" customFormat="1" x14ac:dyDescent="0.2">
      <c r="A165" s="268"/>
      <c r="B165" s="268"/>
      <c r="C165" s="268"/>
      <c r="BV165" s="268"/>
    </row>
    <row r="166" spans="1:74" s="269" customFormat="1" x14ac:dyDescent="0.2">
      <c r="A166" s="268"/>
      <c r="B166" s="268"/>
      <c r="C166" s="268"/>
      <c r="BV166" s="268"/>
    </row>
    <row r="167" spans="1:74" s="269" customFormat="1" x14ac:dyDescent="0.2">
      <c r="A167" s="268"/>
      <c r="B167" s="268"/>
      <c r="C167" s="268"/>
      <c r="BV167" s="268"/>
    </row>
    <row r="168" spans="1:74" s="269" customFormat="1" x14ac:dyDescent="0.2">
      <c r="A168" s="268"/>
      <c r="B168" s="268"/>
      <c r="C168" s="268"/>
      <c r="BV168" s="268"/>
    </row>
    <row r="169" spans="1:74" s="269" customFormat="1" x14ac:dyDescent="0.2">
      <c r="A169" s="268"/>
      <c r="B169" s="268"/>
      <c r="C169" s="268"/>
      <c r="BV169" s="268"/>
    </row>
    <row r="170" spans="1:74" s="269" customFormat="1" x14ac:dyDescent="0.2">
      <c r="A170" s="268"/>
      <c r="B170" s="268"/>
      <c r="C170" s="268"/>
      <c r="BV170" s="268"/>
    </row>
    <row r="171" spans="1:74" s="269" customFormat="1" x14ac:dyDescent="0.2">
      <c r="A171" s="268"/>
      <c r="B171" s="268"/>
      <c r="C171" s="268"/>
      <c r="BV171" s="268"/>
    </row>
    <row r="172" spans="1:74" s="269" customFormat="1" x14ac:dyDescent="0.2">
      <c r="A172" s="268"/>
      <c r="B172" s="268"/>
      <c r="C172" s="268"/>
      <c r="BV172" s="268"/>
    </row>
    <row r="173" spans="1:74" s="269" customFormat="1" x14ac:dyDescent="0.2">
      <c r="A173" s="268"/>
      <c r="B173" s="268"/>
      <c r="C173" s="268"/>
      <c r="BV173" s="268"/>
    </row>
    <row r="174" spans="1:74" s="269" customFormat="1" x14ac:dyDescent="0.2">
      <c r="A174" s="268"/>
      <c r="B174" s="268"/>
      <c r="C174" s="268"/>
      <c r="BV174" s="268"/>
    </row>
    <row r="175" spans="1:74" s="269" customFormat="1" x14ac:dyDescent="0.2">
      <c r="A175" s="268"/>
      <c r="B175" s="268"/>
      <c r="C175" s="268"/>
      <c r="BV175" s="268"/>
    </row>
    <row r="176" spans="1:74" s="269" customFormat="1" x14ac:dyDescent="0.2">
      <c r="A176" s="268"/>
      <c r="B176" s="268"/>
      <c r="C176" s="268"/>
      <c r="BV176" s="268"/>
    </row>
    <row r="177" spans="1:74" s="269" customFormat="1" x14ac:dyDescent="0.2">
      <c r="A177" s="268"/>
      <c r="B177" s="268"/>
      <c r="C177" s="268"/>
      <c r="BV177" s="268"/>
    </row>
    <row r="178" spans="1:74" s="269" customFormat="1" x14ac:dyDescent="0.2">
      <c r="A178" s="268"/>
      <c r="B178" s="268"/>
      <c r="C178" s="268"/>
      <c r="BV178" s="268"/>
    </row>
    <row r="179" spans="1:74" s="269" customFormat="1" x14ac:dyDescent="0.2">
      <c r="A179" s="268"/>
      <c r="B179" s="268"/>
      <c r="C179" s="268"/>
      <c r="BV179" s="268"/>
    </row>
    <row r="180" spans="1:74" s="269" customFormat="1" x14ac:dyDescent="0.2">
      <c r="A180" s="268"/>
      <c r="B180" s="268"/>
      <c r="C180" s="268"/>
      <c r="BV180" s="268"/>
    </row>
    <row r="181" spans="1:74" s="269" customFormat="1" x14ac:dyDescent="0.2">
      <c r="A181" s="268"/>
      <c r="B181" s="268"/>
      <c r="C181" s="268"/>
      <c r="BV181" s="268"/>
    </row>
    <row r="182" spans="1:74" s="269" customFormat="1" x14ac:dyDescent="0.2">
      <c r="A182" s="268"/>
      <c r="B182" s="268"/>
      <c r="C182" s="268"/>
      <c r="BV182" s="268"/>
    </row>
    <row r="183" spans="1:74" s="269" customFormat="1" x14ac:dyDescent="0.2">
      <c r="A183" s="268"/>
      <c r="B183" s="268"/>
      <c r="C183" s="268"/>
      <c r="BV183" s="268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91" t="s">
        <v>590</v>
      </c>
      <c r="B1" s="593" t="s">
        <v>591</v>
      </c>
      <c r="C1" s="594"/>
      <c r="D1" s="594"/>
      <c r="E1" s="594"/>
      <c r="F1" s="595"/>
      <c r="G1" s="593" t="s">
        <v>592</v>
      </c>
      <c r="H1" s="594"/>
      <c r="I1" s="594"/>
      <c r="J1" s="594"/>
      <c r="K1" s="595"/>
      <c r="L1" s="3"/>
      <c r="M1" s="3"/>
      <c r="N1" s="3"/>
      <c r="O1" s="3"/>
      <c r="P1" s="3"/>
      <c r="Q1" s="3"/>
      <c r="R1" s="3"/>
    </row>
    <row r="2" spans="1:18" ht="13.5" thickBot="1" x14ac:dyDescent="0.25">
      <c r="A2" s="592"/>
      <c r="B2" s="449" t="s">
        <v>259</v>
      </c>
      <c r="C2" s="450" t="s">
        <v>593</v>
      </c>
      <c r="D2" s="450" t="s">
        <v>594</v>
      </c>
      <c r="E2" s="450" t="s">
        <v>595</v>
      </c>
      <c r="F2" s="451" t="s">
        <v>596</v>
      </c>
      <c r="G2" s="449" t="s">
        <v>259</v>
      </c>
      <c r="H2" s="450" t="s">
        <v>593</v>
      </c>
      <c r="I2" s="450" t="s">
        <v>594</v>
      </c>
      <c r="J2" s="450" t="s">
        <v>595</v>
      </c>
      <c r="K2" s="451" t="s">
        <v>596</v>
      </c>
      <c r="L2" s="3"/>
      <c r="M2" s="452"/>
      <c r="N2" s="3"/>
      <c r="O2" s="3"/>
      <c r="P2" s="3"/>
      <c r="Q2" s="3"/>
      <c r="R2" s="3"/>
    </row>
    <row r="3" spans="1:18" x14ac:dyDescent="0.2">
      <c r="A3" s="453" t="s">
        <v>597</v>
      </c>
      <c r="B3" s="454">
        <f>SUM(C3:F3)</f>
        <v>113.577</v>
      </c>
      <c r="C3" s="455">
        <v>94.888999999999996</v>
      </c>
      <c r="D3" s="456">
        <v>2.831</v>
      </c>
      <c r="E3" s="456"/>
      <c r="F3" s="457">
        <v>15.856999999999999</v>
      </c>
      <c r="G3" s="454">
        <f>B3/3.6</f>
        <v>31.549166666666665</v>
      </c>
      <c r="H3" s="458">
        <f>C3/3.6</f>
        <v>26.358055555555552</v>
      </c>
      <c r="I3" s="458">
        <f>D3/3.6</f>
        <v>0.7863888888888888</v>
      </c>
      <c r="J3" s="458">
        <f>E3/3.6</f>
        <v>0</v>
      </c>
      <c r="K3" s="459">
        <f>F3/3.6</f>
        <v>4.4047222222222215</v>
      </c>
      <c r="L3" s="3"/>
      <c r="M3" s="460"/>
      <c r="N3" s="461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90" t="s">
        <v>593</v>
      </c>
      <c r="B7" s="590"/>
      <c r="C7" s="590"/>
      <c r="D7" s="59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2" t="s">
        <v>598</v>
      </c>
      <c r="B8" s="462">
        <v>2015</v>
      </c>
      <c r="C8" s="462">
        <v>2020</v>
      </c>
      <c r="D8" s="462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3">
        <v>0.4</v>
      </c>
      <c r="D10" s="393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3">
        <v>0.5</v>
      </c>
      <c r="D12" s="393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3">
        <v>0.4</v>
      </c>
      <c r="D13" s="393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3">
        <f>(C11/C12)*C13</f>
        <v>15.311999999999998</v>
      </c>
      <c r="D14" s="463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3">
        <f>C3</f>
        <v>94.888999999999996</v>
      </c>
      <c r="C16" s="463">
        <f>C15/1000</f>
        <v>55.12319999999999</v>
      </c>
      <c r="D16" s="479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3"/>
      <c r="C17" s="463"/>
      <c r="D17" s="46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90" t="s">
        <v>607</v>
      </c>
      <c r="B18" s="590"/>
      <c r="C18" s="590"/>
      <c r="D18" s="59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2" t="s">
        <v>598</v>
      </c>
      <c r="B19" s="462"/>
      <c r="C19" s="462">
        <v>2020</v>
      </c>
      <c r="D19" s="462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4">
        <v>0.127</v>
      </c>
      <c r="D21" s="465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8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8">
        <f>C24*3600</f>
        <v>20047.670103092783</v>
      </c>
      <c r="D25" s="448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3">
        <f>C25/1000</f>
        <v>20.047670103092784</v>
      </c>
      <c r="D26" s="479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90" t="s">
        <v>615</v>
      </c>
      <c r="B28" s="590"/>
      <c r="C28" s="590"/>
      <c r="D28" s="59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2" t="s">
        <v>598</v>
      </c>
      <c r="B29" s="462">
        <v>2015</v>
      </c>
      <c r="C29" s="462">
        <v>2020</v>
      </c>
      <c r="D29" s="462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3"/>
      <c r="U29" s="444"/>
      <c r="V29" s="445" t="s">
        <v>576</v>
      </c>
      <c r="W29" s="445" t="s">
        <v>577</v>
      </c>
      <c r="X29" s="445" t="s">
        <v>578</v>
      </c>
      <c r="Y29" s="445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3"/>
      <c r="U30" s="443" t="s">
        <v>580</v>
      </c>
      <c r="V30" s="443" t="s">
        <v>581</v>
      </c>
      <c r="W30" s="443" t="s">
        <v>582</v>
      </c>
      <c r="X30" s="443" t="s">
        <v>583</v>
      </c>
      <c r="Y30" s="443" t="s">
        <v>584</v>
      </c>
    </row>
    <row r="31" spans="1:30" ht="15" x14ac:dyDescent="0.25">
      <c r="A31" s="3" t="s">
        <v>617</v>
      </c>
      <c r="B31" s="393">
        <v>0.25</v>
      </c>
      <c r="C31" s="393">
        <f>B31</f>
        <v>0.25</v>
      </c>
      <c r="D31" s="393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4" t="s">
        <v>585</v>
      </c>
      <c r="U31" s="443">
        <v>311.65399600000001</v>
      </c>
      <c r="V31" s="443">
        <v>8845.3479520000001</v>
      </c>
      <c r="W31" s="443">
        <v>22461.807872000001</v>
      </c>
      <c r="X31" s="443">
        <v>28682.778717000001</v>
      </c>
      <c r="Y31" s="443">
        <v>8653.6989190000004</v>
      </c>
    </row>
    <row r="32" spans="1:30" ht="15" x14ac:dyDescent="0.25">
      <c r="A32" s="3" t="s">
        <v>618</v>
      </c>
      <c r="B32" s="448">
        <f>B30/B31</f>
        <v>72</v>
      </c>
      <c r="C32" s="448">
        <f>C30/C31</f>
        <v>312</v>
      </c>
      <c r="D32" s="448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4" t="s">
        <v>586</v>
      </c>
      <c r="U32" s="446">
        <v>2.9555506715861044E-3</v>
      </c>
      <c r="V32" s="477">
        <v>8.3884289678565108E-2</v>
      </c>
      <c r="W32" s="477">
        <v>0.21301511353355998</v>
      </c>
      <c r="X32" s="477">
        <v>0.2720112913295839</v>
      </c>
      <c r="Y32" s="477">
        <v>8.2066798372623442E-2</v>
      </c>
      <c r="AA32" s="478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3">
        <v>0.8</v>
      </c>
      <c r="C33" s="393">
        <f>B33</f>
        <v>0.8</v>
      </c>
      <c r="D33" s="393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4" t="s">
        <v>93</v>
      </c>
      <c r="U33" s="447"/>
      <c r="V33" s="447">
        <v>8</v>
      </c>
      <c r="W33" s="447">
        <v>6</v>
      </c>
      <c r="X33" s="447">
        <v>3.7</v>
      </c>
      <c r="Y33" s="447">
        <v>1.9</v>
      </c>
      <c r="AD33" s="393">
        <v>0.65</v>
      </c>
    </row>
    <row r="34" spans="1:30" ht="15" x14ac:dyDescent="0.25">
      <c r="A34" s="3" t="s">
        <v>620</v>
      </c>
      <c r="B34" s="393">
        <v>0.7</v>
      </c>
      <c r="C34" s="393">
        <f>B34</f>
        <v>0.7</v>
      </c>
      <c r="D34" s="393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4" t="s">
        <v>587</v>
      </c>
      <c r="U34" s="443"/>
      <c r="V34" s="443">
        <v>1387</v>
      </c>
      <c r="W34" s="443">
        <v>2642</v>
      </c>
      <c r="X34" s="443">
        <v>2080</v>
      </c>
      <c r="Y34" s="443">
        <v>322</v>
      </c>
    </row>
    <row r="35" spans="1:30" ht="15" x14ac:dyDescent="0.25">
      <c r="A35" s="3" t="s">
        <v>621</v>
      </c>
      <c r="B35" s="448">
        <f>(B32*8760*B33*B34)</f>
        <v>353203.19999999995</v>
      </c>
      <c r="C35" s="448">
        <f>(C32*8760*C33*C34)</f>
        <v>1530547.2</v>
      </c>
      <c r="D35" s="448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4" t="s">
        <v>588</v>
      </c>
      <c r="U35" s="443"/>
      <c r="V35" s="476">
        <f t="shared" ref="V35:X35" si="0">V34*110%</f>
        <v>1525.7</v>
      </c>
      <c r="W35" s="476">
        <f>W34*110%</f>
        <v>2906.2000000000003</v>
      </c>
      <c r="X35" s="476">
        <f t="shared" si="0"/>
        <v>2288</v>
      </c>
      <c r="Y35" s="476">
        <f>Y34*110%</f>
        <v>354.20000000000005</v>
      </c>
    </row>
    <row r="36" spans="1:30" x14ac:dyDescent="0.2">
      <c r="A36" s="3" t="s">
        <v>592</v>
      </c>
      <c r="B36" s="463">
        <f>B35/10^6</f>
        <v>0.35320319999999994</v>
      </c>
      <c r="C36" s="463">
        <f>C35/10^6</f>
        <v>1.5305472</v>
      </c>
      <c r="D36" s="463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8"/>
      <c r="U36" s="448"/>
      <c r="V36" s="448"/>
      <c r="W36" s="448"/>
      <c r="X36" s="448"/>
      <c r="Y36" s="448"/>
    </row>
    <row r="37" spans="1:30" x14ac:dyDescent="0.2">
      <c r="A37" s="3" t="s">
        <v>622</v>
      </c>
      <c r="B37" s="448">
        <f>B36*3600</f>
        <v>1271.5315199999998</v>
      </c>
      <c r="C37" s="448">
        <f>C36*3600</f>
        <v>5509.9699199999995</v>
      </c>
      <c r="D37" s="448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8" t="s">
        <v>589</v>
      </c>
      <c r="U37" s="448"/>
      <c r="V37" s="448"/>
      <c r="W37" s="448"/>
      <c r="X37" s="448"/>
      <c r="Y37" s="448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0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90" t="s">
        <v>596</v>
      </c>
      <c r="B40" s="590"/>
      <c r="C40" s="590"/>
      <c r="D40" s="59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2" t="s">
        <v>598</v>
      </c>
      <c r="B41" s="462">
        <v>2015</v>
      </c>
      <c r="C41" s="3"/>
      <c r="D41" s="462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1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90" t="s">
        <v>624</v>
      </c>
      <c r="B45" s="590"/>
      <c r="C45" s="590"/>
      <c r="D45" s="59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2" t="s">
        <v>598</v>
      </c>
      <c r="B46" s="462">
        <v>2018</v>
      </c>
      <c r="C46" s="462">
        <v>2020</v>
      </c>
      <c r="D46" s="462">
        <v>2030</v>
      </c>
      <c r="E46" s="3"/>
      <c r="F46" s="462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6" t="s">
        <v>627</v>
      </c>
      <c r="B48" s="467">
        <v>0.5</v>
      </c>
      <c r="C48" s="467">
        <f>B48</f>
        <v>0.5</v>
      </c>
      <c r="D48" s="467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96" t="s">
        <v>579</v>
      </c>
      <c r="AA48" s="597"/>
      <c r="AB48" s="597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3">
        <v>1</v>
      </c>
      <c r="C50" s="393">
        <f>B50</f>
        <v>1</v>
      </c>
      <c r="D50" s="393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3">
        <f>B51/10^6</f>
        <v>1.752</v>
      </c>
      <c r="C52" s="463">
        <f>C51/10^6</f>
        <v>3.0659999999999998</v>
      </c>
      <c r="D52" s="463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2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8">
        <f>B52*3600</f>
        <v>6307.2</v>
      </c>
      <c r="C53" s="448">
        <f>C52*3600</f>
        <v>11037.599999999999</v>
      </c>
      <c r="D53" s="448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96" t="s">
        <v>578</v>
      </c>
      <c r="AA53" s="597"/>
      <c r="AB53" s="597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0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2" t="s">
        <v>646</v>
      </c>
      <c r="AA57" s="3"/>
    </row>
    <row r="58" spans="1:28" ht="15" x14ac:dyDescent="0.25">
      <c r="A58" s="468" t="str">
        <f>A54</f>
        <v>Excess Heat Production (PJ)</v>
      </c>
      <c r="B58" s="468">
        <v>2020</v>
      </c>
      <c r="C58" s="468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9" t="str">
        <f>A7</f>
        <v>Power Plants</v>
      </c>
      <c r="B59" s="470">
        <f>C16</f>
        <v>55.12319999999999</v>
      </c>
      <c r="C59" s="470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96" t="s">
        <v>645</v>
      </c>
      <c r="AA59" s="597"/>
      <c r="AB59" s="597"/>
    </row>
    <row r="60" spans="1:28" x14ac:dyDescent="0.2">
      <c r="A60" s="469" t="str">
        <f>A18</f>
        <v>Excess Renewable Electricity via Heat Pump</v>
      </c>
      <c r="B60" s="471">
        <f>C26</f>
        <v>20.047670103092784</v>
      </c>
      <c r="C60" s="471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69" t="str">
        <f>A28</f>
        <v>Waste Incinteration</v>
      </c>
      <c r="B61" s="470">
        <f>C38</f>
        <v>5.5099699199999996</v>
      </c>
      <c r="C61" s="470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69" t="str">
        <f>A40</f>
        <v>Industrial Excess Heat</v>
      </c>
      <c r="B62" s="470">
        <f>B42</f>
        <v>15.856999999999999</v>
      </c>
      <c r="C62" s="470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2" t="str">
        <f>A45</f>
        <v>Data Centres</v>
      </c>
      <c r="B63" s="473">
        <f>C54</f>
        <v>11.037599999999999</v>
      </c>
      <c r="C63" s="473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2" t="s">
        <v>646</v>
      </c>
    </row>
    <row r="64" spans="1:28" ht="15.75" thickTop="1" x14ac:dyDescent="0.25">
      <c r="A64" s="474" t="s">
        <v>259</v>
      </c>
      <c r="B64" s="475">
        <f>SUM(B59:B63)</f>
        <v>107.57544002309277</v>
      </c>
      <c r="C64" s="475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2022-02-03T13:01:22Z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116660714149475</vt:r8>
  </property>
</Properties>
</file>