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BA8EEA61-FD2E-4857-B23E-F9476E806EB3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boilers'!$A$7:$I$25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6" i="1" l="1"/>
  <c r="H36" i="1"/>
  <c r="G34" i="1"/>
  <c r="G35" i="1"/>
  <c r="H35" i="1"/>
  <c r="H34" i="1"/>
  <c r="H40" i="1"/>
  <c r="F36" i="1"/>
  <c r="F35" i="1"/>
  <c r="B36" i="1"/>
  <c r="B35" i="1"/>
  <c r="A36" i="1"/>
  <c r="A35" i="1"/>
  <c r="A34" i="1"/>
  <c r="F34" i="1"/>
  <c r="H30" i="1" l="1"/>
  <c r="G30" i="1"/>
  <c r="F30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39" i="1"/>
  <c r="H38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59" i="1"/>
  <c r="G10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4" i="1"/>
  <c r="H59" i="1" l="1"/>
  <c r="G59" i="1"/>
  <c r="F8" i="1" l="1"/>
  <c r="G25" i="1" l="1"/>
  <c r="G24" i="1"/>
  <c r="G23" i="1"/>
  <c r="G22" i="1"/>
  <c r="G21" i="1"/>
  <c r="G20" i="1"/>
  <c r="F25" i="1"/>
  <c r="F24" i="1"/>
  <c r="F23" i="1"/>
  <c r="F22" i="1"/>
  <c r="F21" i="1"/>
  <c r="F20" i="1"/>
  <c r="G19" i="1"/>
  <c r="G18" i="1"/>
  <c r="G17" i="1"/>
  <c r="G16" i="1"/>
  <c r="G15" i="1"/>
  <c r="G14" i="1"/>
  <c r="G8" i="1"/>
  <c r="F19" i="1"/>
  <c r="F18" i="1"/>
  <c r="F17" i="1"/>
  <c r="F16" i="1"/>
  <c r="F15" i="1"/>
  <c r="F14" i="1"/>
  <c r="B25" i="1"/>
  <c r="B24" i="1"/>
  <c r="B23" i="1"/>
  <c r="B22" i="1"/>
  <c r="B21" i="1"/>
  <c r="B20" i="1"/>
  <c r="A25" i="1"/>
  <c r="A24" i="1"/>
  <c r="A23" i="1"/>
  <c r="A22" i="1"/>
  <c r="A21" i="1"/>
  <c r="A20" i="1"/>
  <c r="B19" i="1"/>
  <c r="B18" i="1"/>
  <c r="B17" i="1"/>
  <c r="B16" i="1"/>
  <c r="B15" i="1"/>
  <c r="B14" i="1"/>
  <c r="A19" i="1"/>
  <c r="A18" i="1"/>
  <c r="A17" i="1"/>
  <c r="A16" i="1"/>
  <c r="A15" i="1"/>
  <c r="A14" i="1"/>
  <c r="G13" i="1"/>
  <c r="G12" i="1"/>
  <c r="G11" i="1"/>
  <c r="G9" i="1"/>
  <c r="F13" i="1"/>
  <c r="F12" i="1"/>
  <c r="F11" i="1"/>
  <c r="F10" i="1"/>
  <c r="F9" i="1"/>
  <c r="B13" i="1"/>
  <c r="B9" i="1"/>
  <c r="B10" i="1"/>
  <c r="B11" i="1"/>
  <c r="B12" i="1"/>
  <c r="B8" i="1"/>
  <c r="A8" i="1"/>
  <c r="A13" i="1"/>
  <c r="A9" i="1"/>
  <c r="A10" i="1"/>
  <c r="A11" i="1"/>
  <c r="A12" i="1"/>
  <c r="H65" i="1"/>
  <c r="H66" i="1"/>
  <c r="H67" i="1"/>
  <c r="H13" i="1" s="1"/>
  <c r="H68" i="1"/>
  <c r="H12" i="1" s="1"/>
  <c r="H69" i="1"/>
  <c r="H11" i="1" s="1"/>
  <c r="H70" i="1"/>
  <c r="H10" i="1" s="1"/>
  <c r="H71" i="1"/>
  <c r="H9" i="1" s="1"/>
  <c r="H72" i="1"/>
  <c r="H8" i="1" s="1"/>
  <c r="H64" i="1"/>
  <c r="G65" i="1"/>
  <c r="G66" i="1"/>
  <c r="G67" i="1"/>
  <c r="H25" i="1" s="1"/>
  <c r="G68" i="1"/>
  <c r="H24" i="1" s="1"/>
  <c r="G69" i="1"/>
  <c r="H23" i="1" s="1"/>
  <c r="G70" i="1"/>
  <c r="H22" i="1" s="1"/>
  <c r="G71" i="1"/>
  <c r="H21" i="1" s="1"/>
  <c r="G72" i="1"/>
  <c r="H20" i="1" s="1"/>
  <c r="G64" i="1"/>
  <c r="F64" i="1"/>
  <c r="F65" i="1"/>
  <c r="F66" i="1"/>
  <c r="F67" i="1"/>
  <c r="H19" i="1" s="1"/>
  <c r="F68" i="1"/>
  <c r="H18" i="1" s="1"/>
  <c r="F69" i="1"/>
  <c r="H17" i="1" s="1"/>
  <c r="F70" i="1"/>
  <c r="H16" i="1" s="1"/>
  <c r="F71" i="1"/>
  <c r="H15" i="1" s="1"/>
  <c r="F72" i="1"/>
  <c r="H14" i="1" s="1"/>
  <c r="A4" i="1" l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<sst xmlns="http://schemas.openxmlformats.org/spreadsheetml/2006/main" count="234" uniqueCount="136">
  <si>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</si>
  <si>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</si>
  <si>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</si>
  <si>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</si>
  <si>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</si>
  <si>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</si>
  <si>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</si>
  <si>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</si>
  <si>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</si>
  <si>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</si>
  <si>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</si>
  <si>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</si>
  <si>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</si>
  <si>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</si>
  <si>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</si>
  <si>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</si>
  <si>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</si>
  <si>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</si>
  <si>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</si>
  <si>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</si>
  <si>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</si>
  <si>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</si>
  <si>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</si>
  <si>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</si>
  <si>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</si>
  <si>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</si>
  <si>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</si>
  <si>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</si>
  <si>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</si>
  <si>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</si>
  <si>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</si>
  <si>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</si>
  <si>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</si>
  <si>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</si>
  <si>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</si>
  <si>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</si>
  <si>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</si>
  <si>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</si>
  <si>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</si>
  <si>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</si>
  <si>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</si>
  <si>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</si>
  <si>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</si>
  <si>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</si>
  <si>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</si>
  <si>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</si>
  <si>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</si>
  <si>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</si>
  <si>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</si>
  <si>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</si>
  <si>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</si>
  <si>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</si>
  <si>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</si>
  <si>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</si>
  <si>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</si>
  <si>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</si>
  <si>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</si>
  <si>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</si>
  <si>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</si>
  <si>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</si>
  <si>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</si>
  <si>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</si>
  <si>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</si>
  <si>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</si>
  <si>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</si>
  <si>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</si>
  <si>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</si>
  <si>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</si>
  <si>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</si>
  <si>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</si>
  <si>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</si>
  <si>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</si>
  <si>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</si>
  <si>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</si>
  <si>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</si>
  <si>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Attached</t>
  </si>
  <si>
    <t>Detached</t>
  </si>
  <si>
    <t>Apartment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</si>
  <si>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</si>
  <si>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</si>
  <si>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</si>
  <si>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</si>
  <si>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</si>
  <si>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</si>
  <si>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</si>
  <si>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</si>
  <si>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</si>
  <si>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</si>
  <si>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</si>
  <si>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</si>
  <si>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</si>
  <si>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</si>
  <si>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>Sets the maximum share of retrofits per selected years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</si>
  <si>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</si>
  <si>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</si>
  <si>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</si>
  <si>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Max % retrofit by 2070:</t>
  </si>
  <si>
    <t>Max % retrofit by 2030:</t>
  </si>
  <si>
    <t>Max % retrofit by 2018:</t>
  </si>
  <si>
    <t>R-RTFT-Apt_G</t>
  </si>
  <si>
    <t>R-RTFT-Apt_F</t>
  </si>
  <si>
    <t>R-RTFT-Apt_E</t>
  </si>
  <si>
    <t>Final Dwelling Stock Table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</si>
  <si>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</si>
  <si>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</si>
  <si>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</si>
  <si>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</si>
  <si>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</si>
  <si>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</si>
  <si>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</si>
  <si>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</si>
  <si>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</si>
  <si>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 Rating</t>
  </si>
  <si>
    <t>2070 compared to 2018</t>
  </si>
  <si>
    <t>R-RTFT-Apt_D</t>
  </si>
  <si>
    <t>R-RTFT-Apt_C</t>
  </si>
  <si>
    <t>R-RTFT-Apt_B3</t>
  </si>
  <si>
    <t>R-RTFT-Att_G</t>
  </si>
  <si>
    <t>R-RTFT-Att_F</t>
  </si>
  <si>
    <t>R-RTFT-Att_E</t>
  </si>
  <si>
    <t>R-RTFT-Att_D</t>
  </si>
  <si>
    <t>R-RTFT-Att_C</t>
  </si>
  <si>
    <t>R-RTFT-Att_B3</t>
  </si>
  <si>
    <t>R-RTFT-Det_G</t>
  </si>
  <si>
    <t>R-RTFT-Det_F</t>
  </si>
  <si>
    <t>R-RTFT-Det_E</t>
  </si>
  <si>
    <t>R-RTFT-Det_D</t>
  </si>
  <si>
    <t>R-RTFT-Det_C</t>
  </si>
  <si>
    <t>R-RTFT-Det_B3</t>
  </si>
  <si>
    <t>LO</t>
  </si>
  <si>
    <t>Min % retrofit by 2070:</t>
  </si>
  <si>
    <t>Min % retrofit by 2030:</t>
  </si>
  <si>
    <t>Min % retrofit by 2018:</t>
  </si>
  <si>
    <t>R-RTFT-Apt_G,R-RTFT-Apt_F,R-RTFT-Apt_E,R-RTFT-Apt_D,R-RTFT-Apt_C,R-RTFT-Apt_B3</t>
  </si>
  <si>
    <t>R-RTFT-Att_G,R-RTFT-Att_F,R-RTFT-Att_E,R-RTFT-Att_D,R-RTFT-Att_C,R-RTFT-Att_B4</t>
  </si>
  <si>
    <t>R-RTFT-Det_G,R-RTFT-Det_F,R-RTFT-Det_E,R-RTFT-Det_D,R-RTFT-Det_C,R-RTFT-Det_B5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</si>
</sst>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1" fillId="0" borderId="0"/>
    <xf numFmtId="0" fontId="3" fillId="0" borderId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9" fillId="3" borderId="2" xfId="0" applyFont="1" applyFill="1" applyBorder="1"/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/>
    </xf>
    <xf numFmtId="0" fontId="3" fillId="6" borderId="0" xfId="1" applyFont="1" applyFill="1" applyAlignment="1">
      <alignment vertical="center"/>
    </xf>
    <xf numFmtId="0" fontId="3" fillId="7" borderId="0" xfId="1" applyFont="1" applyFill="1" applyAlignment="1">
      <alignment vertical="center"/>
    </xf>
    <xf numFmtId="0" fontId="3" fillId="0" borderId="0" xfId="2"/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3" fillId="8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17" fillId="7" borderId="0" xfId="1" applyFont="1" applyFill="1" applyAlignment="1">
      <alignment vertical="center"/>
    </xf>
    <xf numFmtId="0" fontId="16" fillId="6" borderId="0" xfId="1" applyFont="1" applyFill="1" applyAlignment="1">
      <alignment vertical="center"/>
    </xf>
    <xf numFmtId="164" fontId="16" fillId="6" borderId="0" xfId="1" applyNumberFormat="1" applyFont="1" applyFill="1" applyAlignment="1">
      <alignment horizontal="left" vertical="center"/>
    </xf>
    <xf numFmtId="0" fontId="18" fillId="7" borderId="0" xfId="1" applyFont="1" applyFill="1" applyAlignment="1">
      <alignment vertical="center"/>
    </xf>
    <xf numFmtId="0" fontId="19" fillId="6" borderId="0" xfId="1" applyFont="1" applyFill="1" applyAlignment="1">
      <alignment vertical="center"/>
    </xf>
    <xf numFmtId="0" fontId="13" fillId="6" borderId="0" xfId="3" applyFill="1" applyAlignment="1">
      <alignment vertical="center"/>
    </xf>
    <xf numFmtId="9" fontId="5" fillId="5" borderId="15" xfId="0" applyNumberFormat="1" applyFont="1" applyFill="1" applyBorder="1" applyAlignment="1">
      <alignment horizontal="left" vertical="center"/>
    </xf>
    <xf numFmtId="9" fontId="5" fillId="5" borderId="9" xfId="0" applyNumberFormat="1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1" fontId="9" fillId="10" borderId="18" xfId="0" applyNumberFormat="1" applyFont="1" applyFill="1" applyBorder="1" applyAlignment="1">
      <alignment horizontal="right" vertical="center"/>
    </xf>
    <xf numFmtId="3" fontId="2" fillId="10" borderId="19" xfId="0" applyNumberFormat="1" applyFont="1" applyFill="1" applyBorder="1" applyAlignment="1">
      <alignment vertical="center"/>
    </xf>
    <xf numFmtId="1" fontId="9" fillId="11" borderId="21" xfId="0" quotePrefix="1" applyNumberFormat="1" applyFont="1" applyFill="1" applyBorder="1" applyAlignment="1">
      <alignment horizontal="right" vertical="top"/>
    </xf>
    <xf numFmtId="3" fontId="2" fillId="11" borderId="4" xfId="0" quotePrefix="1" applyNumberFormat="1" applyFont="1" applyFill="1" applyBorder="1" applyAlignment="1">
      <alignment horizontal="right" vertical="top"/>
    </xf>
    <xf numFmtId="1" fontId="9" fillId="10" borderId="21" xfId="0" applyNumberFormat="1" applyFont="1" applyFill="1" applyBorder="1" applyAlignment="1">
      <alignment horizontal="right" vertical="center"/>
    </xf>
    <xf numFmtId="3" fontId="2" fillId="10" borderId="4" xfId="0" applyNumberFormat="1" applyFont="1" applyFill="1" applyBorder="1" applyAlignment="1">
      <alignment vertical="center"/>
    </xf>
    <xf numFmtId="3" fontId="2" fillId="10" borderId="20" xfId="0" applyNumberFormat="1" applyFont="1" applyFill="1" applyBorder="1" applyAlignment="1">
      <alignment vertical="center"/>
    </xf>
    <xf numFmtId="3" fontId="2" fillId="11" borderId="22" xfId="0" quotePrefix="1" applyNumberFormat="1" applyFont="1" applyFill="1" applyBorder="1" applyAlignment="1">
      <alignment horizontal="right" vertical="top"/>
    </xf>
    <xf numFmtId="3" fontId="2" fillId="10" borderId="22" xfId="0" applyNumberFormat="1" applyFont="1" applyFill="1" applyBorder="1" applyAlignment="1">
      <alignment vertical="center"/>
    </xf>
    <xf numFmtId="1" fontId="9" fillId="10" borderId="23" xfId="0" applyNumberFormat="1" applyFont="1" applyFill="1" applyBorder="1" applyAlignment="1">
      <alignment horizontal="right" vertical="center"/>
    </xf>
    <xf numFmtId="3" fontId="2" fillId="10" borderId="24" xfId="0" applyNumberFormat="1" applyFont="1" applyFill="1" applyBorder="1" applyAlignment="1">
      <alignment vertical="center"/>
    </xf>
    <xf numFmtId="3" fontId="2" fillId="10" borderId="25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vertical="center"/>
    </xf>
    <xf numFmtId="0" fontId="9" fillId="9" borderId="26" xfId="0" applyFont="1" applyFill="1" applyBorder="1" applyAlignment="1">
      <alignment vertical="center"/>
    </xf>
    <xf numFmtId="0" fontId="9" fillId="9" borderId="27" xfId="0" applyFont="1" applyFill="1" applyBorder="1" applyAlignment="1">
      <alignment vertical="center"/>
    </xf>
    <xf numFmtId="0" fontId="4" fillId="2" borderId="28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65" fontId="5" fillId="0" borderId="6" xfId="0" applyNumberFormat="1" applyFont="1" applyBorder="1" applyAlignment="1">
      <alignment horizontal="left" vertical="center"/>
    </xf>
    <xf numFmtId="165" fontId="5" fillId="0" borderId="16" xfId="0" applyNumberFormat="1" applyFont="1" applyBorder="1" applyAlignment="1">
      <alignment horizontal="left" vertical="center"/>
    </xf>
    <xf numFmtId="165" fontId="5" fillId="0" borderId="0" xfId="0" applyNumberFormat="1" applyFont="1" applyBorder="1" applyAlignment="1">
      <alignment horizontal="left" vertical="center"/>
    </xf>
    <xf numFmtId="3" fontId="1" fillId="10" borderId="19" xfId="0" applyNumberFormat="1" applyFont="1" applyFill="1" applyBorder="1" applyAlignment="1">
      <alignment vertical="center"/>
    </xf>
    <xf numFmtId="3" fontId="1" fillId="11" borderId="4" xfId="0" quotePrefix="1" applyNumberFormat="1" applyFont="1" applyFill="1" applyBorder="1" applyAlignment="1">
      <alignment horizontal="right" vertical="top"/>
    </xf>
    <xf numFmtId="3" fontId="1" fillId="10" borderId="4" xfId="0" applyNumberFormat="1" applyFont="1" applyFill="1" applyBorder="1" applyAlignment="1">
      <alignment vertical="center"/>
    </xf>
    <xf numFmtId="3" fontId="1" fillId="10" borderId="29" xfId="0" applyNumberFormat="1" applyFont="1" applyFill="1" applyBorder="1" applyAlignment="1">
      <alignment vertical="center"/>
    </xf>
    <xf numFmtId="165" fontId="0" fillId="0" borderId="0" xfId="0" applyNumberFormat="1" applyAlignment="1">
      <alignment horizontal="left"/>
    </xf>
    <xf numFmtId="0" fontId="16" fillId="6" borderId="0" xfId="1" applyFont="1" applyFill="1" applyAlignment="1">
      <alignment vertical="center"/>
    </xf>
    <xf numFmtId="0" fontId="12" fillId="6" borderId="0" xfId="1" applyFont="1" applyFill="1" applyAlignment="1">
      <alignment horizontal="center" vertical="center"/>
    </xf>
    <xf numFmtId="0" fontId="13" fillId="6" borderId="0" xfId="3" applyFill="1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">
    <cellStyle name="Hyperlink 2" xfId="3" xr:uid="{DEE521D3-B0B4-4CE7-8A91-371CE4E0C484}"/>
    <cellStyle name="Normal" xfId="0" builtinId="0"/>
    <cellStyle name="Normal 2" xfId="1" xr:uid="{9A6E7584-26C7-42F9-941A-7C7F3F850534}"/>
    <cellStyle name="Normal 3" xfId="2" xr:uid="{7631B2E1-ECBB-4577-8720-546333DB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1E9-3B76-4730-8127-32A866DD0615}">
  <sheetPr codeName="Sheet3"/>
  <dimension ref="A1:Z99"/>
  <sheetViews>
    <sheetView showGridLines="0" topLeftCell="A12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 x14ac:dyDescent="0.25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25">
      <c r="A16" s="61" t="s">
        <v>78</v>
      </c>
      <c r="B16" s="61"/>
      <c r="C16" s="61"/>
      <c r="D16" s="61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25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25">
      <c r="A19" s="22" t="s">
        <v>79</v>
      </c>
      <c r="B19" s="60" t="s">
        <v>90</v>
      </c>
      <c r="C19" s="60"/>
      <c r="D19" s="60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25">
      <c r="A20" s="22" t="s">
        <v>80</v>
      </c>
      <c r="B20" s="60" t="s">
        <v>91</v>
      </c>
      <c r="C20" s="60"/>
      <c r="D20" s="60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25">
      <c r="A21" s="22" t="s">
        <v>81</v>
      </c>
      <c r="B21" s="25" t="s">
        <v>92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25">
      <c r="A23" s="22" t="s">
        <v>82</v>
      </c>
      <c r="B23" s="60" t="s">
        <v>93</v>
      </c>
      <c r="C23" s="60"/>
      <c r="D23" s="60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25">
      <c r="A24" s="22"/>
      <c r="B24" s="60" t="s">
        <v>94</v>
      </c>
      <c r="C24" s="60"/>
      <c r="D24" s="60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25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25">
      <c r="A26" s="22" t="s">
        <v>83</v>
      </c>
      <c r="B26" s="60" t="s">
        <v>93</v>
      </c>
      <c r="C26" s="60"/>
      <c r="D26" s="6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25">
      <c r="A27" s="22"/>
      <c r="B27" s="60" t="s">
        <v>95</v>
      </c>
      <c r="C27" s="60"/>
      <c r="D27" s="60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25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25">
      <c r="A29" s="22" t="s">
        <v>84</v>
      </c>
      <c r="B29" s="26">
        <v>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25">
      <c r="A30" s="22" t="s">
        <v>85</v>
      </c>
      <c r="B30" s="62" t="s">
        <v>86</v>
      </c>
      <c r="C30" s="60"/>
      <c r="D30" s="60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25">
      <c r="A31" s="22" t="s">
        <v>87</v>
      </c>
      <c r="B31" s="60" t="s">
        <v>88</v>
      </c>
      <c r="C31" s="60"/>
      <c r="D31" s="60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25">
      <c r="A32" s="28"/>
      <c r="B32" s="29" t="s">
        <v>89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11EC5A7-5835-47B0-8EE8-516FC1E35A96}"/>
    <hyperlink ref="B32" r:id="rId2" xr:uid="{AF3A9950-79E4-4508-87EF-0F0F9FA576A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 ht="15" x14ac:dyDescent="0.2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30" x14ac:dyDescent="0.2">
      <c r="A4" s="5">
        <v>1</v>
      </c>
    </row>
    <row r="5" spans="1:30" ht="15" x14ac:dyDescent="0.2">
      <c r="A5" s="5" t="s">
        <v>70</v>
      </c>
      <c r="C5" s="11" t="s">
        <v>69</v>
      </c>
      <c r="D5" s="11" t="s">
        <v>68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5" x14ac:dyDescent="0.2">
      <c r="A6" s="5" t="s">
        <v>67</v>
      </c>
      <c r="C6" s="10" t="str">
        <f>C5</f>
        <v>IE</v>
      </c>
      <c r="D6" s="10" t="str">
        <f t="shared" ref="D6:AD6" si="0">"*"&amp;D5</f>
        <v>*National</v>
      </c>
      <c r="E6" s="10" t="str">
        <f t="shared" si="0"/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5" x14ac:dyDescent="0.2">
      <c r="A7" s="5" t="s">
        <v>66</v>
      </c>
      <c r="C7" s="10" t="str">
        <f>"*"&amp;C5</f>
        <v>*IE</v>
      </c>
      <c r="D7" s="10" t="str">
        <f t="shared" ref="D7:AD7" si="1">D5</f>
        <v>National</v>
      </c>
      <c r="E7" s="10" t="str">
        <f t="shared" si="1"/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30" ht="15.75" thickBot="1" x14ac:dyDescent="0.3">
      <c r="A10" s="9" t="s">
        <v>65</v>
      </c>
      <c r="B10" s="9" t="s">
        <v>64</v>
      </c>
    </row>
    <row r="11" spans="1:30" x14ac:dyDescent="0.2">
      <c r="A11" s="8" t="s">
        <v>63</v>
      </c>
      <c r="B11" s="8" t="s">
        <v>62</v>
      </c>
    </row>
    <row r="12" spans="1:30" x14ac:dyDescent="0.2">
      <c r="A12" s="7" t="s">
        <v>61</v>
      </c>
      <c r="B12" s="7" t="s">
        <v>60</v>
      </c>
    </row>
    <row r="13" spans="1:30" x14ac:dyDescent="0.2">
      <c r="A13" s="7" t="s">
        <v>59</v>
      </c>
      <c r="B13" s="7" t="s">
        <v>58</v>
      </c>
    </row>
    <row r="14" spans="1:30" x14ac:dyDescent="0.2">
      <c r="A14" s="7" t="s">
        <v>57</v>
      </c>
      <c r="B14" s="7" t="s">
        <v>56</v>
      </c>
    </row>
    <row r="15" spans="1:30" x14ac:dyDescent="0.2">
      <c r="A15" s="7" t="s">
        <v>55</v>
      </c>
      <c r="B15" s="7" t="s">
        <v>54</v>
      </c>
    </row>
    <row r="16" spans="1:30" x14ac:dyDescent="0.2">
      <c r="A16" s="7" t="s">
        <v>53</v>
      </c>
      <c r="B16" s="7" t="s">
        <v>52</v>
      </c>
    </row>
    <row r="17" spans="1:2" x14ac:dyDescent="0.2">
      <c r="A17" s="7" t="s">
        <v>51</v>
      </c>
      <c r="B17" s="7" t="s">
        <v>50</v>
      </c>
    </row>
    <row r="18" spans="1:2" x14ac:dyDescent="0.2">
      <c r="A18" s="7" t="s">
        <v>49</v>
      </c>
      <c r="B18" s="7" t="s">
        <v>48</v>
      </c>
    </row>
    <row r="19" spans="1:2" x14ac:dyDescent="0.2">
      <c r="A19" s="7" t="s">
        <v>47</v>
      </c>
      <c r="B19" s="7" t="s">
        <v>46</v>
      </c>
    </row>
    <row r="20" spans="1:2" x14ac:dyDescent="0.2">
      <c r="A20" s="7" t="s">
        <v>45</v>
      </c>
      <c r="B20" s="7" t="s">
        <v>44</v>
      </c>
    </row>
    <row r="21" spans="1:2" x14ac:dyDescent="0.2">
      <c r="A21" s="7" t="s">
        <v>43</v>
      </c>
      <c r="B21" s="7" t="s">
        <v>42</v>
      </c>
    </row>
    <row r="22" spans="1:2" x14ac:dyDescent="0.2">
      <c r="A22" s="7" t="s">
        <v>41</v>
      </c>
      <c r="B22" s="7" t="s">
        <v>40</v>
      </c>
    </row>
    <row r="23" spans="1:2" x14ac:dyDescent="0.2">
      <c r="A23" s="7" t="s">
        <v>39</v>
      </c>
      <c r="B23" s="7" t="s">
        <v>38</v>
      </c>
    </row>
    <row r="24" spans="1:2" x14ac:dyDescent="0.2">
      <c r="A24" s="7" t="s">
        <v>37</v>
      </c>
      <c r="B24" s="7" t="s">
        <v>36</v>
      </c>
    </row>
    <row r="25" spans="1:2" x14ac:dyDescent="0.2">
      <c r="A25" s="7" t="s">
        <v>35</v>
      </c>
      <c r="B25" s="7" t="s">
        <v>34</v>
      </c>
    </row>
    <row r="26" spans="1:2" x14ac:dyDescent="0.2">
      <c r="A26" s="7" t="s">
        <v>33</v>
      </c>
      <c r="B26" s="7" t="s">
        <v>32</v>
      </c>
    </row>
    <row r="27" spans="1:2" x14ac:dyDescent="0.2">
      <c r="A27" s="7" t="s">
        <v>31</v>
      </c>
      <c r="B27" s="7" t="s">
        <v>30</v>
      </c>
    </row>
    <row r="28" spans="1:2" x14ac:dyDescent="0.2">
      <c r="A28" s="7" t="s">
        <v>29</v>
      </c>
      <c r="B28" s="7" t="s">
        <v>28</v>
      </c>
    </row>
    <row r="29" spans="1:2" x14ac:dyDescent="0.2">
      <c r="A29" s="7" t="s">
        <v>27</v>
      </c>
      <c r="B29" s="7" t="s">
        <v>26</v>
      </c>
    </row>
    <row r="30" spans="1:2" x14ac:dyDescent="0.2">
      <c r="A30" s="7" t="s">
        <v>25</v>
      </c>
      <c r="B30" s="7" t="s">
        <v>24</v>
      </c>
    </row>
    <row r="31" spans="1:2" x14ac:dyDescent="0.2">
      <c r="A31" s="7" t="s">
        <v>23</v>
      </c>
      <c r="B31" s="7" t="s">
        <v>22</v>
      </c>
    </row>
    <row r="32" spans="1:2" x14ac:dyDescent="0.2">
      <c r="A32" s="7" t="s">
        <v>21</v>
      </c>
      <c r="B32" s="7" t="s">
        <v>20</v>
      </c>
    </row>
    <row r="33" spans="1:2" x14ac:dyDescent="0.2">
      <c r="A33" s="7" t="s">
        <v>19</v>
      </c>
      <c r="B33" s="7" t="s">
        <v>18</v>
      </c>
    </row>
    <row r="34" spans="1:2" x14ac:dyDescent="0.2">
      <c r="A34" s="7" t="s">
        <v>17</v>
      </c>
      <c r="B34" s="7" t="s">
        <v>16</v>
      </c>
    </row>
    <row r="35" spans="1:2" x14ac:dyDescent="0.2">
      <c r="A35" s="7" t="s">
        <v>15</v>
      </c>
      <c r="B35" s="7" t="s">
        <v>14</v>
      </c>
    </row>
    <row r="36" spans="1:2" x14ac:dyDescent="0.2">
      <c r="A36" s="7" t="s">
        <v>13</v>
      </c>
      <c r="B36" s="7" t="s">
        <v>12</v>
      </c>
    </row>
    <row r="37" spans="1:2" ht="15" x14ac:dyDescent="0.25">
      <c r="A37" s="6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M72"/>
  <sheetViews>
    <sheetView tabSelected="1" topLeftCell="A27" zoomScale="80" zoomScaleNormal="80" workbookViewId="0">
      <selection activeCell="N45" sqref="N45"/>
    </sheetView>
  </sheetViews>
  <sheetFormatPr defaultRowHeight="12.75" x14ac:dyDescent="0.2"/>
  <cols>
    <col min="1" max="1" width="27.5703125" style="2" customWidth="1"/>
    <col min="2" max="2" width="45.28515625" style="2" customWidth="1"/>
    <col min="3" max="6" width="12.7109375" style="2" customWidth="1"/>
    <col min="7" max="7" width="12.7109375" style="12" customWidth="1"/>
    <col min="8" max="8" width="12.7109375" style="2" customWidth="1"/>
    <col min="9" max="9" width="11.85546875" style="2" customWidth="1"/>
    <col min="10" max="10" width="9.140625" style="2"/>
    <col min="11" max="11" width="20.85546875" style="2" customWidth="1"/>
    <col min="12" max="12" width="9.140625" style="2"/>
    <col min="13" max="13" width="12.85546875" style="2" customWidth="1"/>
    <col min="14" max="16384" width="9.140625" style="2"/>
  </cols>
  <sheetData>
    <row r="1" spans="1:11" ht="21" x14ac:dyDescent="0.2">
      <c r="A1" s="4" t="s">
        <v>73</v>
      </c>
    </row>
    <row r="2" spans="1:11" x14ac:dyDescent="0.2">
      <c r="A2" s="2" t="s">
        <v>74</v>
      </c>
    </row>
    <row r="4" spans="1:11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1" ht="15" x14ac:dyDescent="0.2">
      <c r="A5" s="1" t="s">
        <v>0</v>
      </c>
      <c r="G5" s="2"/>
    </row>
    <row r="6" spans="1:11" ht="15" x14ac:dyDescent="0.2">
      <c r="D6" s="1" t="s">
        <v>72</v>
      </c>
      <c r="G6" s="2"/>
    </row>
    <row r="7" spans="1:11" ht="30.75" thickBot="1" x14ac:dyDescent="0.25">
      <c r="A7" s="48" t="s">
        <v>1</v>
      </c>
      <c r="B7" s="48" t="s">
        <v>5</v>
      </c>
      <c r="C7" s="48" t="s">
        <v>9</v>
      </c>
      <c r="D7" s="48" t="s">
        <v>2</v>
      </c>
      <c r="E7" s="48" t="s">
        <v>3</v>
      </c>
      <c r="F7" s="48">
        <v>2018</v>
      </c>
      <c r="G7" s="48">
        <v>2030</v>
      </c>
      <c r="H7" s="48">
        <v>2070</v>
      </c>
      <c r="I7" s="48" t="s">
        <v>4</v>
      </c>
      <c r="K7" s="3" t="s">
        <v>10</v>
      </c>
    </row>
    <row r="8" spans="1:11" x14ac:dyDescent="0.2">
      <c r="A8" s="2" t="str">
        <f>"UC_RSD_RTFT_"&amp;RIGHT(C8,5)</f>
        <v>UC_RSD_RTFT_Apt_G</v>
      </c>
      <c r="B8" s="2" t="str">
        <f>"Maximum number of deep retrofits from Apartment_" &amp;RIGHT(C8,1)</f>
        <v>Maximum number of deep retrofits from Apartment_G</v>
      </c>
      <c r="C8" s="2" t="s">
        <v>99</v>
      </c>
      <c r="D8" s="2" t="s">
        <v>71</v>
      </c>
      <c r="E8" s="2">
        <v>1</v>
      </c>
      <c r="F8" s="51">
        <f>($E$72*F$29)/1000</f>
        <v>3.042234442534121</v>
      </c>
      <c r="G8" s="51">
        <f>(E72*G$28)/1000</f>
        <v>11.408379159502955</v>
      </c>
      <c r="H8" s="51">
        <f>(H72*H$27)/1000</f>
        <v>12.041696314577493</v>
      </c>
      <c r="I8" s="2">
        <v>5</v>
      </c>
      <c r="K8" s="2" t="s">
        <v>7</v>
      </c>
    </row>
    <row r="9" spans="1:11" x14ac:dyDescent="0.2">
      <c r="A9" s="2" t="str">
        <f t="shared" ref="A9:A12" si="0">"UC_RSD_RTFT_"&amp;RIGHT(C9,5)</f>
        <v>UC_RSD_RTFT_Apt_F</v>
      </c>
      <c r="B9" s="2" t="str">
        <f t="shared" ref="B9:B12" si="1">"Maximum number of deep retrofits from Apartment_" &amp;RIGHT(C9,1)</f>
        <v>Maximum number of deep retrofits from Apartment_F</v>
      </c>
      <c r="C9" s="2" t="s">
        <v>100</v>
      </c>
      <c r="D9" s="2" t="s">
        <v>71</v>
      </c>
      <c r="E9" s="2">
        <v>1</v>
      </c>
      <c r="F9" s="51">
        <f>($E$71*F$29)/1000</f>
        <v>2.4662346453768067</v>
      </c>
      <c r="G9" s="51">
        <f>(E71*G$28)/1000</f>
        <v>9.2483799201630248</v>
      </c>
      <c r="H9" s="51">
        <f>(H71*H$27)/1000</f>
        <v>9.7617883174643403</v>
      </c>
      <c r="I9" s="2">
        <v>5</v>
      </c>
      <c r="K9" s="2" t="s">
        <v>7</v>
      </c>
    </row>
    <row r="10" spans="1:11" x14ac:dyDescent="0.2">
      <c r="A10" s="2" t="str">
        <f t="shared" si="0"/>
        <v>UC_RSD_RTFT_Apt_E</v>
      </c>
      <c r="B10" s="2" t="str">
        <f t="shared" si="1"/>
        <v>Maximum number of deep retrofits from Apartment_E</v>
      </c>
      <c r="C10" s="2" t="s">
        <v>101</v>
      </c>
      <c r="D10" s="2" t="s">
        <v>71</v>
      </c>
      <c r="E10" s="2">
        <v>1</v>
      </c>
      <c r="F10" s="51">
        <f>($E$70*F$29)/1000</f>
        <v>5.153575294552267</v>
      </c>
      <c r="G10" s="51">
        <f>(E70*G$28)/1000</f>
        <v>19.325907354571001</v>
      </c>
      <c r="H10" s="51">
        <f>(H70*H$27)/1000</f>
        <v>20.398752891514416</v>
      </c>
      <c r="I10" s="2">
        <v>5</v>
      </c>
      <c r="K10" s="2" t="s">
        <v>7</v>
      </c>
    </row>
    <row r="11" spans="1:11" x14ac:dyDescent="0.2">
      <c r="A11" s="2" t="str">
        <f t="shared" si="0"/>
        <v>UC_RSD_RTFT_Apt_D</v>
      </c>
      <c r="B11" s="2" t="str">
        <f t="shared" si="1"/>
        <v>Maximum number of deep retrofits from Apartment_D</v>
      </c>
      <c r="C11" s="2" t="s">
        <v>114</v>
      </c>
      <c r="D11" s="2" t="s">
        <v>71</v>
      </c>
      <c r="E11" s="2">
        <v>1</v>
      </c>
      <c r="F11" s="51">
        <f>($E$69*F$29)/1000</f>
        <v>8.7478683298212321</v>
      </c>
      <c r="G11" s="51">
        <f>(E69*G$28)/1000</f>
        <v>32.804506236829617</v>
      </c>
      <c r="H11" s="51">
        <f>(H69*H$27)/1000</f>
        <v>34.62559372639015</v>
      </c>
      <c r="I11" s="2">
        <v>5</v>
      </c>
      <c r="K11" s="2" t="s">
        <v>7</v>
      </c>
    </row>
    <row r="12" spans="1:11" x14ac:dyDescent="0.2">
      <c r="A12" s="2" t="str">
        <f t="shared" si="0"/>
        <v>UC_RSD_RTFT_Apt_C</v>
      </c>
      <c r="B12" s="2" t="str">
        <f t="shared" si="1"/>
        <v>Maximum number of deep retrofits from Apartment_C</v>
      </c>
      <c r="C12" s="2" t="s">
        <v>115</v>
      </c>
      <c r="D12" s="2" t="s">
        <v>71</v>
      </c>
      <c r="E12" s="2">
        <v>1</v>
      </c>
      <c r="F12" s="51">
        <f>($E$68*F$29)/1000</f>
        <v>11.78096068728674</v>
      </c>
      <c r="G12" s="51">
        <f>(E68*G$28)/1000</f>
        <v>44.178602577325279</v>
      </c>
      <c r="H12" s="51">
        <f>(H68*H$27)/1000</f>
        <v>46.6311040684012</v>
      </c>
      <c r="I12" s="2">
        <v>5</v>
      </c>
      <c r="K12" s="2" t="s">
        <v>7</v>
      </c>
    </row>
    <row r="13" spans="1:11" ht="13.5" thickBot="1" x14ac:dyDescent="0.25">
      <c r="A13" s="49" t="str">
        <f>"UC_RSD_RTFT_"&amp;RIGHT(C13,6)</f>
        <v>UC_RSD_RTFT_Apt_B3</v>
      </c>
      <c r="B13" s="49" t="str">
        <f>"Maximum number of deep retrofits from Apartment_" &amp;RIGHT(C13,2)</f>
        <v>Maximum number of deep retrofits from Apartment_B3</v>
      </c>
      <c r="C13" s="49" t="s">
        <v>116</v>
      </c>
      <c r="D13" s="49" t="s">
        <v>71</v>
      </c>
      <c r="E13" s="49">
        <v>1</v>
      </c>
      <c r="F13" s="52">
        <f>($E$67*F$29)/1000</f>
        <v>3.9848960750111653</v>
      </c>
      <c r="G13" s="52">
        <f>(E67*G$28)/1000</f>
        <v>14.943360281291868</v>
      </c>
      <c r="H13" s="52">
        <f>(H67*H$27)/1000</f>
        <v>15.772916021707317</v>
      </c>
      <c r="I13" s="49">
        <v>5</v>
      </c>
      <c r="K13" s="2" t="s">
        <v>7</v>
      </c>
    </row>
    <row r="14" spans="1:11" x14ac:dyDescent="0.2">
      <c r="A14" s="50" t="str">
        <f>"UC_RSD_RTFT_"&amp;RIGHT(C14,5)</f>
        <v>UC_RSD_RTFT_Att_G</v>
      </c>
      <c r="B14" s="50" t="str">
        <f>"Maximum number of deep retrofits from Attached_" &amp;RIGHT(C14,1)</f>
        <v>Maximum number of deep retrofits from Attached_G</v>
      </c>
      <c r="C14" s="50" t="s">
        <v>117</v>
      </c>
      <c r="D14" s="50" t="s">
        <v>71</v>
      </c>
      <c r="E14" s="50">
        <v>1</v>
      </c>
      <c r="F14" s="53">
        <f>($C$72*F$29)/1000</f>
        <v>10.541334878817622</v>
      </c>
      <c r="G14" s="53">
        <f>(C72*G$28)/1000</f>
        <v>39.530005795566083</v>
      </c>
      <c r="H14" s="53">
        <f>(F72*H$27)/1000</f>
        <v>41.724448183963943</v>
      </c>
      <c r="I14" s="50">
        <v>5</v>
      </c>
      <c r="K14" s="2" t="s">
        <v>6</v>
      </c>
    </row>
    <row r="15" spans="1:11" x14ac:dyDescent="0.2">
      <c r="A15" s="13" t="str">
        <f t="shared" ref="A15:A18" si="2">"UC_RSD_RTFT_"&amp;RIGHT(C15,5)</f>
        <v>UC_RSD_RTFT_Att_F</v>
      </c>
      <c r="B15" s="13" t="str">
        <f>"Maximum number of deep retrofits from Attached_" &amp;RIGHT(C15,1)</f>
        <v>Maximum number of deep retrofits from Attached_F</v>
      </c>
      <c r="C15" s="13" t="s">
        <v>118</v>
      </c>
      <c r="D15" s="13" t="s">
        <v>71</v>
      </c>
      <c r="E15" s="13">
        <v>1</v>
      </c>
      <c r="F15" s="54">
        <f>($C$71*F$29)/1000</f>
        <v>10.024761205464234</v>
      </c>
      <c r="G15" s="54">
        <f>(C71*G$28)/1000</f>
        <v>37.592854520490874</v>
      </c>
      <c r="H15" s="54">
        <f>(F71*H$27)/1000</f>
        <v>39.679759184438389</v>
      </c>
      <c r="I15" s="13">
        <v>5</v>
      </c>
      <c r="K15" s="2" t="s">
        <v>6</v>
      </c>
    </row>
    <row r="16" spans="1:11" x14ac:dyDescent="0.2">
      <c r="A16" s="13" t="str">
        <f t="shared" si="2"/>
        <v>UC_RSD_RTFT_Att_E</v>
      </c>
      <c r="B16" s="13" t="str">
        <f>"Maximum number of deep retrofits from Attached_" &amp;RIGHT(C16,1)</f>
        <v>Maximum number of deep retrofits from Attached_E</v>
      </c>
      <c r="C16" s="13" t="s">
        <v>119</v>
      </c>
      <c r="D16" s="13" t="s">
        <v>71</v>
      </c>
      <c r="E16" s="13">
        <v>1</v>
      </c>
      <c r="F16" s="54">
        <f>($C$70*F$29)/1000</f>
        <v>20.283779192369344</v>
      </c>
      <c r="G16" s="54">
        <f>(C70*G$28)/1000</f>
        <v>76.064171971385051</v>
      </c>
      <c r="H16" s="54">
        <f>(F70*H$27)/1000</f>
        <v>80.286747704756522</v>
      </c>
      <c r="I16" s="13">
        <v>5</v>
      </c>
      <c r="K16" s="2" t="s">
        <v>6</v>
      </c>
    </row>
    <row r="17" spans="1:11" x14ac:dyDescent="0.2">
      <c r="A17" s="13" t="str">
        <f t="shared" si="2"/>
        <v>UC_RSD_RTFT_Att_D</v>
      </c>
      <c r="B17" s="13" t="str">
        <f>"Maximum number of deep retrofits from Attached_" &amp;RIGHT(C17,1)</f>
        <v>Maximum number of deep retrofits from Attached_D</v>
      </c>
      <c r="C17" s="13" t="s">
        <v>120</v>
      </c>
      <c r="D17" s="13" t="s">
        <v>71</v>
      </c>
      <c r="E17" s="13">
        <v>1</v>
      </c>
      <c r="F17" s="54">
        <f>($C$69*F$29)/1000</f>
        <v>37.525404475322098</v>
      </c>
      <c r="G17" s="54">
        <f>(C69*G$28)/1000</f>
        <v>140.72026678245786</v>
      </c>
      <c r="H17" s="54">
        <f>(F69*H$27)/1000</f>
        <v>148.53211785910801</v>
      </c>
      <c r="I17" s="13">
        <v>5</v>
      </c>
      <c r="K17" s="2" t="s">
        <v>6</v>
      </c>
    </row>
    <row r="18" spans="1:11" x14ac:dyDescent="0.2">
      <c r="A18" s="13" t="str">
        <f t="shared" si="2"/>
        <v>UC_RSD_RTFT_Att_C</v>
      </c>
      <c r="B18" s="13" t="str">
        <f>"Maximum number of deep retrofits from Attached_" &amp;RIGHT(C18,1)</f>
        <v>Maximum number of deep retrofits from Attached_C</v>
      </c>
      <c r="C18" s="13" t="s">
        <v>121</v>
      </c>
      <c r="D18" s="13" t="s">
        <v>71</v>
      </c>
      <c r="E18" s="13">
        <v>1</v>
      </c>
      <c r="F18" s="54">
        <f>($C$68*F$29)/1000</f>
        <v>56.430305495129602</v>
      </c>
      <c r="G18" s="54">
        <f>(C68*G$28)/1000</f>
        <v>211.61364560673599</v>
      </c>
      <c r="H18" s="54">
        <f>(F68*H$27)/1000</f>
        <v>223.3610244531846</v>
      </c>
      <c r="I18" s="13">
        <v>5</v>
      </c>
      <c r="K18" s="2" t="s">
        <v>6</v>
      </c>
    </row>
    <row r="19" spans="1:11" ht="13.5" thickBot="1" x14ac:dyDescent="0.25">
      <c r="A19" s="49" t="str">
        <f>"UC_RSD_RTFT_"&amp;RIGHT(C19,6)</f>
        <v>UC_RSD_RTFT_Att_B3</v>
      </c>
      <c r="B19" s="49" t="str">
        <f>"Maximum number of deep retrofits from Attached_" &amp;RIGHT(C19,2)</f>
        <v>Maximum number of deep retrofits from Attached_B3</v>
      </c>
      <c r="C19" s="49" t="s">
        <v>122</v>
      </c>
      <c r="D19" s="49" t="s">
        <v>71</v>
      </c>
      <c r="E19" s="49">
        <v>1</v>
      </c>
      <c r="F19" s="52">
        <f>($C$67*F$29)/1000</f>
        <v>9.9537699371858963</v>
      </c>
      <c r="G19" s="52">
        <f>(C67*G$28)/1000</f>
        <v>37.326637264447108</v>
      </c>
      <c r="H19" s="52">
        <f>(F67*H$27)/1000</f>
        <v>39.398763321120782</v>
      </c>
      <c r="I19" s="49">
        <v>5</v>
      </c>
      <c r="K19" s="2" t="s">
        <v>6</v>
      </c>
    </row>
    <row r="20" spans="1:11" x14ac:dyDescent="0.2">
      <c r="A20" s="50" t="str">
        <f>"UC_RSD_RTFT_"&amp;RIGHT(C20,5)</f>
        <v>UC_RSD_RTFT_Det_G</v>
      </c>
      <c r="B20" s="50" t="str">
        <f>"Maximum number of deep retrofits from Detached_" &amp;RIGHT(C20,1)</f>
        <v>Maximum number of deep retrofits from Detached_G</v>
      </c>
      <c r="C20" s="50" t="s">
        <v>123</v>
      </c>
      <c r="D20" s="50" t="s">
        <v>71</v>
      </c>
      <c r="E20" s="50">
        <v>1</v>
      </c>
      <c r="F20" s="53">
        <f>($D$72*F$29)/1000</f>
        <v>15.687106688620966</v>
      </c>
      <c r="G20" s="53">
        <f>(D72*G$28)/1000</f>
        <v>58.826650082328619</v>
      </c>
      <c r="H20" s="53">
        <f>(G72*H$27)/1000</f>
        <v>62.092313517232284</v>
      </c>
      <c r="I20" s="50">
        <v>5</v>
      </c>
      <c r="K20" s="13" t="s">
        <v>8</v>
      </c>
    </row>
    <row r="21" spans="1:11" x14ac:dyDescent="0.2">
      <c r="A21" s="13" t="str">
        <f t="shared" ref="A21:A24" si="3">"UC_RSD_RTFT_"&amp;RIGHT(C21,5)</f>
        <v>UC_RSD_RTFT_Det_F</v>
      </c>
      <c r="B21" s="13" t="str">
        <f>"Maximum number of deep retrofits from Detached_" &amp;RIGHT(C21,1)</f>
        <v>Maximum number of deep retrofits from Detached_F</v>
      </c>
      <c r="C21" s="13" t="s">
        <v>124</v>
      </c>
      <c r="D21" s="13" t="s">
        <v>71</v>
      </c>
      <c r="E21" s="13">
        <v>1</v>
      </c>
      <c r="F21" s="54">
        <f>($D$71*F$29)/1000</f>
        <v>8.6482011525934226</v>
      </c>
      <c r="G21" s="54">
        <f>(D71*G$28)/1000</f>
        <v>32.43075432222534</v>
      </c>
      <c r="H21" s="54">
        <f>(G71*H$27)/1000</f>
        <v>34.23109359716647</v>
      </c>
      <c r="I21" s="13">
        <v>5</v>
      </c>
      <c r="K21" s="13" t="s">
        <v>8</v>
      </c>
    </row>
    <row r="22" spans="1:11" x14ac:dyDescent="0.2">
      <c r="A22" s="13" t="str">
        <f t="shared" si="3"/>
        <v>UC_RSD_RTFT_Det_E</v>
      </c>
      <c r="B22" s="13" t="str">
        <f>"Maximum number of deep retrofits from Detached_" &amp;RIGHT(C22,1)</f>
        <v>Maximum number of deep retrofits from Detached_E</v>
      </c>
      <c r="C22" s="13" t="s">
        <v>125</v>
      </c>
      <c r="D22" s="13" t="s">
        <v>71</v>
      </c>
      <c r="E22" s="13">
        <v>1</v>
      </c>
      <c r="F22" s="54">
        <f>($D$70*F$29)/1000</f>
        <v>16.279339597911104</v>
      </c>
      <c r="G22" s="54">
        <f>(D70*G$28)/1000</f>
        <v>61.047523492166633</v>
      </c>
      <c r="H22" s="54">
        <f>(G70*H$27)/1000</f>
        <v>64.436475012961779</v>
      </c>
      <c r="I22" s="13">
        <v>5</v>
      </c>
      <c r="K22" s="13" t="s">
        <v>8</v>
      </c>
    </row>
    <row r="23" spans="1:11" x14ac:dyDescent="0.2">
      <c r="A23" s="13" t="str">
        <f t="shared" si="3"/>
        <v>UC_RSD_RTFT_Det_D</v>
      </c>
      <c r="B23" s="13" t="str">
        <f>"Maximum number of deep retrofits from Detached_" &amp;RIGHT(C23,1)</f>
        <v>Maximum number of deep retrofits from Detached_D</v>
      </c>
      <c r="C23" s="13" t="s">
        <v>126</v>
      </c>
      <c r="D23" s="13" t="s">
        <v>71</v>
      </c>
      <c r="E23" s="13">
        <v>1</v>
      </c>
      <c r="F23" s="54">
        <f>($D$69*F$29)/1000</f>
        <v>33.333558282558243</v>
      </c>
      <c r="G23" s="54">
        <f>(D69*G$28)/1000</f>
        <v>125.00084355959343</v>
      </c>
      <c r="H23" s="54">
        <f>(G69*H$27)/1000</f>
        <v>131.94005705506501</v>
      </c>
      <c r="I23" s="13">
        <v>5</v>
      </c>
      <c r="K23" s="13" t="s">
        <v>8</v>
      </c>
    </row>
    <row r="24" spans="1:11" x14ac:dyDescent="0.2">
      <c r="A24" s="13" t="str">
        <f t="shared" si="3"/>
        <v>UC_RSD_RTFT_Det_C</v>
      </c>
      <c r="B24" s="13" t="str">
        <f>"Maximum number of deep retrofits from Detached_" &amp;RIGHT(C24,1)</f>
        <v>Maximum number of deep retrofits from Detached_C</v>
      </c>
      <c r="C24" s="13" t="s">
        <v>127</v>
      </c>
      <c r="D24" s="13" t="s">
        <v>71</v>
      </c>
      <c r="E24" s="13">
        <v>1</v>
      </c>
      <c r="F24" s="54">
        <f>($D$68*F$29)/1000</f>
        <v>50.263786722748698</v>
      </c>
      <c r="G24" s="54">
        <f>(D68*G$28)/1000</f>
        <v>188.48920021030762</v>
      </c>
      <c r="H24" s="54">
        <f>(G68*H$27)/1000</f>
        <v>198.9528640113158</v>
      </c>
      <c r="I24" s="13">
        <v>5</v>
      </c>
      <c r="K24" s="13" t="s">
        <v>8</v>
      </c>
    </row>
    <row r="25" spans="1:11" ht="13.5" thickBot="1" x14ac:dyDescent="0.25">
      <c r="A25" s="49" t="str">
        <f>"UC_RSD_RTFT_"&amp;RIGHT(C25,6)</f>
        <v>UC_RSD_RTFT_Det_B3</v>
      </c>
      <c r="B25" s="49" t="str">
        <f>"Maximum number of deep retrofits from Detached_" &amp;RIGHT(C25,2)</f>
        <v>Maximum number of deep retrofits from Detached_B3</v>
      </c>
      <c r="C25" s="49" t="s">
        <v>128</v>
      </c>
      <c r="D25" s="49" t="s">
        <v>71</v>
      </c>
      <c r="E25" s="49">
        <v>1</v>
      </c>
      <c r="F25" s="52">
        <f>($D$67*F$29)/1000</f>
        <v>10.693242008796334</v>
      </c>
      <c r="G25" s="52">
        <f>(D67*G$28)/1000</f>
        <v>40.099657532986257</v>
      </c>
      <c r="H25" s="52">
        <f>(G67*H$27)/1000</f>
        <v>42.32572318816743</v>
      </c>
      <c r="I25" s="49">
        <v>5</v>
      </c>
      <c r="J25" s="13"/>
      <c r="K25" s="13" t="s">
        <v>8</v>
      </c>
    </row>
    <row r="26" spans="1:11" ht="13.5" thickBot="1" x14ac:dyDescent="0.25"/>
    <row r="27" spans="1:11" ht="20.100000000000001" customHeight="1" thickBot="1" x14ac:dyDescent="0.25">
      <c r="C27" s="63" t="s">
        <v>96</v>
      </c>
      <c r="D27" s="64"/>
      <c r="E27" s="65"/>
      <c r="G27" s="2"/>
      <c r="H27" s="30">
        <v>0.95</v>
      </c>
    </row>
    <row r="28" spans="1:11" ht="20.100000000000001" customHeight="1" thickBot="1" x14ac:dyDescent="0.25">
      <c r="C28" s="66" t="s">
        <v>97</v>
      </c>
      <c r="D28" s="67"/>
      <c r="E28" s="68"/>
      <c r="G28" s="30">
        <v>0.75</v>
      </c>
    </row>
    <row r="29" spans="1:11" ht="20.100000000000001" customHeight="1" thickBot="1" x14ac:dyDescent="0.25">
      <c r="C29" s="69" t="s">
        <v>98</v>
      </c>
      <c r="D29" s="70"/>
      <c r="E29" s="71"/>
      <c r="F29" s="31">
        <v>0.2</v>
      </c>
      <c r="G29" s="2"/>
    </row>
    <row r="30" spans="1:11" x14ac:dyDescent="0.2">
      <c r="F30" s="59">
        <f>SUM(F8:F25)</f>
        <v>314.84035911209992</v>
      </c>
      <c r="G30" s="59">
        <f>SUM(G8:G25)</f>
        <v>1180.6513466703743</v>
      </c>
      <c r="H30" s="59">
        <f>SUM(H8:H25)</f>
        <v>1246.1932384285358</v>
      </c>
    </row>
    <row r="32" spans="1:11" ht="15" x14ac:dyDescent="0.2">
      <c r="D32" s="1" t="s">
        <v>72</v>
      </c>
      <c r="G32" s="2"/>
    </row>
    <row r="33" spans="1:11" ht="30.75" thickBot="1" x14ac:dyDescent="0.25">
      <c r="A33" s="48" t="s">
        <v>1</v>
      </c>
      <c r="B33" s="48" t="s">
        <v>5</v>
      </c>
      <c r="C33" s="48" t="s">
        <v>9</v>
      </c>
      <c r="D33" s="48" t="s">
        <v>2</v>
      </c>
      <c r="E33" s="48" t="s">
        <v>3</v>
      </c>
      <c r="F33" s="48">
        <v>2018</v>
      </c>
      <c r="G33" s="48">
        <v>2030</v>
      </c>
      <c r="H33" s="48">
        <v>2070</v>
      </c>
      <c r="I33" s="48" t="s">
        <v>4</v>
      </c>
      <c r="K33" s="3" t="s">
        <v>10</v>
      </c>
    </row>
    <row r="34" spans="1:11" x14ac:dyDescent="0.2">
      <c r="A34" s="2" t="str">
        <f>"UC_RSD_RTFT_Apt"</f>
        <v>UC_RSD_RTFT_Apt</v>
      </c>
      <c r="B34" s="2" t="str">
        <f>"Maximum number of deep retrofits from Apartment_" &amp;RIGHT(C34,1)</f>
        <v>Maximum number of deep retrofits from Apartment_3</v>
      </c>
      <c r="C34" s="2" t="s">
        <v>133</v>
      </c>
      <c r="D34" s="2" t="s">
        <v>129</v>
      </c>
      <c r="E34" s="2">
        <v>1</v>
      </c>
      <c r="F34" s="51">
        <f>(SUM($E$67:$E$72)*F$58)/1000</f>
        <v>0</v>
      </c>
      <c r="G34" s="51">
        <f>(SUM($E$67:$E$72)*G$57)/1000</f>
        <v>17.587884737291166</v>
      </c>
      <c r="H34" s="51">
        <f>(SUM($H$67:$H$72)*H$56)/1000</f>
        <v>36.639960878961823</v>
      </c>
      <c r="I34" s="2">
        <v>5</v>
      </c>
      <c r="K34" s="2" t="s">
        <v>7</v>
      </c>
    </row>
    <row r="35" spans="1:11" x14ac:dyDescent="0.2">
      <c r="A35" s="2" t="str">
        <f>"UC_RSD_RTFT_Att"</f>
        <v>UC_RSD_RTFT_Att</v>
      </c>
      <c r="B35" s="2" t="str">
        <f>"Maximum number of deep retrofits from Attached_" &amp;RIGHT(C35,1)</f>
        <v>Maximum number of deep retrofits from Attached_4</v>
      </c>
      <c r="C35" s="2" t="s">
        <v>134</v>
      </c>
      <c r="D35" s="2" t="s">
        <v>129</v>
      </c>
      <c r="E35" s="2">
        <v>1</v>
      </c>
      <c r="F35" s="51">
        <f>(SUM($C$67:$C$72)*F$58)/1000</f>
        <v>0</v>
      </c>
      <c r="G35" s="51">
        <f>(SUM($C$67:$C$72)*G$57)/1000</f>
        <v>72.37967759214439</v>
      </c>
      <c r="H35" s="51">
        <f>(SUM($F$67:$F$72)*H$56)/1000</f>
        <v>150.78496334383479</v>
      </c>
      <c r="I35" s="2">
        <v>6</v>
      </c>
    </row>
    <row r="36" spans="1:11" x14ac:dyDescent="0.2">
      <c r="A36" s="2" t="str">
        <f>"UC_RSD_RTFT_Det"</f>
        <v>UC_RSD_RTFT_Det</v>
      </c>
      <c r="B36" s="2" t="str">
        <f>"Maximum number of deep retrofits from Detached_" &amp;RIGHT(C36,1)</f>
        <v>Maximum number of deep retrofits from Detached_5</v>
      </c>
      <c r="C36" s="2" t="s">
        <v>135</v>
      </c>
      <c r="D36" s="2" t="s">
        <v>129</v>
      </c>
      <c r="E36" s="2">
        <v>1</v>
      </c>
      <c r="F36" s="51">
        <f>(SUM($D$67:$D$72)*F$58)/1000</f>
        <v>0</v>
      </c>
      <c r="G36" s="51">
        <f>(SUM($D$67:$D$72)*G$57)/1000</f>
        <v>67.452617226614393</v>
      </c>
      <c r="H36" s="51">
        <f>(SUM($G$67:$G$72)*H$56)/1000</f>
        <v>140.52066483734444</v>
      </c>
      <c r="I36" s="2">
        <v>7</v>
      </c>
    </row>
    <row r="37" spans="1:11" x14ac:dyDescent="0.2">
      <c r="F37" s="51"/>
      <c r="G37" s="51"/>
      <c r="H37" s="51"/>
    </row>
    <row r="38" spans="1:11" x14ac:dyDescent="0.2">
      <c r="A38" s="2" t="str">
        <f t="shared" ref="A38:A41" si="4">"UC_RSD_RTFT_"&amp;RIGHT(C38,5)</f>
        <v>UC_RSD_RTFT_Apt_F</v>
      </c>
      <c r="B38" s="2" t="str">
        <f t="shared" ref="B38:B41" si="5">"Maximum number of deep retrofits from Apartment_" &amp;RIGHT(C38,1)</f>
        <v>Maximum number of deep retrofits from Apartment_F</v>
      </c>
      <c r="C38" s="2" t="s">
        <v>100</v>
      </c>
      <c r="D38" s="2" t="s">
        <v>129</v>
      </c>
      <c r="E38" s="2">
        <v>1</v>
      </c>
      <c r="F38" s="51">
        <f>($E$71*F$58)/1000</f>
        <v>0</v>
      </c>
      <c r="G38" s="51">
        <f>(E71*G$57)/1000</f>
        <v>1.2331173226884034</v>
      </c>
      <c r="H38" s="51">
        <f>(H71*H$56)/1000</f>
        <v>2.5688916624906164</v>
      </c>
      <c r="I38" s="2">
        <v>5</v>
      </c>
      <c r="K38" s="2" t="s">
        <v>7</v>
      </c>
    </row>
    <row r="39" spans="1:11" x14ac:dyDescent="0.2">
      <c r="A39" s="2" t="str">
        <f t="shared" si="4"/>
        <v>UC_RSD_RTFT_Apt_E</v>
      </c>
      <c r="B39" s="2" t="str">
        <f t="shared" si="5"/>
        <v>Maximum number of deep retrofits from Apartment_E</v>
      </c>
      <c r="C39" s="2" t="s">
        <v>101</v>
      </c>
      <c r="D39" s="2" t="s">
        <v>129</v>
      </c>
      <c r="E39" s="2">
        <v>1</v>
      </c>
      <c r="F39" s="51">
        <f>($E$70*F$58)/1000</f>
        <v>0</v>
      </c>
      <c r="G39" s="51">
        <f>(E70*G$57)/1000</f>
        <v>2.5767876472761335</v>
      </c>
      <c r="H39" s="51">
        <f>(H70*H$56)/1000</f>
        <v>5.3680928661880056</v>
      </c>
      <c r="I39" s="2">
        <v>5</v>
      </c>
      <c r="K39" s="2" t="s">
        <v>7</v>
      </c>
    </row>
    <row r="40" spans="1:11" x14ac:dyDescent="0.2">
      <c r="A40" s="2" t="str">
        <f t="shared" si="4"/>
        <v>UC_RSD_RTFT_Apt_D</v>
      </c>
      <c r="B40" s="2" t="str">
        <f t="shared" si="5"/>
        <v>Maximum number of deep retrofits from Apartment_D</v>
      </c>
      <c r="C40" s="2" t="s">
        <v>114</v>
      </c>
      <c r="D40" s="2" t="s">
        <v>129</v>
      </c>
      <c r="E40" s="2">
        <v>1</v>
      </c>
      <c r="F40" s="51">
        <f>($E$69*F$58)/1000</f>
        <v>0</v>
      </c>
      <c r="G40" s="51">
        <f>(E69*G$57)/1000</f>
        <v>4.373934164910616</v>
      </c>
      <c r="H40" s="51">
        <f>(H69*H$56)/1000</f>
        <v>9.1119983490500402</v>
      </c>
      <c r="I40" s="2">
        <v>5</v>
      </c>
      <c r="K40" s="2" t="s">
        <v>7</v>
      </c>
    </row>
    <row r="41" spans="1:11" x14ac:dyDescent="0.2">
      <c r="A41" s="2" t="str">
        <f t="shared" si="4"/>
        <v>UC_RSD_RTFT_Apt_C</v>
      </c>
      <c r="B41" s="2" t="str">
        <f t="shared" si="5"/>
        <v>Maximum number of deep retrofits from Apartment_C</v>
      </c>
      <c r="C41" s="2" t="s">
        <v>115</v>
      </c>
      <c r="D41" s="2" t="s">
        <v>129</v>
      </c>
      <c r="E41" s="2">
        <v>1</v>
      </c>
      <c r="F41" s="51">
        <f>($E$68*F$58)/1000</f>
        <v>0</v>
      </c>
      <c r="G41" s="51">
        <f>(E68*G$57)/1000</f>
        <v>5.8904803436433699</v>
      </c>
      <c r="H41" s="51">
        <f>(H68*H$56)/1000</f>
        <v>12.271343175895051</v>
      </c>
      <c r="I41" s="2">
        <v>5</v>
      </c>
      <c r="K41" s="2" t="s">
        <v>7</v>
      </c>
    </row>
    <row r="42" spans="1:11" ht="13.5" thickBot="1" x14ac:dyDescent="0.25">
      <c r="A42" s="49" t="str">
        <f>"UC_RSD_RTFT_"&amp;RIGHT(C42,6)</f>
        <v>UC_RSD_RTFT_Apt_B3</v>
      </c>
      <c r="B42" s="49" t="str">
        <f>"Maximum number of deep retrofits from Apartment_" &amp;RIGHT(C42,2)</f>
        <v>Maximum number of deep retrofits from Apartment_B3</v>
      </c>
      <c r="C42" s="49" t="s">
        <v>116</v>
      </c>
      <c r="D42" s="49" t="s">
        <v>129</v>
      </c>
      <c r="E42" s="49">
        <v>1</v>
      </c>
      <c r="F42" s="52">
        <f>($E$67*F$58)/1000</f>
        <v>0</v>
      </c>
      <c r="G42" s="52">
        <f>(E67*G$57)/1000</f>
        <v>1.9924480375055826</v>
      </c>
      <c r="H42" s="52">
        <f>(H67*H$56)/1000</f>
        <v>4.1507673741335047</v>
      </c>
      <c r="I42" s="49">
        <v>5</v>
      </c>
      <c r="K42" s="2" t="s">
        <v>7</v>
      </c>
    </row>
    <row r="43" spans="1:11" x14ac:dyDescent="0.2">
      <c r="A43" s="50" t="str">
        <f>"UC_RSD_RTFT_"&amp;RIGHT(C43,5)</f>
        <v>UC_RSD_RTFT_Att_G</v>
      </c>
      <c r="B43" s="50" t="str">
        <f>"Maximum number of deep retrofits from Attached_" &amp;RIGHT(C43,1)</f>
        <v>Maximum number of deep retrofits from Attached_G</v>
      </c>
      <c r="C43" s="50" t="s">
        <v>117</v>
      </c>
      <c r="D43" s="2" t="s">
        <v>129</v>
      </c>
      <c r="E43" s="50">
        <v>1</v>
      </c>
      <c r="F43" s="53">
        <f>($C$72*F$58)/1000</f>
        <v>0</v>
      </c>
      <c r="G43" s="53">
        <f>(C72*G$57)/1000</f>
        <v>5.2706674394088111</v>
      </c>
      <c r="H43" s="53">
        <f>(F72*H$56)/1000</f>
        <v>10.980117943148406</v>
      </c>
      <c r="I43" s="50">
        <v>5</v>
      </c>
      <c r="K43" s="2" t="s">
        <v>6</v>
      </c>
    </row>
    <row r="44" spans="1:11" x14ac:dyDescent="0.2">
      <c r="A44" s="13" t="str">
        <f t="shared" ref="A44:A47" si="6">"UC_RSD_RTFT_"&amp;RIGHT(C44,5)</f>
        <v>UC_RSD_RTFT_Att_F</v>
      </c>
      <c r="B44" s="13" t="str">
        <f>"Maximum number of deep retrofits from Attached_" &amp;RIGHT(C44,1)</f>
        <v>Maximum number of deep retrofits from Attached_F</v>
      </c>
      <c r="C44" s="13" t="s">
        <v>118</v>
      </c>
      <c r="D44" s="2" t="s">
        <v>129</v>
      </c>
      <c r="E44" s="13">
        <v>1</v>
      </c>
      <c r="F44" s="54">
        <f>($C$71*F$58)/1000</f>
        <v>0</v>
      </c>
      <c r="G44" s="54">
        <f>(C71*G$57)/1000</f>
        <v>5.0123806027321169</v>
      </c>
      <c r="H44" s="54">
        <f>(F71*H$56)/1000</f>
        <v>10.442041890641681</v>
      </c>
      <c r="I44" s="13">
        <v>5</v>
      </c>
      <c r="K44" s="2" t="s">
        <v>6</v>
      </c>
    </row>
    <row r="45" spans="1:11" x14ac:dyDescent="0.2">
      <c r="A45" s="13" t="str">
        <f t="shared" si="6"/>
        <v>UC_RSD_RTFT_Att_E</v>
      </c>
      <c r="B45" s="13" t="str">
        <f>"Maximum number of deep retrofits from Attached_" &amp;RIGHT(C45,1)</f>
        <v>Maximum number of deep retrofits from Attached_E</v>
      </c>
      <c r="C45" s="13" t="s">
        <v>119</v>
      </c>
      <c r="D45" s="2" t="s">
        <v>129</v>
      </c>
      <c r="E45" s="13">
        <v>1</v>
      </c>
      <c r="F45" s="54">
        <f>($C$70*F$58)/1000</f>
        <v>0</v>
      </c>
      <c r="G45" s="54">
        <f>(C70*G$57)/1000</f>
        <v>10.141889596184672</v>
      </c>
      <c r="H45" s="54">
        <f>(F70*H$56)/1000</f>
        <v>21.128091501251717</v>
      </c>
      <c r="I45" s="13">
        <v>5</v>
      </c>
      <c r="K45" s="2" t="s">
        <v>6</v>
      </c>
    </row>
    <row r="46" spans="1:11" x14ac:dyDescent="0.2">
      <c r="A46" s="13" t="str">
        <f t="shared" si="6"/>
        <v>UC_RSD_RTFT_Att_D</v>
      </c>
      <c r="B46" s="13" t="str">
        <f>"Maximum number of deep retrofits from Attached_" &amp;RIGHT(C46,1)</f>
        <v>Maximum number of deep retrofits from Attached_D</v>
      </c>
      <c r="C46" s="13" t="s">
        <v>120</v>
      </c>
      <c r="D46" s="2" t="s">
        <v>129</v>
      </c>
      <c r="E46" s="13">
        <v>1</v>
      </c>
      <c r="F46" s="54">
        <f>($C$69*F$58)/1000</f>
        <v>0</v>
      </c>
      <c r="G46" s="54">
        <f>(C69*G$57)/1000</f>
        <v>18.762702237661049</v>
      </c>
      <c r="H46" s="54">
        <f>(F69*H$56)/1000</f>
        <v>39.087399436607377</v>
      </c>
      <c r="I46" s="13">
        <v>5</v>
      </c>
      <c r="K46" s="2" t="s">
        <v>6</v>
      </c>
    </row>
    <row r="47" spans="1:11" x14ac:dyDescent="0.2">
      <c r="A47" s="13" t="str">
        <f t="shared" si="6"/>
        <v>UC_RSD_RTFT_Att_C</v>
      </c>
      <c r="B47" s="13" t="str">
        <f>"Maximum number of deep retrofits from Attached_" &amp;RIGHT(C47,1)</f>
        <v>Maximum number of deep retrofits from Attached_C</v>
      </c>
      <c r="C47" s="13" t="s">
        <v>121</v>
      </c>
      <c r="D47" s="2" t="s">
        <v>129</v>
      </c>
      <c r="E47" s="13">
        <v>1</v>
      </c>
      <c r="F47" s="54">
        <f>($C$68*F$58)/1000</f>
        <v>0</v>
      </c>
      <c r="G47" s="54">
        <f>(C68*G$57)/1000</f>
        <v>28.215152747564801</v>
      </c>
      <c r="H47" s="54">
        <f>(F68*H$56)/1000</f>
        <v>58.779216961364369</v>
      </c>
      <c r="I47" s="13">
        <v>5</v>
      </c>
      <c r="K47" s="2" t="s">
        <v>6</v>
      </c>
    </row>
    <row r="48" spans="1:11" ht="13.5" thickBot="1" x14ac:dyDescent="0.25">
      <c r="A48" s="49" t="str">
        <f>"UC_RSD_RTFT_"&amp;RIGHT(C48,6)</f>
        <v>UC_RSD_RTFT_Att_B3</v>
      </c>
      <c r="B48" s="49" t="str">
        <f>"Maximum number of deep retrofits from Attached_" &amp;RIGHT(C48,2)</f>
        <v>Maximum number of deep retrofits from Attached_B3</v>
      </c>
      <c r="C48" s="49" t="s">
        <v>122</v>
      </c>
      <c r="D48" s="49" t="s">
        <v>129</v>
      </c>
      <c r="E48" s="49">
        <v>1</v>
      </c>
      <c r="F48" s="52">
        <f>($C$67*F$58)/1000</f>
        <v>0</v>
      </c>
      <c r="G48" s="52">
        <f>(C67*G$57)/1000</f>
        <v>4.9768849685929482</v>
      </c>
      <c r="H48" s="52">
        <f>(F67*H$56)/1000</f>
        <v>10.368095610821257</v>
      </c>
      <c r="I48" s="49">
        <v>5</v>
      </c>
      <c r="K48" s="2" t="s">
        <v>6</v>
      </c>
    </row>
    <row r="49" spans="1:13" x14ac:dyDescent="0.2">
      <c r="A49" s="50" t="str">
        <f>"UC_RSD_RTFT_"&amp;RIGHT(C49,5)</f>
        <v>UC_RSD_RTFT_Det_G</v>
      </c>
      <c r="B49" s="50" t="str">
        <f>"Maximum number of deep retrofits from Detached_" &amp;RIGHT(C49,1)</f>
        <v>Maximum number of deep retrofits from Detached_G</v>
      </c>
      <c r="C49" s="50" t="s">
        <v>123</v>
      </c>
      <c r="D49" s="2" t="s">
        <v>129</v>
      </c>
      <c r="E49" s="50">
        <v>1</v>
      </c>
      <c r="F49" s="53">
        <f>($D$72*F$58)/1000</f>
        <v>0</v>
      </c>
      <c r="G49" s="53">
        <f>(D72*G$57)/1000</f>
        <v>7.8435533443104832</v>
      </c>
      <c r="H49" s="53">
        <f>(G72*H$56)/1000</f>
        <v>16.340082504534813</v>
      </c>
      <c r="I49" s="50">
        <v>5</v>
      </c>
      <c r="K49" s="13" t="s">
        <v>8</v>
      </c>
    </row>
    <row r="50" spans="1:13" x14ac:dyDescent="0.2">
      <c r="A50" s="13" t="str">
        <f t="shared" ref="A50:A53" si="7">"UC_RSD_RTFT_"&amp;RIGHT(C50,5)</f>
        <v>UC_RSD_RTFT_Det_F</v>
      </c>
      <c r="B50" s="13" t="str">
        <f>"Maximum number of deep retrofits from Detached_" &amp;RIGHT(C50,1)</f>
        <v>Maximum number of deep retrofits from Detached_F</v>
      </c>
      <c r="C50" s="13" t="s">
        <v>124</v>
      </c>
      <c r="D50" s="2" t="s">
        <v>129</v>
      </c>
      <c r="E50" s="13">
        <v>1</v>
      </c>
      <c r="F50" s="54">
        <f>($D$71*F$58)/1000</f>
        <v>0</v>
      </c>
      <c r="G50" s="54">
        <f>(D71*G$57)/1000</f>
        <v>4.3241005762967113</v>
      </c>
      <c r="H50" s="54">
        <f>(G71*H$56)/1000</f>
        <v>9.008182525570124</v>
      </c>
      <c r="I50" s="13">
        <v>5</v>
      </c>
      <c r="K50" s="13" t="s">
        <v>8</v>
      </c>
    </row>
    <row r="51" spans="1:13" x14ac:dyDescent="0.2">
      <c r="A51" s="13" t="str">
        <f t="shared" si="7"/>
        <v>UC_RSD_RTFT_Det_E</v>
      </c>
      <c r="B51" s="13" t="str">
        <f>"Maximum number of deep retrofits from Detached_" &amp;RIGHT(C51,1)</f>
        <v>Maximum number of deep retrofits from Detached_E</v>
      </c>
      <c r="C51" s="13" t="s">
        <v>125</v>
      </c>
      <c r="D51" s="2" t="s">
        <v>129</v>
      </c>
      <c r="E51" s="13">
        <v>1</v>
      </c>
      <c r="F51" s="54">
        <f>($D$70*F$58)/1000</f>
        <v>0</v>
      </c>
      <c r="G51" s="54">
        <f>(D70*G$57)/1000</f>
        <v>8.139669798955552</v>
      </c>
      <c r="H51" s="54">
        <f>(G70*H$56)/1000</f>
        <v>16.956967108674153</v>
      </c>
      <c r="I51" s="13">
        <v>5</v>
      </c>
      <c r="K51" s="13" t="s">
        <v>8</v>
      </c>
    </row>
    <row r="52" spans="1:13" x14ac:dyDescent="0.2">
      <c r="A52" s="13" t="str">
        <f t="shared" si="7"/>
        <v>UC_RSD_RTFT_Det_D</v>
      </c>
      <c r="B52" s="13" t="str">
        <f>"Maximum number of deep retrofits from Detached_" &amp;RIGHT(C52,1)</f>
        <v>Maximum number of deep retrofits from Detached_D</v>
      </c>
      <c r="C52" s="13" t="s">
        <v>126</v>
      </c>
      <c r="D52" s="2" t="s">
        <v>129</v>
      </c>
      <c r="E52" s="13">
        <v>1</v>
      </c>
      <c r="F52" s="54">
        <f>($D$69*F$58)/1000</f>
        <v>0</v>
      </c>
      <c r="G52" s="54">
        <f>(D69*G$57)/1000</f>
        <v>16.666779141279122</v>
      </c>
      <c r="H52" s="54">
        <f>(G69*H$56)/1000</f>
        <v>34.721067646069734</v>
      </c>
      <c r="I52" s="13">
        <v>5</v>
      </c>
      <c r="K52" s="13" t="s">
        <v>8</v>
      </c>
    </row>
    <row r="53" spans="1:13" x14ac:dyDescent="0.2">
      <c r="A53" s="13" t="str">
        <f t="shared" si="7"/>
        <v>UC_RSD_RTFT_Det_C</v>
      </c>
      <c r="B53" s="13" t="str">
        <f>"Maximum number of deep retrofits from Detached_" &amp;RIGHT(C53,1)</f>
        <v>Maximum number of deep retrofits from Detached_C</v>
      </c>
      <c r="C53" s="13" t="s">
        <v>127</v>
      </c>
      <c r="D53" s="2" t="s">
        <v>129</v>
      </c>
      <c r="E53" s="13">
        <v>1</v>
      </c>
      <c r="F53" s="54">
        <f>($D$68*F$58)/1000</f>
        <v>0</v>
      </c>
      <c r="G53" s="54">
        <f>(D68*G$57)/1000</f>
        <v>25.131893361374349</v>
      </c>
      <c r="H53" s="54">
        <f>(G68*H$56)/1000</f>
        <v>52.356016845083111</v>
      </c>
      <c r="I53" s="13">
        <v>5</v>
      </c>
      <c r="K53" s="13" t="s">
        <v>8</v>
      </c>
    </row>
    <row r="54" spans="1:13" ht="13.5" thickBot="1" x14ac:dyDescent="0.25">
      <c r="A54" s="49" t="str">
        <f>"UC_RSD_RTFT_"&amp;RIGHT(C54,6)</f>
        <v>UC_RSD_RTFT_Det_B3</v>
      </c>
      <c r="B54" s="49" t="str">
        <f>"Maximum number of deep retrofits from Detached_" &amp;RIGHT(C54,2)</f>
        <v>Maximum number of deep retrofits from Detached_B3</v>
      </c>
      <c r="C54" s="49" t="s">
        <v>128</v>
      </c>
      <c r="D54" s="49" t="s">
        <v>129</v>
      </c>
      <c r="E54" s="49">
        <v>1</v>
      </c>
      <c r="F54" s="52">
        <f>($D$67*F$58)/1000</f>
        <v>0</v>
      </c>
      <c r="G54" s="52">
        <f>(D67*G$57)/1000</f>
        <v>5.346621004398167</v>
      </c>
      <c r="H54" s="52">
        <f>(G67*H$56)/1000</f>
        <v>11.138348207412482</v>
      </c>
      <c r="I54" s="49">
        <v>5</v>
      </c>
      <c r="J54" s="13"/>
      <c r="K54" s="13" t="s">
        <v>8</v>
      </c>
    </row>
    <row r="55" spans="1:13" ht="13.5" thickBot="1" x14ac:dyDescent="0.25"/>
    <row r="56" spans="1:13" ht="15.75" thickBot="1" x14ac:dyDescent="0.25">
      <c r="C56" s="63" t="s">
        <v>130</v>
      </c>
      <c r="D56" s="64"/>
      <c r="E56" s="65"/>
      <c r="G56" s="2"/>
      <c r="H56" s="30">
        <v>0.25</v>
      </c>
    </row>
    <row r="57" spans="1:13" ht="15.75" thickBot="1" x14ac:dyDescent="0.25">
      <c r="C57" s="66" t="s">
        <v>131</v>
      </c>
      <c r="D57" s="67"/>
      <c r="E57" s="68"/>
      <c r="G57" s="30">
        <v>0.1</v>
      </c>
    </row>
    <row r="58" spans="1:13" ht="15.75" thickBot="1" x14ac:dyDescent="0.25">
      <c r="C58" s="69" t="s">
        <v>132</v>
      </c>
      <c r="D58" s="70"/>
      <c r="E58" s="71"/>
      <c r="F58" s="31">
        <v>0</v>
      </c>
      <c r="G58" s="2"/>
    </row>
    <row r="59" spans="1:13" x14ac:dyDescent="0.2">
      <c r="F59" s="59">
        <f>SUM(F34:F54)</f>
        <v>0</v>
      </c>
      <c r="G59" s="59">
        <f>SUM(G34:G54)</f>
        <v>313.31924189083281</v>
      </c>
      <c r="H59" s="59">
        <f>SUM(H34:H54)</f>
        <v>652.7223106690775</v>
      </c>
    </row>
    <row r="60" spans="1:13" ht="13.5" thickBot="1" x14ac:dyDescent="0.25">
      <c r="G60" s="2"/>
    </row>
    <row r="61" spans="1:13" ht="15.75" thickBot="1" x14ac:dyDescent="0.25">
      <c r="B61" s="72" t="s">
        <v>102</v>
      </c>
      <c r="C61" s="73"/>
      <c r="D61" s="73"/>
      <c r="E61" s="73"/>
      <c r="F61" s="73"/>
      <c r="G61" s="73"/>
      <c r="H61" s="74"/>
      <c r="K61" s="75" t="s">
        <v>113</v>
      </c>
      <c r="L61" s="76"/>
      <c r="M61" s="77"/>
    </row>
    <row r="62" spans="1:13" ht="15.75" thickBot="1" x14ac:dyDescent="0.25">
      <c r="B62" s="32"/>
      <c r="C62" s="72">
        <v>2018</v>
      </c>
      <c r="D62" s="73"/>
      <c r="E62" s="74"/>
      <c r="F62" s="63">
        <v>2070</v>
      </c>
      <c r="G62" s="64"/>
      <c r="H62" s="65"/>
      <c r="K62" s="78">
        <v>0.83330000000000004</v>
      </c>
      <c r="L62" s="79"/>
      <c r="M62" s="80"/>
    </row>
    <row r="63" spans="1:13" ht="15.75" thickBot="1" x14ac:dyDescent="0.25">
      <c r="B63" s="45" t="s">
        <v>112</v>
      </c>
      <c r="C63" s="46" t="s">
        <v>75</v>
      </c>
      <c r="D63" s="46" t="s">
        <v>76</v>
      </c>
      <c r="E63" s="46" t="s">
        <v>77</v>
      </c>
      <c r="F63" s="46" t="s">
        <v>75</v>
      </c>
      <c r="G63" s="46" t="s">
        <v>76</v>
      </c>
      <c r="H63" s="47" t="s">
        <v>77</v>
      </c>
    </row>
    <row r="64" spans="1:13" ht="15" x14ac:dyDescent="0.2">
      <c r="B64" s="33" t="s">
        <v>103</v>
      </c>
      <c r="C64" s="55">
        <v>37224.073727176743</v>
      </c>
      <c r="D64" s="55">
        <v>31387.706337556119</v>
      </c>
      <c r="E64" s="55">
        <v>14540.898856806734</v>
      </c>
      <c r="F64" s="34">
        <f>C64*$K$62</f>
        <v>31018.820636856381</v>
      </c>
      <c r="G64" s="34">
        <f>D64*$K$62</f>
        <v>26155.375691085515</v>
      </c>
      <c r="H64" s="39">
        <f>E64*$K$62</f>
        <v>12116.931017377052</v>
      </c>
    </row>
    <row r="65" spans="2:8" ht="15" x14ac:dyDescent="0.2">
      <c r="B65" s="35" t="s">
        <v>104</v>
      </c>
      <c r="C65" s="56">
        <v>9537.7783975583752</v>
      </c>
      <c r="D65" s="56">
        <v>9433.9012004747347</v>
      </c>
      <c r="E65" s="56">
        <v>7459.2913438514906</v>
      </c>
      <c r="F65" s="36">
        <f t="shared" ref="F65:F72" si="8">C65*$K$62</f>
        <v>7947.8307386853949</v>
      </c>
      <c r="G65" s="36">
        <f t="shared" ref="G65:G72" si="9">D65*$K$62</f>
        <v>7861.269870355597</v>
      </c>
      <c r="H65" s="40">
        <f t="shared" ref="H65:H72" si="10">E65*$K$62</f>
        <v>6215.8274768314477</v>
      </c>
    </row>
    <row r="66" spans="2:8" ht="15" x14ac:dyDescent="0.2">
      <c r="B66" s="37" t="s">
        <v>105</v>
      </c>
      <c r="C66" s="57">
        <v>17545.09295382088</v>
      </c>
      <c r="D66" s="57">
        <v>20090.949195825138</v>
      </c>
      <c r="E66" s="57">
        <v>14041.847426430093</v>
      </c>
      <c r="F66" s="38">
        <f t="shared" si="8"/>
        <v>14620.32595841894</v>
      </c>
      <c r="G66" s="38">
        <f t="shared" si="9"/>
        <v>16741.787964881089</v>
      </c>
      <c r="H66" s="41">
        <f t="shared" si="10"/>
        <v>11701.071460444196</v>
      </c>
    </row>
    <row r="67" spans="2:8" ht="15" x14ac:dyDescent="0.2">
      <c r="B67" s="35" t="s">
        <v>106</v>
      </c>
      <c r="C67" s="56">
        <v>49768.849685929476</v>
      </c>
      <c r="D67" s="56">
        <v>53466.210043981671</v>
      </c>
      <c r="E67" s="56">
        <v>19924.480375055824</v>
      </c>
      <c r="F67" s="36">
        <f t="shared" si="8"/>
        <v>41472.382443285031</v>
      </c>
      <c r="G67" s="36">
        <f t="shared" si="9"/>
        <v>44553.392829649929</v>
      </c>
      <c r="H67" s="40">
        <f t="shared" si="10"/>
        <v>16603.069496534019</v>
      </c>
    </row>
    <row r="68" spans="2:8" ht="15" x14ac:dyDescent="0.2">
      <c r="B68" s="37" t="s">
        <v>107</v>
      </c>
      <c r="C68" s="57">
        <v>282151.52747564798</v>
      </c>
      <c r="D68" s="57">
        <v>251318.93361374349</v>
      </c>
      <c r="E68" s="57">
        <v>58904.8034364337</v>
      </c>
      <c r="F68" s="38">
        <f t="shared" si="8"/>
        <v>235116.86784545748</v>
      </c>
      <c r="G68" s="38">
        <f t="shared" si="9"/>
        <v>209424.06738033245</v>
      </c>
      <c r="H68" s="41">
        <f t="shared" si="10"/>
        <v>49085.372703580208</v>
      </c>
    </row>
    <row r="69" spans="2:8" ht="15" x14ac:dyDescent="0.2">
      <c r="B69" s="35" t="s">
        <v>108</v>
      </c>
      <c r="C69" s="56">
        <v>187627.02237661046</v>
      </c>
      <c r="D69" s="56">
        <v>166667.79141279124</v>
      </c>
      <c r="E69" s="56">
        <v>43739.341649106158</v>
      </c>
      <c r="F69" s="36">
        <f t="shared" si="8"/>
        <v>156349.5977464295</v>
      </c>
      <c r="G69" s="36">
        <f t="shared" si="9"/>
        <v>138884.27058427894</v>
      </c>
      <c r="H69" s="40">
        <f t="shared" si="10"/>
        <v>36447.99339620016</v>
      </c>
    </row>
    <row r="70" spans="2:8" ht="15" x14ac:dyDescent="0.2">
      <c r="B70" s="37" t="s">
        <v>109</v>
      </c>
      <c r="C70" s="57">
        <v>101418.89596184672</v>
      </c>
      <c r="D70" s="57">
        <v>81396.697989555512</v>
      </c>
      <c r="E70" s="57">
        <v>25767.876472761334</v>
      </c>
      <c r="F70" s="38">
        <f t="shared" si="8"/>
        <v>84512.366005006872</v>
      </c>
      <c r="G70" s="38">
        <f t="shared" si="9"/>
        <v>67827.868434696618</v>
      </c>
      <c r="H70" s="41">
        <f t="shared" si="10"/>
        <v>21472.371464752021</v>
      </c>
    </row>
    <row r="71" spans="2:8" ht="15" x14ac:dyDescent="0.2">
      <c r="B71" s="35" t="s">
        <v>110</v>
      </c>
      <c r="C71" s="56">
        <v>50123.806027321167</v>
      </c>
      <c r="D71" s="56">
        <v>43241.005762967114</v>
      </c>
      <c r="E71" s="56">
        <v>12331.173226884033</v>
      </c>
      <c r="F71" s="36">
        <f t="shared" si="8"/>
        <v>41768.167562566727</v>
      </c>
      <c r="G71" s="36">
        <f t="shared" si="9"/>
        <v>36032.730102280497</v>
      </c>
      <c r="H71" s="40">
        <f t="shared" si="10"/>
        <v>10275.566649962466</v>
      </c>
    </row>
    <row r="72" spans="2:8" ht="15.75" thickBot="1" x14ac:dyDescent="0.25">
      <c r="B72" s="42" t="s">
        <v>111</v>
      </c>
      <c r="C72" s="58">
        <v>52706.674394088106</v>
      </c>
      <c r="D72" s="58">
        <v>78435.533443104825</v>
      </c>
      <c r="E72" s="58">
        <v>15211.172212670604</v>
      </c>
      <c r="F72" s="43">
        <f t="shared" si="8"/>
        <v>43920.471772593621</v>
      </c>
      <c r="G72" s="43">
        <f t="shared" si="9"/>
        <v>65360.330018139255</v>
      </c>
      <c r="H72" s="44">
        <f t="shared" si="10"/>
        <v>12675.469804818415</v>
      </c>
    </row>
  </sheetData>
  <mergeCells count="11">
    <mergeCell ref="K61:M61"/>
    <mergeCell ref="K62:M62"/>
    <mergeCell ref="C56:E56"/>
    <mergeCell ref="C57:E57"/>
    <mergeCell ref="C58:E58"/>
    <mergeCell ref="C27:E27"/>
    <mergeCell ref="C28:E28"/>
    <mergeCell ref="C29:E29"/>
    <mergeCell ref="C62:E62"/>
    <mergeCell ref="F62:H62"/>
    <mergeCell ref="B61:H61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2022-04-01T15:49:18Z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969524562358856</vt:r8>
  </property>
</Properties>
</file>