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10B7F61-8953-4A64-B186-0CF75A889E8A}" xr6:coauthVersionLast="45" xr6:coauthVersionMax="47" xr10:uidLastSave="{00000000-0000-0000-0000-000000000000}"/>
  <bookViews>
    <workbookView xWindow="-120" yWindow="-120" windowWidth="29040" windowHeight="15840" firstSheet="8" activeTab="14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5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60" i="28" l="1"/>
  <c r="T59" i="28"/>
  <c r="AC59" i="28" s="1"/>
  <c r="AB59" i="28" s="1"/>
  <c r="L65" i="56"/>
  <c r="L64" i="56"/>
  <c r="L54" i="56"/>
  <c r="L51" i="56"/>
  <c r="L49" i="56"/>
  <c r="E28" i="54" l="1"/>
  <c r="C28" i="54"/>
  <c r="C10" i="54"/>
  <c r="B29" i="54"/>
  <c r="B28" i="54"/>
  <c r="R38" i="52" l="1"/>
  <c r="R37" i="52"/>
  <c r="R12" i="52"/>
  <c r="R11" i="52"/>
  <c r="R38" i="51"/>
  <c r="R37" i="51"/>
  <c r="R12" i="51"/>
  <c r="R11" i="51"/>
  <c r="R38" i="28"/>
  <c r="R37" i="28"/>
  <c r="R11" i="28"/>
  <c r="R12" i="28"/>
  <c r="Q71" i="56" l="1"/>
  <c r="Q70" i="56"/>
  <c r="Q69" i="56"/>
  <c r="P71" i="56"/>
  <c r="P70" i="56"/>
  <c r="P69" i="56"/>
  <c r="S73" i="56"/>
  <c r="O71" i="56"/>
  <c r="O70" i="56"/>
  <c r="O69" i="56"/>
  <c r="E140" i="56"/>
  <c r="E139" i="56"/>
  <c r="E138" i="56"/>
  <c r="E137" i="56"/>
  <c r="H136" i="56"/>
  <c r="G136" i="56"/>
  <c r="F136" i="56"/>
  <c r="E136" i="56"/>
  <c r="B136" i="56"/>
  <c r="E135" i="56"/>
  <c r="E134" i="56"/>
  <c r="E133" i="56"/>
  <c r="E132" i="56"/>
  <c r="G131" i="56"/>
  <c r="H131" i="56" s="1"/>
  <c r="F131" i="56"/>
  <c r="E131" i="56"/>
  <c r="B131" i="56"/>
  <c r="E130" i="56"/>
  <c r="E129" i="56"/>
  <c r="E128" i="56"/>
  <c r="E127" i="56"/>
  <c r="H126" i="56"/>
  <c r="G126" i="56"/>
  <c r="F126" i="56"/>
  <c r="E126" i="56"/>
  <c r="B126" i="56"/>
  <c r="E125" i="56"/>
  <c r="E124" i="56"/>
  <c r="E123" i="56"/>
  <c r="E122" i="56"/>
  <c r="L121" i="56"/>
  <c r="G121" i="56"/>
  <c r="H121" i="56" s="1"/>
  <c r="F121" i="56"/>
  <c r="E121" i="56"/>
  <c r="B121" i="56"/>
  <c r="L120" i="56"/>
  <c r="E120" i="56"/>
  <c r="E119" i="56"/>
  <c r="E118" i="56"/>
  <c r="E117" i="56"/>
  <c r="H116" i="56"/>
  <c r="G116" i="56"/>
  <c r="F116" i="56"/>
  <c r="E116" i="56"/>
  <c r="B116" i="56"/>
  <c r="E115" i="56"/>
  <c r="E114" i="56"/>
  <c r="E113" i="56"/>
  <c r="E112" i="56"/>
  <c r="G111" i="56"/>
  <c r="H111" i="56" s="1"/>
  <c r="F111" i="56"/>
  <c r="E111" i="56"/>
  <c r="B111" i="56"/>
  <c r="E110" i="56"/>
  <c r="E109" i="56"/>
  <c r="E108" i="56"/>
  <c r="E107" i="56"/>
  <c r="H106" i="56"/>
  <c r="G106" i="56"/>
  <c r="F106" i="56"/>
  <c r="E106" i="56"/>
  <c r="B106" i="56"/>
  <c r="E105" i="56"/>
  <c r="E104" i="56"/>
  <c r="E103" i="56"/>
  <c r="E102" i="56"/>
  <c r="G101" i="56"/>
  <c r="H101" i="56" s="1"/>
  <c r="F101" i="56"/>
  <c r="E101" i="56"/>
  <c r="B101" i="56"/>
  <c r="L100" i="56"/>
  <c r="E100" i="56"/>
  <c r="E99" i="56"/>
  <c r="L98" i="56"/>
  <c r="E98" i="56"/>
  <c r="E97" i="56"/>
  <c r="L96" i="56"/>
  <c r="H96" i="56"/>
  <c r="G96" i="56"/>
  <c r="F96" i="56"/>
  <c r="E96" i="56"/>
  <c r="B96" i="56"/>
  <c r="L95" i="56"/>
  <c r="E95" i="56"/>
  <c r="E94" i="56"/>
  <c r="E93" i="56"/>
  <c r="E92" i="56"/>
  <c r="H91" i="56"/>
  <c r="G91" i="56"/>
  <c r="F91" i="56"/>
  <c r="E91" i="56"/>
  <c r="B91" i="56"/>
  <c r="E90" i="56"/>
  <c r="E89" i="56"/>
  <c r="E88" i="56"/>
  <c r="E87" i="56"/>
  <c r="G86" i="56"/>
  <c r="H86" i="56" s="1"/>
  <c r="F86" i="56"/>
  <c r="E86" i="56"/>
  <c r="B86" i="56"/>
  <c r="E85" i="56"/>
  <c r="L84" i="56"/>
  <c r="E84" i="56"/>
  <c r="E83" i="56"/>
  <c r="E82" i="56"/>
  <c r="G81" i="56"/>
  <c r="H81" i="56" s="1"/>
  <c r="F81" i="56"/>
  <c r="E81" i="56"/>
  <c r="B81" i="56"/>
  <c r="E80" i="56"/>
  <c r="E79" i="56"/>
  <c r="L78" i="56"/>
  <c r="E78" i="56"/>
  <c r="E77" i="56"/>
  <c r="H76" i="56"/>
  <c r="G76" i="56"/>
  <c r="F76" i="56"/>
  <c r="E76" i="56"/>
  <c r="B76" i="56"/>
  <c r="E75" i="56"/>
  <c r="E74" i="56"/>
  <c r="L73" i="56"/>
  <c r="E73" i="56"/>
  <c r="E72" i="56"/>
  <c r="H71" i="56"/>
  <c r="G71" i="56"/>
  <c r="F71" i="56"/>
  <c r="E71" i="56"/>
  <c r="B71" i="56"/>
  <c r="AL70" i="56"/>
  <c r="L140" i="56" s="1"/>
  <c r="AK70" i="56"/>
  <c r="L139" i="56" s="1"/>
  <c r="AJ70" i="56"/>
  <c r="L138" i="56" s="1"/>
  <c r="AI70" i="56"/>
  <c r="L136" i="56" s="1"/>
  <c r="E70" i="56"/>
  <c r="AL69" i="56"/>
  <c r="L135" i="56" s="1"/>
  <c r="AK69" i="56"/>
  <c r="L134" i="56" s="1"/>
  <c r="AJ69" i="56"/>
  <c r="L133" i="56" s="1"/>
  <c r="AI69" i="56"/>
  <c r="L131" i="56" s="1"/>
  <c r="E69" i="56"/>
  <c r="AL68" i="56"/>
  <c r="L130" i="56" s="1"/>
  <c r="AK68" i="56"/>
  <c r="L129" i="56" s="1"/>
  <c r="AJ68" i="56"/>
  <c r="L128" i="56" s="1"/>
  <c r="AI68" i="56"/>
  <c r="L126" i="56" s="1"/>
  <c r="E68" i="56"/>
  <c r="AL67" i="56"/>
  <c r="L125" i="56" s="1"/>
  <c r="AK67" i="56"/>
  <c r="L124" i="56" s="1"/>
  <c r="AJ67" i="56"/>
  <c r="L123" i="56" s="1"/>
  <c r="AI67" i="56"/>
  <c r="E67" i="56"/>
  <c r="AL66" i="56"/>
  <c r="AK66" i="56"/>
  <c r="L119" i="56" s="1"/>
  <c r="AJ66" i="56"/>
  <c r="L118" i="56" s="1"/>
  <c r="AI66" i="56"/>
  <c r="L116" i="56" s="1"/>
  <c r="H66" i="56"/>
  <c r="G66" i="56"/>
  <c r="F66" i="56"/>
  <c r="E66" i="56"/>
  <c r="B66" i="56"/>
  <c r="AL65" i="56"/>
  <c r="L115" i="56" s="1"/>
  <c r="AK65" i="56"/>
  <c r="L114" i="56" s="1"/>
  <c r="AJ65" i="56"/>
  <c r="L113" i="56" s="1"/>
  <c r="AI65" i="56"/>
  <c r="L111" i="56" s="1"/>
  <c r="E65" i="56"/>
  <c r="AL64" i="56"/>
  <c r="L110" i="56" s="1"/>
  <c r="AK64" i="56"/>
  <c r="L109" i="56" s="1"/>
  <c r="AJ64" i="56"/>
  <c r="L108" i="56" s="1"/>
  <c r="AI64" i="56"/>
  <c r="L106" i="56" s="1"/>
  <c r="E64" i="56"/>
  <c r="AL63" i="56"/>
  <c r="L105" i="56" s="1"/>
  <c r="AK63" i="56"/>
  <c r="L104" i="56" s="1"/>
  <c r="AJ63" i="56"/>
  <c r="AJ71" i="56" s="1"/>
  <c r="AI63" i="56"/>
  <c r="L101" i="56" s="1"/>
  <c r="E63" i="56"/>
  <c r="AL62" i="56"/>
  <c r="AK62" i="56"/>
  <c r="L99" i="56" s="1"/>
  <c r="AJ62" i="56"/>
  <c r="AI62" i="56"/>
  <c r="AI71" i="56" s="1"/>
  <c r="E62" i="56"/>
  <c r="L61" i="56"/>
  <c r="G61" i="56"/>
  <c r="H61" i="56" s="1"/>
  <c r="F61" i="56"/>
  <c r="E61" i="56"/>
  <c r="B61" i="56"/>
  <c r="R60" i="56"/>
  <c r="P60" i="56"/>
  <c r="Q60" i="56" s="1"/>
  <c r="L60" i="56"/>
  <c r="E60" i="56"/>
  <c r="R59" i="56"/>
  <c r="P59" i="56"/>
  <c r="E59" i="56"/>
  <c r="R58" i="56"/>
  <c r="P58" i="56"/>
  <c r="E58" i="56"/>
  <c r="E57" i="56"/>
  <c r="AL56" i="56"/>
  <c r="L50" i="56" s="1"/>
  <c r="AK56" i="56"/>
  <c r="AJ56" i="56"/>
  <c r="AI56" i="56"/>
  <c r="L46" i="56" s="1"/>
  <c r="H56" i="56"/>
  <c r="G56" i="56"/>
  <c r="F56" i="56"/>
  <c r="E56" i="56"/>
  <c r="B56" i="56"/>
  <c r="AL55" i="56"/>
  <c r="AK55" i="56"/>
  <c r="L44" i="56" s="1"/>
  <c r="AJ55" i="56"/>
  <c r="AI55" i="56"/>
  <c r="L55" i="56"/>
  <c r="E55" i="56"/>
  <c r="AL54" i="56"/>
  <c r="AK54" i="56"/>
  <c r="AJ54" i="56"/>
  <c r="AI54" i="56"/>
  <c r="E54" i="56"/>
  <c r="AL53" i="56"/>
  <c r="L35" i="56" s="1"/>
  <c r="AK53" i="56"/>
  <c r="L34" i="56" s="1"/>
  <c r="AJ53" i="56"/>
  <c r="AI53" i="56"/>
  <c r="E53" i="56"/>
  <c r="AL52" i="56"/>
  <c r="AK52" i="56"/>
  <c r="AJ52" i="56"/>
  <c r="AI52" i="56"/>
  <c r="E52" i="56"/>
  <c r="AL51" i="56"/>
  <c r="L25" i="56" s="1"/>
  <c r="AK51" i="56"/>
  <c r="AJ51" i="56"/>
  <c r="AI51" i="56"/>
  <c r="H51" i="56"/>
  <c r="G51" i="56"/>
  <c r="F51" i="56"/>
  <c r="E51" i="56"/>
  <c r="B51" i="56"/>
  <c r="AL50" i="56"/>
  <c r="AK50" i="56"/>
  <c r="L19" i="56" s="1"/>
  <c r="AJ50" i="56"/>
  <c r="L18" i="56" s="1"/>
  <c r="AI50" i="56"/>
  <c r="E50" i="56"/>
  <c r="AL49" i="56"/>
  <c r="AK49" i="56"/>
  <c r="AJ49" i="56"/>
  <c r="AI49" i="56"/>
  <c r="L11" i="56" s="1"/>
  <c r="E49" i="56"/>
  <c r="AL48" i="56"/>
  <c r="AL57" i="56" s="1"/>
  <c r="AK48" i="56"/>
  <c r="AK57" i="56" s="1"/>
  <c r="AJ48" i="56"/>
  <c r="AJ57" i="56" s="1"/>
  <c r="AI48" i="56"/>
  <c r="AI57" i="56" s="1"/>
  <c r="L48" i="56"/>
  <c r="E48" i="56"/>
  <c r="E47" i="56"/>
  <c r="H46" i="56"/>
  <c r="G46" i="56"/>
  <c r="F46" i="56"/>
  <c r="E46" i="56"/>
  <c r="B46" i="56"/>
  <c r="L45" i="56"/>
  <c r="E45" i="56"/>
  <c r="E44" i="56"/>
  <c r="R43" i="56"/>
  <c r="P43" i="56"/>
  <c r="L43" i="56"/>
  <c r="E43" i="56"/>
  <c r="R42" i="56"/>
  <c r="S42" i="56" s="1"/>
  <c r="P42" i="56"/>
  <c r="Q42" i="56" s="1"/>
  <c r="E42" i="56"/>
  <c r="AL41" i="56"/>
  <c r="AK41" i="56"/>
  <c r="L94" i="56" s="1"/>
  <c r="AJ41" i="56"/>
  <c r="L93" i="56" s="1"/>
  <c r="AI41" i="56"/>
  <c r="L91" i="56" s="1"/>
  <c r="R41" i="56"/>
  <c r="P41" i="56"/>
  <c r="L41" i="56"/>
  <c r="G41" i="56"/>
  <c r="H41" i="56" s="1"/>
  <c r="F41" i="56"/>
  <c r="E41" i="56"/>
  <c r="B41" i="56"/>
  <c r="AL40" i="56"/>
  <c r="L90" i="56" s="1"/>
  <c r="AK40" i="56"/>
  <c r="L89" i="56" s="1"/>
  <c r="AJ40" i="56"/>
  <c r="L88" i="56" s="1"/>
  <c r="AI40" i="56"/>
  <c r="L86" i="56" s="1"/>
  <c r="L40" i="56"/>
  <c r="E40" i="56"/>
  <c r="AL39" i="56"/>
  <c r="AK39" i="56"/>
  <c r="L85" i="56" s="1"/>
  <c r="AJ39" i="56"/>
  <c r="L83" i="56" s="1"/>
  <c r="AI39" i="56"/>
  <c r="L81" i="56" s="1"/>
  <c r="L39" i="56"/>
  <c r="E39" i="56"/>
  <c r="AL38" i="56"/>
  <c r="L80" i="56" s="1"/>
  <c r="AK38" i="56"/>
  <c r="L79" i="56" s="1"/>
  <c r="AJ38" i="56"/>
  <c r="AI38" i="56"/>
  <c r="L76" i="56" s="1"/>
  <c r="L38" i="56"/>
  <c r="E38" i="56"/>
  <c r="AL37" i="56"/>
  <c r="L75" i="56" s="1"/>
  <c r="AK37" i="56"/>
  <c r="L74" i="56" s="1"/>
  <c r="AJ37" i="56"/>
  <c r="AI37" i="56"/>
  <c r="L71" i="56" s="1"/>
  <c r="E37" i="56"/>
  <c r="AL36" i="56"/>
  <c r="L70" i="56" s="1"/>
  <c r="AK36" i="56"/>
  <c r="L69" i="56" s="1"/>
  <c r="AJ36" i="56"/>
  <c r="L68" i="56" s="1"/>
  <c r="AI36" i="56"/>
  <c r="L66" i="56" s="1"/>
  <c r="L36" i="56"/>
  <c r="G36" i="56"/>
  <c r="H36" i="56" s="1"/>
  <c r="F36" i="56"/>
  <c r="E36" i="56"/>
  <c r="B36" i="56"/>
  <c r="AL35" i="56"/>
  <c r="AL42" i="56" s="1"/>
  <c r="AK35" i="56"/>
  <c r="AJ35" i="56"/>
  <c r="L63" i="56" s="1"/>
  <c r="AI35" i="56"/>
  <c r="E35" i="56"/>
  <c r="AL34" i="56"/>
  <c r="AK34" i="56"/>
  <c r="L59" i="56" s="1"/>
  <c r="AJ34" i="56"/>
  <c r="L58" i="56" s="1"/>
  <c r="AI34" i="56"/>
  <c r="L56" i="56" s="1"/>
  <c r="E34" i="56"/>
  <c r="AM33" i="56"/>
  <c r="AM42" i="56" s="1"/>
  <c r="AL33" i="56"/>
  <c r="AK33" i="56"/>
  <c r="AJ33" i="56"/>
  <c r="L53" i="56" s="1"/>
  <c r="AI33" i="56"/>
  <c r="L33" i="56"/>
  <c r="E33" i="56"/>
  <c r="Q32" i="56"/>
  <c r="D136" i="56" s="1"/>
  <c r="P32" i="56"/>
  <c r="C136" i="56" s="1"/>
  <c r="O32" i="56"/>
  <c r="E32" i="56"/>
  <c r="Q31" i="56"/>
  <c r="D131" i="56" s="1"/>
  <c r="P31" i="56"/>
  <c r="C131" i="56" s="1"/>
  <c r="O31" i="56"/>
  <c r="L31" i="56"/>
  <c r="G31" i="56"/>
  <c r="H31" i="56" s="1"/>
  <c r="F31" i="56"/>
  <c r="E31" i="56"/>
  <c r="B31" i="56"/>
  <c r="Q30" i="56"/>
  <c r="D126" i="56" s="1"/>
  <c r="P30" i="56"/>
  <c r="C126" i="56" s="1"/>
  <c r="O30" i="56"/>
  <c r="L30" i="56"/>
  <c r="E30" i="56"/>
  <c r="Q29" i="56"/>
  <c r="D121" i="56" s="1"/>
  <c r="P29" i="56"/>
  <c r="C121" i="56" s="1"/>
  <c r="O29" i="56"/>
  <c r="L29" i="56"/>
  <c r="E29" i="56"/>
  <c r="Q28" i="56"/>
  <c r="D116" i="56" s="1"/>
  <c r="P28" i="56"/>
  <c r="C116" i="56" s="1"/>
  <c r="O28" i="56"/>
  <c r="L28" i="56"/>
  <c r="E28" i="56"/>
  <c r="Q27" i="56"/>
  <c r="D111" i="56" s="1"/>
  <c r="P27" i="56"/>
  <c r="C111" i="56" s="1"/>
  <c r="O27" i="56"/>
  <c r="E27" i="56"/>
  <c r="Q26" i="56"/>
  <c r="D106" i="56" s="1"/>
  <c r="P26" i="56"/>
  <c r="C106" i="56" s="1"/>
  <c r="O26" i="56"/>
  <c r="L26" i="56"/>
  <c r="H26" i="56"/>
  <c r="G26" i="56"/>
  <c r="F26" i="56"/>
  <c r="E26" i="56"/>
  <c r="B26" i="56"/>
  <c r="Q25" i="56"/>
  <c r="D101" i="56" s="1"/>
  <c r="P25" i="56"/>
  <c r="C101" i="56" s="1"/>
  <c r="O25" i="56"/>
  <c r="E25" i="56"/>
  <c r="Q24" i="56"/>
  <c r="D96" i="56" s="1"/>
  <c r="P24" i="56"/>
  <c r="C96" i="56" s="1"/>
  <c r="O24" i="56"/>
  <c r="L24" i="56"/>
  <c r="E24" i="56"/>
  <c r="Q23" i="56"/>
  <c r="D91" i="56" s="1"/>
  <c r="P23" i="56"/>
  <c r="C91" i="56" s="1"/>
  <c r="O23" i="56"/>
  <c r="L23" i="56"/>
  <c r="E23" i="56"/>
  <c r="Q22" i="56"/>
  <c r="D86" i="56" s="1"/>
  <c r="P22" i="56"/>
  <c r="C86" i="56" s="1"/>
  <c r="O22" i="56"/>
  <c r="E22" i="56"/>
  <c r="Q21" i="56"/>
  <c r="D81" i="56" s="1"/>
  <c r="P21" i="56"/>
  <c r="C81" i="56" s="1"/>
  <c r="O21" i="56"/>
  <c r="L21" i="56"/>
  <c r="H21" i="56"/>
  <c r="G21" i="56"/>
  <c r="F21" i="56"/>
  <c r="E21" i="56"/>
  <c r="B21" i="56"/>
  <c r="Q20" i="56"/>
  <c r="D76" i="56" s="1"/>
  <c r="P20" i="56"/>
  <c r="C76" i="56" s="1"/>
  <c r="O20" i="56"/>
  <c r="L20" i="56"/>
  <c r="E20" i="56"/>
  <c r="Q19" i="56"/>
  <c r="D71" i="56" s="1"/>
  <c r="P19" i="56"/>
  <c r="C71" i="56" s="1"/>
  <c r="O19" i="56"/>
  <c r="E19" i="56"/>
  <c r="Q18" i="56"/>
  <c r="D66" i="56" s="1"/>
  <c r="P18" i="56"/>
  <c r="C66" i="56" s="1"/>
  <c r="O18" i="56"/>
  <c r="E18" i="56"/>
  <c r="Q17" i="56"/>
  <c r="D61" i="56" s="1"/>
  <c r="P17" i="56"/>
  <c r="C61" i="56" s="1"/>
  <c r="O17" i="56"/>
  <c r="E17" i="56"/>
  <c r="Q16" i="56"/>
  <c r="D56" i="56" s="1"/>
  <c r="P16" i="56"/>
  <c r="C56" i="56" s="1"/>
  <c r="O16" i="56"/>
  <c r="L16" i="56"/>
  <c r="H16" i="56"/>
  <c r="G16" i="56"/>
  <c r="F16" i="56"/>
  <c r="E16" i="56"/>
  <c r="B16" i="56"/>
  <c r="Q15" i="56"/>
  <c r="D51" i="56" s="1"/>
  <c r="P15" i="56"/>
  <c r="C51" i="56" s="1"/>
  <c r="O15" i="56"/>
  <c r="L15" i="56"/>
  <c r="E15" i="56"/>
  <c r="Q14" i="56"/>
  <c r="D46" i="56" s="1"/>
  <c r="P14" i="56"/>
  <c r="C46" i="56" s="1"/>
  <c r="O14" i="56"/>
  <c r="L14" i="56"/>
  <c r="E14" i="56"/>
  <c r="Q13" i="56"/>
  <c r="D41" i="56" s="1"/>
  <c r="P13" i="56"/>
  <c r="C41" i="56" s="1"/>
  <c r="O13" i="56"/>
  <c r="L13" i="56"/>
  <c r="E13" i="56"/>
  <c r="Q12" i="56"/>
  <c r="D36" i="56" s="1"/>
  <c r="P12" i="56"/>
  <c r="C36" i="56" s="1"/>
  <c r="O12" i="56"/>
  <c r="E12" i="56"/>
  <c r="Q11" i="56"/>
  <c r="D31" i="56" s="1"/>
  <c r="P11" i="56"/>
  <c r="C31" i="56" s="1"/>
  <c r="O11" i="56"/>
  <c r="G11" i="56"/>
  <c r="H11" i="56" s="1"/>
  <c r="F11" i="56"/>
  <c r="E11" i="56"/>
  <c r="B11" i="56"/>
  <c r="Q10" i="56"/>
  <c r="D26" i="56" s="1"/>
  <c r="P10" i="56"/>
  <c r="C26" i="56" s="1"/>
  <c r="O10" i="56"/>
  <c r="L10" i="56"/>
  <c r="E10" i="56"/>
  <c r="Q9" i="56"/>
  <c r="D21" i="56" s="1"/>
  <c r="P9" i="56"/>
  <c r="C21" i="56" s="1"/>
  <c r="O9" i="56"/>
  <c r="L9" i="56"/>
  <c r="E9" i="56"/>
  <c r="Q8" i="56"/>
  <c r="D16" i="56" s="1"/>
  <c r="P8" i="56"/>
  <c r="C16" i="56" s="1"/>
  <c r="O8" i="56"/>
  <c r="L8" i="56"/>
  <c r="E8" i="56"/>
  <c r="Q7" i="56"/>
  <c r="D11" i="56" s="1"/>
  <c r="P7" i="56"/>
  <c r="C11" i="56" s="1"/>
  <c r="O7" i="56"/>
  <c r="E7" i="56"/>
  <c r="Q6" i="56"/>
  <c r="D6" i="56" s="1"/>
  <c r="P6" i="56"/>
  <c r="C6" i="56" s="1"/>
  <c r="O6" i="56"/>
  <c r="L6" i="56"/>
  <c r="H6" i="56"/>
  <c r="G6" i="56"/>
  <c r="F6" i="56"/>
  <c r="E6" i="56"/>
  <c r="B6" i="56"/>
  <c r="Q41" i="56" l="1"/>
  <c r="S43" i="56"/>
  <c r="Q59" i="56"/>
  <c r="S58" i="56"/>
  <c r="S60" i="56"/>
  <c r="S41" i="56"/>
  <c r="Q43" i="56"/>
  <c r="AJ42" i="56"/>
  <c r="Q58" i="56"/>
  <c r="S59" i="56"/>
  <c r="AK42" i="56"/>
  <c r="L103" i="56"/>
  <c r="AI42" i="56"/>
  <c r="AK71" i="56"/>
  <c r="AL71" i="56"/>
  <c r="O16" i="52" l="1"/>
  <c r="O42" i="52"/>
  <c r="O16" i="51"/>
  <c r="O42" i="51"/>
  <c r="O42" i="28"/>
  <c r="O16" i="28"/>
  <c r="L18" i="54" l="1"/>
  <c r="J18" i="54"/>
  <c r="C18" i="54"/>
  <c r="K18" i="54" s="1"/>
  <c r="C17" i="54"/>
  <c r="B18" i="54"/>
  <c r="AB60" i="52" l="1"/>
  <c r="AB59" i="52"/>
  <c r="AB60" i="51"/>
  <c r="AB59" i="51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J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J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J7" i="54"/>
  <c r="J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J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12" i="28"/>
  <c r="Q59" i="28"/>
  <c r="Q23" i="51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U18" i="27"/>
  <c r="I28" i="27"/>
  <c r="L19" i="27"/>
  <c r="K28" i="27"/>
  <c r="V18" i="27"/>
  <c r="S12" i="52" l="1"/>
  <c r="S11" i="52"/>
  <c r="S59" i="28"/>
  <c r="V59" i="28" s="1"/>
  <c r="S12" i="28"/>
  <c r="S7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AC60" i="28" s="1"/>
  <c r="AB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T12" i="28"/>
  <c r="AC12" i="28" s="1"/>
  <c r="T12" i="52"/>
  <c r="AC12" i="52" s="1"/>
  <c r="T11" i="28"/>
  <c r="AC11" i="28" s="1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I24" i="22"/>
  <c r="AC14" i="52"/>
  <c r="AB14" i="52" s="1"/>
  <c r="T20" i="52"/>
  <c r="AC38" i="28"/>
  <c r="S54" i="51"/>
  <c r="V35" i="52"/>
  <c r="K23" i="22"/>
  <c r="AC36" i="52"/>
  <c r="AB36" i="52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I22" i="22"/>
  <c r="K22" i="22"/>
  <c r="J22" i="22"/>
  <c r="G22" i="22"/>
  <c r="H22" i="22"/>
  <c r="AB12" i="28"/>
  <c r="V12" i="28" s="1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AB27" i="5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AB27" i="52"/>
  <c r="AB54" i="51"/>
  <c r="Y19" i="22"/>
  <c r="AE19" i="22" s="1"/>
  <c r="V20" i="52"/>
  <c r="V20" i="28"/>
  <c r="Y10" i="22"/>
  <c r="AE10" i="22" s="1"/>
  <c r="AB54" i="28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*0.796873981712218 comes from the orginal TIMv1.0 with ratings grouped, this used the useful energy provided, the new values show the energy consumed. Further work to tidy this needed.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<sst xmlns="http://schemas.openxmlformats.org/spreadsheetml/2006/main" count="68725" uniqueCount="918">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</sst>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</borders>
  <cellStyleXfs count="9">
    <xf numFmtId="0" fontId="0" fillId="0" borderId="0"/>
    <xf numFmtId="9" fontId="14" fillId="0" borderId="0" applyFont="0" applyFill="0" applyBorder="0" applyAlignment="0" applyProtection="0"/>
    <xf numFmtId="0" fontId="28" fillId="9" borderId="0" applyNumberFormat="0" applyBorder="0" applyAlignment="0" applyProtection="0"/>
    <xf numFmtId="0" fontId="53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4" fillId="0" borderId="0"/>
    <xf numFmtId="0" fontId="2" fillId="0" borderId="0"/>
    <xf numFmtId="0" fontId="43" fillId="0" borderId="0" applyNumberFormat="0" applyFill="0" applyBorder="0" applyAlignment="0" applyProtection="0"/>
  </cellStyleXfs>
  <cellXfs count="1142">
    <xf numFmtId="0" fontId="0" fillId="0" borderId="0" xfId="0"/>
    <xf numFmtId="38" fontId="20" fillId="0" borderId="0" xfId="0" applyNumberFormat="1" applyFont="1" applyAlignment="1"/>
    <xf numFmtId="38" fontId="23" fillId="5" borderId="0" xfId="0" applyNumberFormat="1" applyFont="1" applyFill="1" applyAlignment="1"/>
    <xf numFmtId="38" fontId="20" fillId="0" borderId="0" xfId="0" applyNumberFormat="1" applyFont="1" applyFill="1"/>
    <xf numFmtId="38" fontId="24" fillId="5" borderId="0" xfId="0" applyNumberFormat="1" applyFont="1" applyFill="1"/>
    <xf numFmtId="38" fontId="25" fillId="5" borderId="0" xfId="0" applyNumberFormat="1" applyFont="1" applyFill="1"/>
    <xf numFmtId="38" fontId="22" fillId="0" borderId="0" xfId="0" applyNumberFormat="1" applyFont="1" applyFill="1"/>
    <xf numFmtId="38" fontId="24" fillId="5" borderId="0" xfId="0" applyNumberFormat="1" applyFont="1" applyFill="1" applyBorder="1"/>
    <xf numFmtId="38" fontId="20" fillId="0" borderId="0" xfId="0" applyNumberFormat="1" applyFont="1" applyFill="1" applyBorder="1"/>
    <xf numFmtId="38" fontId="25" fillId="5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8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7" borderId="0" xfId="0" applyNumberFormat="1" applyFont="1" applyFill="1"/>
    <xf numFmtId="38" fontId="25" fillId="7" borderId="0" xfId="0" applyNumberFormat="1" applyFont="1" applyFill="1"/>
    <xf numFmtId="38" fontId="22" fillId="7" borderId="0" xfId="0" applyNumberFormat="1" applyFont="1" applyFill="1"/>
    <xf numFmtId="0" fontId="0" fillId="0" borderId="0" xfId="0"/>
    <xf numFmtId="0" fontId="0" fillId="0" borderId="0" xfId="0" applyBorder="1"/>
    <xf numFmtId="170" fontId="28" fillId="9" borderId="0" xfId="2" applyNumberFormat="1" applyFont="1"/>
    <xf numFmtId="0" fontId="30" fillId="12" borderId="4" xfId="0" applyFont="1" applyFill="1" applyBorder="1" applyAlignment="1">
      <alignment vertical="center"/>
    </xf>
    <xf numFmtId="0" fontId="30" fillId="12" borderId="5" xfId="0" applyFont="1" applyFill="1" applyBorder="1" applyAlignment="1">
      <alignment vertical="center"/>
    </xf>
    <xf numFmtId="0" fontId="31" fillId="6" borderId="4" xfId="0" applyFont="1" applyFill="1" applyBorder="1" applyAlignment="1">
      <alignment horizontal="left" vertical="center" wrapText="1"/>
    </xf>
    <xf numFmtId="0" fontId="31" fillId="6" borderId="2" xfId="0" applyFont="1" applyFill="1" applyBorder="1" applyAlignment="1">
      <alignment horizontal="left" vertical="center" wrapText="1"/>
    </xf>
    <xf numFmtId="0" fontId="27" fillId="13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0" fontId="30" fillId="12" borderId="5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 wrapText="1"/>
    </xf>
    <xf numFmtId="0" fontId="31" fillId="6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2" borderId="19" xfId="0" applyFont="1" applyFill="1" applyBorder="1" applyAlignment="1">
      <alignment horizontal="center" vertical="center"/>
    </xf>
    <xf numFmtId="9" fontId="27" fillId="13" borderId="0" xfId="0" applyNumberFormat="1" applyFont="1" applyFill="1"/>
    <xf numFmtId="0" fontId="28" fillId="17" borderId="0" xfId="0" applyFont="1" applyFill="1"/>
    <xf numFmtId="0" fontId="28" fillId="14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9" borderId="0" xfId="2" applyNumberFormat="1"/>
    <xf numFmtId="0" fontId="38" fillId="0" borderId="0" xfId="0" applyFont="1"/>
    <xf numFmtId="0" fontId="13" fillId="0" borderId="0" xfId="0" applyFont="1"/>
    <xf numFmtId="0" fontId="45" fillId="14" borderId="0" xfId="0" applyFont="1" applyFill="1" applyAlignment="1">
      <alignment vertical="center"/>
    </xf>
    <xf numFmtId="0" fontId="45" fillId="17" borderId="0" xfId="0" applyFont="1" applyFill="1" applyAlignment="1">
      <alignment vertical="center"/>
    </xf>
    <xf numFmtId="0" fontId="38" fillId="13" borderId="0" xfId="0" applyFont="1" applyFill="1"/>
    <xf numFmtId="0" fontId="31" fillId="13" borderId="0" xfId="0" applyFont="1" applyFill="1"/>
    <xf numFmtId="170" fontId="28" fillId="14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4" fillId="0" borderId="0" xfId="0" applyFont="1"/>
    <xf numFmtId="38" fontId="20" fillId="20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1" borderId="0" xfId="0" applyNumberFormat="1" applyFont="1" applyFill="1" applyAlignment="1">
      <alignment horizontal="left"/>
    </xf>
    <xf numFmtId="38" fontId="22" fillId="24" borderId="0" xfId="0" applyNumberFormat="1" applyFont="1" applyFill="1"/>
    <xf numFmtId="0" fontId="26" fillId="27" borderId="1" xfId="0" applyFont="1" applyFill="1" applyBorder="1" applyAlignment="1">
      <alignment horizontal="center"/>
    </xf>
    <xf numFmtId="0" fontId="55" fillId="25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5" borderId="19" xfId="0" applyFont="1" applyFill="1" applyBorder="1"/>
    <xf numFmtId="0" fontId="15" fillId="24" borderId="142" xfId="0" applyFont="1" applyFill="1" applyBorder="1"/>
    <xf numFmtId="0" fontId="15" fillId="0" borderId="156" xfId="0" applyFont="1" applyBorder="1"/>
    <xf numFmtId="0" fontId="15" fillId="0" borderId="151" xfId="0" applyFont="1" applyBorder="1" applyAlignment="1">
      <alignment horizontal="right"/>
    </xf>
    <xf numFmtId="0" fontId="15" fillId="0" borderId="157" xfId="0" applyFont="1" applyBorder="1" applyAlignment="1">
      <alignment horizontal="right"/>
    </xf>
    <xf numFmtId="0" fontId="15" fillId="0" borderId="154" xfId="0" applyFont="1" applyBorder="1" applyAlignment="1">
      <alignment horizontal="right" vertical="top"/>
    </xf>
    <xf numFmtId="0" fontId="15" fillId="0" borderId="25" xfId="0" applyFont="1" applyBorder="1"/>
    <xf numFmtId="0" fontId="15" fillId="0" borderId="152" xfId="0" applyFont="1" applyBorder="1"/>
    <xf numFmtId="0" fontId="26" fillId="24" borderId="142" xfId="0" applyFont="1" applyFill="1" applyBorder="1"/>
    <xf numFmtId="0" fontId="54" fillId="0" borderId="140" xfId="0" applyFont="1" applyBorder="1" applyAlignment="1">
      <alignment horizontal="right" vertical="top"/>
    </xf>
    <xf numFmtId="0" fontId="54" fillId="26" borderId="140" xfId="0" applyFont="1" applyFill="1" applyBorder="1" applyAlignment="1">
      <alignment horizontal="right" vertical="top"/>
    </xf>
    <xf numFmtId="0" fontId="55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6" fillId="24" borderId="153" xfId="0" applyFont="1" applyFill="1" applyBorder="1" applyAlignment="1">
      <alignment horizontal="center"/>
    </xf>
    <xf numFmtId="0" fontId="26" fillId="24" borderId="154" xfId="0" applyFont="1" applyFill="1" applyBorder="1" applyAlignment="1">
      <alignment horizontal="center"/>
    </xf>
    <xf numFmtId="0" fontId="26" fillId="24" borderId="153" xfId="0" applyFont="1" applyFill="1" applyBorder="1" applyAlignment="1"/>
    <xf numFmtId="0" fontId="26" fillId="27" borderId="113" xfId="0" applyFont="1" applyFill="1" applyBorder="1" applyAlignment="1">
      <alignment horizontal="center" wrapText="1"/>
    </xf>
    <xf numFmtId="0" fontId="26" fillId="27" borderId="146" xfId="0" applyFont="1" applyFill="1" applyBorder="1" applyAlignment="1">
      <alignment horizontal="center" wrapText="1"/>
    </xf>
    <xf numFmtId="0" fontId="55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4" borderId="159" xfId="0" applyNumberFormat="1" applyFont="1" applyFill="1" applyBorder="1"/>
    <xf numFmtId="3" fontId="15" fillId="24" borderId="111" xfId="0" applyNumberFormat="1" applyFont="1" applyFill="1" applyBorder="1"/>
    <xf numFmtId="3" fontId="15" fillId="24" borderId="141" xfId="0" applyNumberFormat="1" applyFont="1" applyFill="1" applyBorder="1"/>
    <xf numFmtId="3" fontId="15" fillId="24" borderId="151" xfId="0" applyNumberFormat="1" applyFont="1" applyFill="1" applyBorder="1"/>
    <xf numFmtId="3" fontId="15" fillId="24" borderId="108" xfId="0" applyNumberFormat="1" applyFont="1" applyFill="1" applyBorder="1"/>
    <xf numFmtId="3" fontId="27" fillId="24" borderId="151" xfId="0" applyNumberFormat="1" applyFont="1" applyFill="1" applyBorder="1"/>
    <xf numFmtId="172" fontId="27" fillId="24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4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7" borderId="67" xfId="3" applyFont="1" applyFill="1" applyBorder="1" applyAlignment="1">
      <alignment horizontal="center"/>
    </xf>
    <xf numFmtId="0" fontId="55" fillId="27" borderId="18" xfId="3" applyFont="1" applyFill="1" applyBorder="1" applyAlignment="1">
      <alignment horizontal="center"/>
    </xf>
    <xf numFmtId="0" fontId="55" fillId="27" borderId="143" xfId="3" applyFont="1" applyFill="1" applyBorder="1" applyAlignment="1">
      <alignment horizontal="center"/>
    </xf>
    <xf numFmtId="0" fontId="26" fillId="27" borderId="59" xfId="0" applyFont="1" applyFill="1" applyBorder="1" applyAlignment="1">
      <alignment horizontal="center"/>
    </xf>
    <xf numFmtId="0" fontId="26" fillId="27" borderId="18" xfId="0" applyFont="1" applyFill="1" applyBorder="1" applyAlignment="1">
      <alignment horizontal="center"/>
    </xf>
    <xf numFmtId="0" fontId="26" fillId="27" borderId="143" xfId="0" applyFont="1" applyFill="1" applyBorder="1" applyAlignment="1">
      <alignment horizontal="center"/>
    </xf>
    <xf numFmtId="0" fontId="26" fillId="27" borderId="136" xfId="0" applyFont="1" applyFill="1" applyBorder="1" applyAlignment="1">
      <alignment horizontal="center"/>
    </xf>
    <xf numFmtId="0" fontId="26" fillId="27" borderId="19" xfId="0" applyFont="1" applyFill="1" applyBorder="1" applyAlignment="1">
      <alignment horizontal="center"/>
    </xf>
    <xf numFmtId="0" fontId="55" fillId="27" borderId="113" xfId="0" applyNumberFormat="1" applyFont="1" applyFill="1" applyBorder="1" applyAlignment="1">
      <alignment horizontal="center"/>
    </xf>
    <xf numFmtId="0" fontId="55" fillId="27" borderId="146" xfId="0" applyNumberFormat="1" applyFont="1" applyFill="1" applyBorder="1" applyAlignment="1">
      <alignment horizontal="center"/>
    </xf>
    <xf numFmtId="0" fontId="28" fillId="27" borderId="0" xfId="0" applyFont="1" applyFill="1"/>
    <xf numFmtId="0" fontId="56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5" fillId="27" borderId="55" xfId="0" applyFont="1" applyFill="1" applyBorder="1"/>
    <xf numFmtId="0" fontId="55" fillId="27" borderId="56" xfId="0" applyFont="1" applyFill="1" applyBorder="1"/>
    <xf numFmtId="0" fontId="54" fillId="0" borderId="154" xfId="0" applyFont="1" applyBorder="1" applyAlignment="1">
      <alignment horizontal="right" vertical="top"/>
    </xf>
    <xf numFmtId="0" fontId="54" fillId="26" borderId="154" xfId="0" applyFont="1" applyFill="1" applyBorder="1" applyAlignment="1">
      <alignment horizontal="right" vertical="top"/>
    </xf>
    <xf numFmtId="0" fontId="15" fillId="24" borderId="61" xfId="0" applyFont="1" applyFill="1" applyBorder="1"/>
    <xf numFmtId="0" fontId="15" fillId="24" borderId="11" xfId="0" applyFont="1" applyFill="1" applyBorder="1"/>
    <xf numFmtId="0" fontId="15" fillId="24" borderId="60" xfId="0" applyFont="1" applyFill="1" applyBorder="1"/>
    <xf numFmtId="0" fontId="55" fillId="27" borderId="12" xfId="0" applyFont="1" applyFill="1" applyBorder="1" applyAlignment="1"/>
    <xf numFmtId="0" fontId="55" fillId="27" borderId="17" xfId="0" applyFont="1" applyFill="1" applyBorder="1" applyAlignment="1"/>
    <xf numFmtId="0" fontId="55" fillId="27" borderId="0" xfId="0" applyFont="1" applyFill="1" applyBorder="1" applyAlignment="1"/>
    <xf numFmtId="0" fontId="55" fillId="27" borderId="88" xfId="0" applyFont="1" applyFill="1" applyBorder="1" applyAlignment="1">
      <alignment horizontal="center"/>
    </xf>
    <xf numFmtId="0" fontId="55" fillId="25" borderId="20" xfId="0" applyFont="1" applyFill="1" applyBorder="1"/>
    <xf numFmtId="0" fontId="54" fillId="26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6" borderId="1" xfId="0" applyFont="1" applyFill="1" applyBorder="1" applyAlignment="1">
      <alignment horizontal="right" vertical="top"/>
    </xf>
    <xf numFmtId="0" fontId="55" fillId="25" borderId="7" xfId="0" applyFont="1" applyFill="1" applyBorder="1" applyAlignment="1">
      <alignment horizontal="right"/>
    </xf>
    <xf numFmtId="0" fontId="56" fillId="26" borderId="154" xfId="0" applyFont="1" applyFill="1" applyBorder="1" applyAlignment="1">
      <alignment horizontal="right"/>
    </xf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7" borderId="7" xfId="0" applyFont="1" applyFill="1" applyBorder="1"/>
    <xf numFmtId="0" fontId="54" fillId="26" borderId="154" xfId="0" applyFont="1" applyFill="1" applyBorder="1" applyAlignment="1">
      <alignment horizontal="right"/>
    </xf>
    <xf numFmtId="0" fontId="55" fillId="27" borderId="54" xfId="0" applyFont="1" applyFill="1" applyBorder="1"/>
    <xf numFmtId="0" fontId="54" fillId="26" borderId="136" xfId="0" applyFont="1" applyFill="1" applyBorder="1" applyAlignment="1">
      <alignment horizontal="right"/>
    </xf>
    <xf numFmtId="0" fontId="54" fillId="26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6" borderId="136" xfId="0" applyFont="1" applyFill="1" applyBorder="1" applyAlignment="1">
      <alignment horizontal="right" vertical="top"/>
    </xf>
    <xf numFmtId="0" fontId="55" fillId="27" borderId="7" xfId="0" applyFont="1" applyFill="1" applyBorder="1"/>
    <xf numFmtId="0" fontId="56" fillId="0" borderId="140" xfId="0" applyFont="1" applyBorder="1" applyAlignment="1">
      <alignment horizontal="right" vertical="top"/>
    </xf>
    <xf numFmtId="0" fontId="56" fillId="0" borderId="160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29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4" borderId="0" xfId="0" applyFont="1" applyFill="1"/>
    <xf numFmtId="168" fontId="56" fillId="0" borderId="160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7" borderId="161" xfId="0" applyFont="1" applyFill="1" applyBorder="1"/>
    <xf numFmtId="0" fontId="27" fillId="27" borderId="24" xfId="0" applyFont="1" applyFill="1" applyBorder="1"/>
    <xf numFmtId="0" fontId="27" fillId="27" borderId="25" xfId="0" applyFont="1" applyFill="1" applyBorder="1"/>
    <xf numFmtId="0" fontId="27" fillId="27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1" borderId="12" xfId="0" applyFont="1" applyFill="1" applyBorder="1" applyAlignment="1">
      <alignment vertical="center"/>
    </xf>
    <xf numFmtId="0" fontId="0" fillId="0" borderId="0" xfId="0" applyBorder="1"/>
    <xf numFmtId="0" fontId="27" fillId="10" borderId="113" xfId="0" applyFont="1" applyFill="1" applyBorder="1" applyAlignment="1">
      <alignment horizontal="center" vertical="center"/>
    </xf>
    <xf numFmtId="0" fontId="27" fillId="10" borderId="141" xfId="0" applyFont="1" applyFill="1" applyBorder="1" applyAlignment="1">
      <alignment horizontal="center" vertical="center"/>
    </xf>
    <xf numFmtId="0" fontId="27" fillId="10" borderId="107" xfId="0" applyFont="1" applyFill="1" applyBorder="1" applyAlignment="1">
      <alignment horizontal="center" vertical="center"/>
    </xf>
    <xf numFmtId="0" fontId="60" fillId="10" borderId="12" xfId="0" applyFont="1" applyFill="1" applyBorder="1" applyAlignment="1">
      <alignment vertical="center"/>
    </xf>
    <xf numFmtId="0" fontId="27" fillId="28" borderId="115" xfId="0" quotePrefix="1" applyFont="1" applyFill="1" applyBorder="1" applyAlignment="1">
      <alignment horizontal="right" vertical="top"/>
    </xf>
    <xf numFmtId="0" fontId="27" fillId="28" borderId="114" xfId="0" quotePrefix="1" applyFont="1" applyFill="1" applyBorder="1" applyAlignment="1">
      <alignment horizontal="right" vertical="top"/>
    </xf>
    <xf numFmtId="0" fontId="27" fillId="26" borderId="136" xfId="0" quotePrefix="1" applyFont="1" applyFill="1" applyBorder="1" applyAlignment="1">
      <alignment horizontal="right" vertical="top"/>
    </xf>
    <xf numFmtId="0" fontId="27" fillId="26" borderId="140" xfId="0" quotePrefix="1" applyFont="1" applyFill="1" applyBorder="1" applyAlignment="1">
      <alignment horizontal="right" vertical="top"/>
    </xf>
    <xf numFmtId="0" fontId="27" fillId="28" borderId="136" xfId="0" quotePrefix="1" applyFont="1" applyFill="1" applyBorder="1" applyAlignment="1">
      <alignment horizontal="right" vertical="top"/>
    </xf>
    <xf numFmtId="0" fontId="27" fillId="28" borderId="140" xfId="0" quotePrefix="1" applyFont="1" applyFill="1" applyBorder="1" applyAlignment="1">
      <alignment horizontal="right" vertical="top"/>
    </xf>
    <xf numFmtId="0" fontId="27" fillId="26" borderId="108" xfId="0" quotePrefix="1" applyFont="1" applyFill="1" applyBorder="1" applyAlignment="1">
      <alignment horizontal="right" vertical="top"/>
    </xf>
    <xf numFmtId="0" fontId="61" fillId="26" borderId="111" xfId="0" applyFont="1" applyFill="1" applyBorder="1" applyAlignment="1">
      <alignment vertical="center"/>
    </xf>
    <xf numFmtId="0" fontId="26" fillId="30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2" borderId="136" xfId="0" quotePrefix="1" applyNumberFormat="1" applyFont="1" applyFill="1" applyBorder="1" applyAlignment="1">
      <alignment horizontal="right" vertical="top"/>
    </xf>
    <xf numFmtId="0" fontId="54" fillId="11" borderId="12" xfId="0" applyFont="1" applyFill="1" applyBorder="1" applyAlignment="1">
      <alignment vertical="center"/>
    </xf>
    <xf numFmtId="0" fontId="31" fillId="6" borderId="152" xfId="0" applyFont="1" applyFill="1" applyBorder="1" applyAlignment="1">
      <alignment horizontal="center" vertical="center" wrapText="1"/>
    </xf>
    <xf numFmtId="1" fontId="27" fillId="16" borderId="115" xfId="0" applyNumberFormat="1" applyFont="1" applyFill="1" applyBorder="1" applyAlignment="1">
      <alignment horizontal="right" vertical="center"/>
    </xf>
    <xf numFmtId="1" fontId="27" fillId="16" borderId="136" xfId="0" applyNumberFormat="1" applyFont="1" applyFill="1" applyBorder="1" applyAlignment="1">
      <alignment horizontal="right" vertical="center"/>
    </xf>
    <xf numFmtId="0" fontId="27" fillId="28" borderId="96" xfId="0" quotePrefix="1" applyFont="1" applyFill="1" applyBorder="1" applyAlignment="1">
      <alignment horizontal="right" vertical="top"/>
    </xf>
    <xf numFmtId="0" fontId="27" fillId="28" borderId="95" xfId="0" quotePrefix="1" applyFont="1" applyFill="1" applyBorder="1" applyAlignment="1">
      <alignment horizontal="right" vertical="top"/>
    </xf>
    <xf numFmtId="0" fontId="27" fillId="28" borderId="61" xfId="0" quotePrefix="1" applyFont="1" applyFill="1" applyBorder="1" applyAlignment="1">
      <alignment horizontal="right" vertical="top"/>
    </xf>
    <xf numFmtId="0" fontId="27" fillId="28" borderId="60" xfId="0" quotePrefix="1" applyFont="1" applyFill="1" applyBorder="1" applyAlignment="1">
      <alignment horizontal="right" vertical="top"/>
    </xf>
    <xf numFmtId="3" fontId="26" fillId="30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1" borderId="59" xfId="0" applyFont="1" applyFill="1" applyBorder="1" applyAlignment="1">
      <alignment vertical="center"/>
    </xf>
    <xf numFmtId="0" fontId="27" fillId="11" borderId="67" xfId="0" applyFont="1" applyFill="1" applyBorder="1" applyAlignment="1">
      <alignment vertical="center"/>
    </xf>
    <xf numFmtId="0" fontId="27" fillId="11" borderId="54" xfId="0" applyFont="1" applyFill="1" applyBorder="1" applyAlignment="1">
      <alignment vertical="center"/>
    </xf>
    <xf numFmtId="1" fontId="27" fillId="16" borderId="96" xfId="0" applyNumberFormat="1" applyFont="1" applyFill="1" applyBorder="1" applyAlignment="1">
      <alignment horizontal="right" vertical="center"/>
    </xf>
    <xf numFmtId="1" fontId="27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0" fontId="62" fillId="10" borderId="59" xfId="0" applyFont="1" applyFill="1" applyBorder="1" applyAlignment="1">
      <alignment vertical="center"/>
    </xf>
    <xf numFmtId="0" fontId="62" fillId="10" borderId="18" xfId="0" applyFont="1" applyFill="1" applyBorder="1" applyAlignment="1">
      <alignment vertical="center"/>
    </xf>
    <xf numFmtId="0" fontId="62" fillId="10" borderId="143" xfId="0" applyFont="1" applyFill="1" applyBorder="1" applyAlignment="1">
      <alignment vertical="center"/>
    </xf>
    <xf numFmtId="0" fontId="62" fillId="10" borderId="26" xfId="0" applyFont="1" applyFill="1" applyBorder="1" applyAlignment="1">
      <alignment vertical="center"/>
    </xf>
    <xf numFmtId="0" fontId="62" fillId="10" borderId="2" xfId="0" applyFont="1" applyFill="1" applyBorder="1" applyAlignment="1">
      <alignment vertical="center"/>
    </xf>
    <xf numFmtId="0" fontId="62" fillId="10" borderId="144" xfId="0" applyFont="1" applyFill="1" applyBorder="1" applyAlignment="1">
      <alignment vertical="center"/>
    </xf>
    <xf numFmtId="0" fontId="44" fillId="0" borderId="165" xfId="0" applyNumberFormat="1" applyFont="1" applyBorder="1" applyAlignment="1"/>
    <xf numFmtId="0" fontId="44" fillId="33" borderId="165" xfId="0" applyNumberFormat="1" applyFont="1" applyFill="1" applyBorder="1" applyAlignment="1"/>
    <xf numFmtId="0" fontId="26" fillId="29" borderId="8" xfId="0" applyNumberFormat="1" applyFont="1" applyFill="1" applyBorder="1" applyAlignment="1" applyProtection="1">
      <protection locked="0"/>
    </xf>
    <xf numFmtId="38" fontId="26" fillId="29" borderId="8" xfId="0" applyNumberFormat="1" applyFont="1" applyFill="1" applyBorder="1" applyAlignment="1" applyProtection="1">
      <alignment vertical="center" wrapText="1"/>
    </xf>
    <xf numFmtId="2" fontId="26" fillId="29" borderId="144" xfId="0" applyNumberFormat="1" applyFont="1" applyFill="1" applyBorder="1" applyAlignment="1" applyProtection="1">
      <alignment horizontal="right"/>
      <protection locked="0"/>
    </xf>
    <xf numFmtId="49" fontId="19" fillId="0" borderId="0" xfId="0" applyNumberFormat="1" applyFont="1"/>
    <xf numFmtId="2" fontId="44" fillId="0" borderId="165" xfId="0" applyNumberFormat="1" applyFont="1" applyBorder="1" applyAlignment="1"/>
    <xf numFmtId="2" fontId="44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70" fontId="16" fillId="6" borderId="2" xfId="0" applyNumberFormat="1" applyFont="1" applyFill="1" applyBorder="1" applyAlignment="1">
      <alignment horizontal="center" vertical="center" wrapText="1"/>
    </xf>
    <xf numFmtId="170" fontId="16" fillId="6" borderId="4" xfId="0" applyNumberFormat="1" applyFont="1" applyFill="1" applyBorder="1" applyAlignment="1">
      <alignment horizontal="center" vertical="center" wrapText="1"/>
    </xf>
    <xf numFmtId="0" fontId="30" fillId="12" borderId="3" xfId="0" applyFont="1" applyFill="1" applyBorder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4" fillId="33" borderId="0" xfId="0" applyNumberFormat="1" applyFont="1" applyFill="1" applyBorder="1" applyAlignment="1"/>
    <xf numFmtId="2" fontId="44" fillId="33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3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3" borderId="59" xfId="0" applyNumberFormat="1" applyFont="1" applyFill="1" applyBorder="1" applyAlignment="1"/>
    <xf numFmtId="2" fontId="44" fillId="33" borderId="18" xfId="0" applyNumberFormat="1" applyFont="1" applyFill="1" applyBorder="1" applyAlignment="1"/>
    <xf numFmtId="0" fontId="44" fillId="33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3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5" borderId="0" xfId="0" applyFill="1"/>
    <xf numFmtId="0" fontId="34" fillId="35" borderId="0" xfId="0" applyFont="1" applyFill="1"/>
    <xf numFmtId="0" fontId="59" fillId="25" borderId="162" xfId="0" quotePrefix="1" applyFont="1" applyFill="1" applyBorder="1" applyAlignment="1">
      <alignment horizontal="center" wrapText="1"/>
    </xf>
    <xf numFmtId="0" fontId="59" fillId="25" borderId="163" xfId="0" quotePrefix="1" applyFont="1" applyFill="1" applyBorder="1" applyAlignment="1">
      <alignment horizontal="center" wrapText="1"/>
    </xf>
    <xf numFmtId="166" fontId="27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5" fillId="0" borderId="0" xfId="0" applyFont="1"/>
    <xf numFmtId="0" fontId="14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7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7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7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6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6" borderId="1" xfId="0" applyNumberFormat="1" applyFont="1" applyFill="1" applyBorder="1" applyAlignment="1">
      <alignment horizontal="left" vertical="center"/>
    </xf>
    <xf numFmtId="3" fontId="54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5" fillId="29" borderId="144" xfId="0" applyNumberFormat="1" applyFont="1" applyFill="1" applyBorder="1"/>
    <xf numFmtId="0" fontId="14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5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6" borderId="136" xfId="0" applyNumberFormat="1" applyFont="1" applyFill="1" applyBorder="1" applyAlignment="1">
      <alignment horizontal="left" vertical="center"/>
    </xf>
    <xf numFmtId="2" fontId="56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4" fillId="16" borderId="15" xfId="0" applyNumberFormat="1" applyFont="1" applyFill="1" applyBorder="1" applyAlignment="1">
      <alignment horizontal="left" vertical="center"/>
    </xf>
    <xf numFmtId="3" fontId="54" fillId="32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1" fillId="13" borderId="65" xfId="0" applyFont="1" applyFill="1" applyBorder="1"/>
    <xf numFmtId="1" fontId="34" fillId="18" borderId="106" xfId="0" applyNumberFormat="1" applyFont="1" applyFill="1" applyBorder="1" applyAlignment="1">
      <alignment horizontal="center"/>
    </xf>
    <xf numFmtId="0" fontId="44" fillId="33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0" fontId="60" fillId="5" borderId="0" xfId="0" applyFont="1" applyFill="1" applyBorder="1" applyAlignment="1">
      <alignment vertical="center"/>
    </xf>
    <xf numFmtId="0" fontId="30" fillId="12" borderId="3" xfId="0" applyFont="1" applyFill="1" applyBorder="1" applyAlignment="1">
      <alignment horizontal="center" vertical="center"/>
    </xf>
    <xf numFmtId="0" fontId="60" fillId="11" borderId="0" xfId="0" applyFont="1" applyFill="1" applyBorder="1" applyAlignment="1">
      <alignment vertical="center"/>
    </xf>
    <xf numFmtId="0" fontId="41" fillId="0" borderId="0" xfId="0" applyFont="1" applyAlignment="1">
      <alignment horizontal="center"/>
    </xf>
    <xf numFmtId="0" fontId="55" fillId="29" borderId="0" xfId="0" applyFont="1" applyFill="1"/>
    <xf numFmtId="168" fontId="60" fillId="11" borderId="0" xfId="0" applyNumberFormat="1" applyFont="1" applyFill="1" applyBorder="1" applyAlignment="1">
      <alignment vertical="center"/>
    </xf>
    <xf numFmtId="168" fontId="60" fillId="5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7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6" fillId="30" borderId="158" xfId="0" applyNumberFormat="1" applyFont="1" applyFill="1" applyBorder="1" applyAlignment="1">
      <alignment vertical="center"/>
    </xf>
    <xf numFmtId="0" fontId="14" fillId="35" borderId="0" xfId="0" applyFont="1" applyFill="1"/>
    <xf numFmtId="0" fontId="27" fillId="15" borderId="0" xfId="0" applyFont="1" applyFill="1"/>
    <xf numFmtId="11" fontId="27" fillId="15" borderId="0" xfId="0" applyNumberFormat="1" applyFont="1" applyFill="1"/>
    <xf numFmtId="167" fontId="26" fillId="29" borderId="0" xfId="0" applyNumberFormat="1" applyFont="1" applyFill="1"/>
    <xf numFmtId="0" fontId="55" fillId="25" borderId="169" xfId="0" applyFont="1" applyFill="1" applyBorder="1" applyAlignment="1">
      <alignment wrapText="1"/>
    </xf>
    <xf numFmtId="168" fontId="26" fillId="29" borderId="0" xfId="0" applyNumberFormat="1" applyFont="1" applyFill="1"/>
    <xf numFmtId="0" fontId="44" fillId="0" borderId="171" xfId="0" applyNumberFormat="1" applyFont="1" applyBorder="1" applyAlignment="1"/>
    <xf numFmtId="2" fontId="44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4" fillId="35" borderId="0" xfId="0" applyNumberFormat="1" applyFont="1" applyFill="1"/>
    <xf numFmtId="2" fontId="34" fillId="35" borderId="0" xfId="0" applyNumberFormat="1" applyFont="1" applyFill="1"/>
    <xf numFmtId="167" fontId="34" fillId="35" borderId="0" xfId="0" applyNumberFormat="1" applyFont="1" applyFill="1"/>
    <xf numFmtId="1" fontId="34" fillId="35" borderId="0" xfId="0" applyNumberFormat="1" applyFont="1" applyFill="1"/>
    <xf numFmtId="169" fontId="34" fillId="35" borderId="0" xfId="0" applyNumberFormat="1" applyFont="1" applyFill="1"/>
    <xf numFmtId="0" fontId="34" fillId="5" borderId="0" xfId="0" applyFont="1" applyFill="1"/>
    <xf numFmtId="10" fontId="8" fillId="5" borderId="0" xfId="1" applyNumberFormat="1" applyFont="1" applyFill="1"/>
    <xf numFmtId="168" fontId="34" fillId="5" borderId="0" xfId="0" applyNumberFormat="1" applyFont="1" applyFill="1"/>
    <xf numFmtId="2" fontId="34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4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4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4" fillId="6" borderId="2" xfId="0" applyFont="1" applyFill="1" applyBorder="1" applyAlignment="1">
      <alignment horizontal="left" vertical="center" wrapText="1"/>
    </xf>
    <xf numFmtId="0" fontId="34" fillId="6" borderId="4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13" borderId="0" xfId="0" applyFont="1" applyFill="1"/>
    <xf numFmtId="2" fontId="44" fillId="0" borderId="154" xfId="0" applyNumberFormat="1" applyFont="1" applyBorder="1" applyAlignment="1">
      <alignment horizontal="left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0" fontId="27" fillId="36" borderId="6" xfId="0" applyFont="1" applyFill="1" applyBorder="1" applyAlignment="1">
      <alignment horizontal="left" vertical="center"/>
    </xf>
    <xf numFmtId="0" fontId="27" fillId="36" borderId="6" xfId="0" applyFont="1" applyFill="1" applyBorder="1" applyAlignment="1" applyProtection="1">
      <alignment horizontal="left" vertical="center"/>
      <protection locked="0"/>
    </xf>
    <xf numFmtId="0" fontId="27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54" xfId="0" applyNumberFormat="1" applyFont="1" applyFill="1" applyBorder="1" applyAlignment="1">
      <alignment horizontal="left"/>
    </xf>
    <xf numFmtId="167" fontId="44" fillId="0" borderId="154" xfId="0" applyNumberFormat="1" applyFont="1" applyBorder="1" applyAlignment="1">
      <alignment horizontal="left"/>
    </xf>
    <xf numFmtId="0" fontId="14" fillId="0" borderId="0" xfId="0" applyFont="1" applyFill="1" applyAlignment="1">
      <alignment horizontal="right"/>
    </xf>
    <xf numFmtId="0" fontId="44" fillId="0" borderId="139" xfId="0" applyNumberFormat="1" applyFont="1" applyBorder="1" applyAlignment="1"/>
    <xf numFmtId="2" fontId="44" fillId="0" borderId="167" xfId="0" applyNumberFormat="1" applyFont="1" applyBorder="1" applyAlignment="1">
      <alignment horizontal="left"/>
    </xf>
    <xf numFmtId="2" fontId="31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67" xfId="0" applyNumberFormat="1" applyFont="1" applyFill="1" applyBorder="1" applyAlignment="1">
      <alignment horizontal="left"/>
    </xf>
    <xf numFmtId="167" fontId="44" fillId="0" borderId="1" xfId="0" applyNumberFormat="1" applyFont="1" applyBorder="1" applyAlignment="1">
      <alignment horizontal="left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44" fillId="0" borderId="136" xfId="0" applyNumberFormat="1" applyFont="1" applyBorder="1" applyAlignment="1"/>
    <xf numFmtId="2" fontId="44" fillId="23" borderId="167" xfId="0" applyNumberFormat="1" applyFont="1" applyFill="1" applyBorder="1" applyAlignment="1">
      <alignment horizontal="left"/>
    </xf>
    <xf numFmtId="2" fontId="44" fillId="23" borderId="154" xfId="0" applyNumberFormat="1" applyFont="1" applyFill="1" applyBorder="1" applyAlignment="1">
      <alignment horizontal="left"/>
    </xf>
    <xf numFmtId="2" fontId="31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69" fillId="35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3" borderId="173" xfId="0" applyNumberFormat="1" applyFont="1" applyFill="1" applyBorder="1" applyAlignment="1">
      <alignment horizontal="left"/>
    </xf>
    <xf numFmtId="0" fontId="74" fillId="0" borderId="0" xfId="0" applyFont="1"/>
    <xf numFmtId="0" fontId="0" fillId="5" borderId="0" xfId="0" applyFill="1"/>
    <xf numFmtId="2" fontId="0" fillId="5" borderId="0" xfId="0" applyNumberFormat="1" applyFill="1"/>
    <xf numFmtId="1" fontId="36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4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4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4" fillId="0" borderId="136" xfId="0" applyFont="1" applyBorder="1" applyAlignment="1">
      <alignment vertical="center"/>
    </xf>
    <xf numFmtId="0" fontId="76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4" fillId="0" borderId="166" xfId="0" applyFont="1" applyBorder="1" applyAlignment="1">
      <alignment vertical="center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76" fillId="0" borderId="17" xfId="0" applyFont="1" applyFill="1" applyBorder="1"/>
    <xf numFmtId="170" fontId="28" fillId="9" borderId="0" xfId="2" applyNumberFormat="1" applyAlignment="1">
      <alignment vertical="center"/>
    </xf>
    <xf numFmtId="0" fontId="5" fillId="34" borderId="0" xfId="0" applyFont="1" applyFill="1" applyBorder="1"/>
    <xf numFmtId="170" fontId="12" fillId="14" borderId="0" xfId="0" applyNumberFormat="1" applyFont="1" applyFill="1"/>
    <xf numFmtId="0" fontId="83" fillId="0" borderId="0" xfId="0" applyFont="1" applyFill="1"/>
    <xf numFmtId="0" fontId="32" fillId="0" borderId="0" xfId="0" applyFont="1" applyFill="1"/>
    <xf numFmtId="0" fontId="28" fillId="9" borderId="0" xfId="2"/>
    <xf numFmtId="170" fontId="28" fillId="9" borderId="0" xfId="2" applyNumberFormat="1" applyBorder="1" applyAlignment="1" applyProtection="1"/>
    <xf numFmtId="2" fontId="54" fillId="5" borderId="0" xfId="0" applyNumberFormat="1" applyFont="1" applyFill="1"/>
    <xf numFmtId="166" fontId="8" fillId="5" borderId="0" xfId="0" applyNumberFormat="1" applyFont="1" applyFill="1"/>
    <xf numFmtId="166" fontId="34" fillId="35" borderId="0" xfId="0" applyNumberFormat="1" applyFont="1" applyFill="1"/>
    <xf numFmtId="169" fontId="12" fillId="0" borderId="0" xfId="0" applyNumberFormat="1" applyFont="1"/>
    <xf numFmtId="2" fontId="44" fillId="40" borderId="0" xfId="0" applyNumberFormat="1" applyFont="1" applyFill="1" applyBorder="1" applyAlignment="1">
      <alignment horizontal="left"/>
    </xf>
    <xf numFmtId="2" fontId="31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167" fontId="31" fillId="0" borderId="2" xfId="0" applyNumberFormat="1" applyFont="1" applyFill="1" applyBorder="1" applyAlignment="1" applyProtection="1">
      <protection locked="0"/>
    </xf>
    <xf numFmtId="173" fontId="60" fillId="11" borderId="0" xfId="0" applyNumberFormat="1" applyFont="1" applyFill="1" applyBorder="1" applyAlignment="1">
      <alignment vertical="center"/>
    </xf>
    <xf numFmtId="173" fontId="60" fillId="5" borderId="0" xfId="0" applyNumberFormat="1" applyFont="1" applyFill="1" applyBorder="1" applyAlignment="1">
      <alignment vertical="center"/>
    </xf>
    <xf numFmtId="173" fontId="67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4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5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77" xfId="0" applyNumberFormat="1" applyFont="1" applyBorder="1" applyAlignment="1">
      <alignment horizontal="center"/>
    </xf>
    <xf numFmtId="38" fontId="22" fillId="0" borderId="178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180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0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2" fillId="0" borderId="177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0" fillId="0" borderId="183" xfId="0" applyNumberFormat="1" applyFont="1" applyBorder="1" applyAlignment="1">
      <alignment horizontal="center"/>
    </xf>
    <xf numFmtId="38" fontId="20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2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171" fontId="20" fillId="6" borderId="0" xfId="0" applyNumberFormat="1" applyFont="1" applyFill="1" applyAlignment="1">
      <alignment horizontal="left"/>
    </xf>
    <xf numFmtId="171" fontId="20" fillId="8" borderId="0" xfId="0" applyNumberFormat="1" applyFont="1" applyFill="1" applyAlignment="1">
      <alignment horizontal="left"/>
    </xf>
    <xf numFmtId="38" fontId="22" fillId="8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4" borderId="161" xfId="0" applyNumberFormat="1" applyFont="1" applyFill="1" applyBorder="1" applyAlignment="1">
      <alignment horizontal="center" textRotation="90" wrapText="1"/>
    </xf>
    <xf numFmtId="38" fontId="22" fillId="24" borderId="24" xfId="0" applyNumberFormat="1" applyFont="1" applyFill="1" applyBorder="1" applyAlignment="1">
      <alignment horizontal="center" textRotation="90" wrapText="1"/>
    </xf>
    <xf numFmtId="38" fontId="22" fillId="24" borderId="2" xfId="0" applyNumberFormat="1" applyFont="1" applyFill="1" applyBorder="1" applyAlignment="1">
      <alignment horizontal="center" textRotation="90" wrapText="1"/>
    </xf>
    <xf numFmtId="38" fontId="22" fillId="20" borderId="21" xfId="0" applyNumberFormat="1" applyFont="1" applyFill="1" applyBorder="1" applyAlignment="1">
      <alignment horizontal="center" textRotation="90" wrapText="1"/>
    </xf>
    <xf numFmtId="38" fontId="22" fillId="20" borderId="22" xfId="0" applyNumberFormat="1" applyFont="1" applyFill="1" applyBorder="1" applyAlignment="1">
      <alignment horizontal="center" textRotation="90" wrapText="1"/>
    </xf>
    <xf numFmtId="38" fontId="22" fillId="20" borderId="23" xfId="0" applyNumberFormat="1" applyFont="1" applyFill="1" applyBorder="1" applyAlignment="1">
      <alignment horizontal="center" textRotation="90" wrapText="1"/>
    </xf>
    <xf numFmtId="38" fontId="22" fillId="20" borderId="25" xfId="0" applyNumberFormat="1" applyFont="1" applyFill="1" applyBorder="1" applyAlignment="1">
      <alignment horizontal="center" textRotation="90" wrapText="1"/>
    </xf>
    <xf numFmtId="169" fontId="13" fillId="0" borderId="0" xfId="0" applyNumberFormat="1" applyFont="1"/>
    <xf numFmtId="0" fontId="3" fillId="0" borderId="0" xfId="0" applyFont="1" applyFill="1" applyBorder="1"/>
    <xf numFmtId="168" fontId="34" fillId="0" borderId="0" xfId="0" applyNumberFormat="1" applyFont="1"/>
    <xf numFmtId="1" fontId="34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2" fillId="0" borderId="0" xfId="1" applyNumberFormat="1" applyFont="1"/>
    <xf numFmtId="2" fontId="8" fillId="5" borderId="0" xfId="0" applyNumberFormat="1" applyFont="1" applyFill="1"/>
    <xf numFmtId="2" fontId="13" fillId="0" borderId="0" xfId="0" applyNumberFormat="1" applyFont="1"/>
    <xf numFmtId="9" fontId="34" fillId="35" borderId="0" xfId="1" applyFont="1" applyFill="1"/>
    <xf numFmtId="9" fontId="69" fillId="0" borderId="0" xfId="1" applyFont="1"/>
    <xf numFmtId="9" fontId="34" fillId="0" borderId="0" xfId="1" applyFont="1"/>
    <xf numFmtId="9" fontId="69" fillId="35" borderId="0" xfId="1" applyFont="1" applyFill="1"/>
    <xf numFmtId="9" fontId="8" fillId="34" borderId="0" xfId="1" applyFont="1" applyFill="1" applyBorder="1"/>
    <xf numFmtId="9" fontId="13" fillId="0" borderId="0" xfId="1" applyFont="1"/>
    <xf numFmtId="2" fontId="34" fillId="5" borderId="0" xfId="0" applyNumberFormat="1" applyFont="1" applyFill="1"/>
    <xf numFmtId="9" fontId="34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4" fillId="5" borderId="0" xfId="0" applyNumberFormat="1" applyFont="1" applyFill="1" applyAlignment="1">
      <alignment horizontal="right"/>
    </xf>
    <xf numFmtId="4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right"/>
    </xf>
    <xf numFmtId="168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left"/>
    </xf>
    <xf numFmtId="174" fontId="34" fillId="35" borderId="0" xfId="0" applyNumberFormat="1" applyFont="1" applyFill="1" applyAlignment="1">
      <alignment horizontal="right"/>
    </xf>
    <xf numFmtId="3" fontId="34" fillId="35" borderId="0" xfId="0" applyNumberFormat="1" applyFont="1" applyFill="1" applyAlignment="1">
      <alignment horizontal="right"/>
    </xf>
    <xf numFmtId="173" fontId="34" fillId="35" borderId="0" xfId="0" applyNumberFormat="1" applyFont="1" applyFill="1" applyAlignment="1">
      <alignment horizontal="right"/>
    </xf>
    <xf numFmtId="2" fontId="34" fillId="5" borderId="0" xfId="0" applyNumberFormat="1" applyFont="1" applyFill="1" applyAlignment="1">
      <alignment horizontal="left"/>
    </xf>
    <xf numFmtId="2" fontId="34" fillId="5" borderId="0" xfId="0" applyNumberFormat="1" applyFont="1" applyFill="1" applyAlignment="1">
      <alignment horizontal="right"/>
    </xf>
    <xf numFmtId="0" fontId="34" fillId="5" borderId="0" xfId="0" applyFont="1" applyFill="1" applyAlignment="1">
      <alignment horizontal="right"/>
    </xf>
    <xf numFmtId="168" fontId="34" fillId="5" borderId="0" xfId="0" applyNumberFormat="1" applyFont="1" applyFill="1" applyAlignment="1">
      <alignment horizontal="right"/>
    </xf>
    <xf numFmtId="174" fontId="34" fillId="5" borderId="0" xfId="0" applyNumberFormat="1" applyFont="1" applyFill="1" applyAlignment="1">
      <alignment horizontal="right"/>
    </xf>
    <xf numFmtId="173" fontId="34" fillId="5" borderId="0" xfId="0" applyNumberFormat="1" applyFont="1" applyFill="1" applyAlignment="1">
      <alignment horizontal="right"/>
    </xf>
    <xf numFmtId="0" fontId="34" fillId="0" borderId="0" xfId="0" applyFont="1" applyAlignment="1">
      <alignment horizontal="center"/>
    </xf>
    <xf numFmtId="2" fontId="34" fillId="35" borderId="0" xfId="0" applyNumberFormat="1" applyFont="1" applyFill="1" applyAlignment="1">
      <alignment horizontal="right"/>
    </xf>
    <xf numFmtId="2" fontId="64" fillId="29" borderId="146" xfId="0" applyNumberFormat="1" applyFont="1" applyFill="1" applyBorder="1" applyAlignment="1" applyProtection="1">
      <protection locked="0"/>
    </xf>
    <xf numFmtId="2" fontId="64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4" fillId="5" borderId="0" xfId="0" applyNumberFormat="1" applyFont="1" applyFill="1" applyBorder="1"/>
    <xf numFmtId="0" fontId="31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4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4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4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4" fillId="28" borderId="118" xfId="5" quotePrefix="1" applyNumberFormat="1" applyFont="1" applyFill="1" applyBorder="1" applyAlignment="1">
      <alignment horizontal="right" vertical="top"/>
    </xf>
    <xf numFmtId="175" fontId="44" fillId="26" borderId="1" xfId="5" quotePrefix="1" applyNumberFormat="1" applyFont="1" applyFill="1" applyBorder="1" applyAlignment="1">
      <alignment horizontal="right" vertical="top"/>
    </xf>
    <xf numFmtId="175" fontId="44" fillId="28" borderId="1" xfId="5" quotePrefix="1" applyNumberFormat="1" applyFont="1" applyFill="1" applyBorder="1" applyAlignment="1">
      <alignment horizontal="right" vertical="top"/>
    </xf>
    <xf numFmtId="165" fontId="34" fillId="0" borderId="0" xfId="0" applyNumberFormat="1" applyFont="1"/>
    <xf numFmtId="10" fontId="44" fillId="23" borderId="154" xfId="1" applyNumberFormat="1" applyFont="1" applyFill="1" applyBorder="1" applyAlignment="1">
      <alignment horizontal="left"/>
    </xf>
    <xf numFmtId="168" fontId="13" fillId="7" borderId="0" xfId="0" applyNumberFormat="1" applyFont="1" applyFill="1"/>
    <xf numFmtId="0" fontId="31" fillId="6" borderId="3" xfId="0" applyFont="1" applyFill="1" applyBorder="1" applyAlignment="1">
      <alignment horizontal="left" vertical="center" wrapText="1"/>
    </xf>
    <xf numFmtId="0" fontId="31" fillId="6" borderId="3" xfId="0" quotePrefix="1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14" fillId="35" borderId="59" xfId="0" applyFont="1" applyFill="1" applyBorder="1"/>
    <xf numFmtId="0" fontId="14" fillId="35" borderId="18" xfId="0" applyFont="1" applyFill="1" applyBorder="1"/>
    <xf numFmtId="0" fontId="0" fillId="35" borderId="18" xfId="0" applyFill="1" applyBorder="1"/>
    <xf numFmtId="0" fontId="34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4" fillId="35" borderId="2" xfId="0" applyFont="1" applyFill="1" applyBorder="1"/>
    <xf numFmtId="168" fontId="0" fillId="35" borderId="2" xfId="0" applyNumberFormat="1" applyFill="1" applyBorder="1"/>
    <xf numFmtId="2" fontId="38" fillId="0" borderId="0" xfId="0" applyNumberFormat="1" applyFont="1" applyFill="1" applyBorder="1" applyAlignment="1" applyProtection="1">
      <protection locked="0"/>
    </xf>
    <xf numFmtId="2" fontId="31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5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1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0" fontId="31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4" fillId="34" borderId="139" xfId="0" applyNumberFormat="1" applyFont="1" applyFill="1" applyBorder="1" applyAlignment="1"/>
    <xf numFmtId="0" fontId="31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1" fillId="12" borderId="154" xfId="0" applyNumberFormat="1" applyFont="1" applyFill="1" applyBorder="1" applyAlignment="1">
      <alignment vertical="center"/>
    </xf>
    <xf numFmtId="0" fontId="31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8" fillId="0" borderId="55" xfId="0" applyNumberFormat="1" applyFont="1" applyFill="1" applyBorder="1" applyAlignment="1" applyProtection="1">
      <protection locked="0"/>
    </xf>
    <xf numFmtId="0" fontId="38" fillId="0" borderId="56" xfId="0" applyNumberFormat="1" applyFont="1" applyFill="1" applyBorder="1" applyAlignment="1" applyProtection="1">
      <alignment horizontal="center"/>
      <protection locked="0"/>
    </xf>
    <xf numFmtId="0" fontId="38" fillId="0" borderId="54" xfId="0" applyNumberFormat="1" applyFont="1" applyFill="1" applyBorder="1" applyAlignment="1" applyProtection="1">
      <alignment horizontal="center"/>
      <protection locked="0"/>
    </xf>
    <xf numFmtId="0" fontId="38" fillId="0" borderId="59" xfId="0" applyNumberFormat="1" applyFont="1" applyFill="1" applyBorder="1" applyAlignment="1" applyProtection="1">
      <protection locked="0"/>
    </xf>
    <xf numFmtId="0" fontId="38" fillId="0" borderId="18" xfId="0" applyNumberFormat="1" applyFont="1" applyFill="1" applyBorder="1" applyAlignment="1" applyProtection="1">
      <alignment horizontal="center"/>
      <protection locked="0"/>
    </xf>
    <xf numFmtId="0" fontId="38" fillId="0" borderId="143" xfId="0" applyNumberFormat="1" applyFont="1" applyFill="1" applyBorder="1" applyAlignment="1" applyProtection="1">
      <alignment horizontal="center"/>
      <protection locked="0"/>
    </xf>
    <xf numFmtId="0" fontId="38" fillId="0" borderId="18" xfId="0" applyNumberFormat="1" applyFont="1" applyFill="1" applyBorder="1" applyAlignment="1" applyProtection="1">
      <protection locked="0"/>
    </xf>
    <xf numFmtId="0" fontId="38" fillId="0" borderId="0" xfId="0" applyNumberFormat="1" applyFont="1" applyFill="1" applyBorder="1" applyAlignment="1" applyProtection="1">
      <alignment horizontal="center"/>
      <protection locked="0"/>
    </xf>
    <xf numFmtId="0" fontId="38" fillId="0" borderId="145" xfId="0" applyNumberFormat="1" applyFont="1" applyFill="1" applyBorder="1" applyAlignment="1" applyProtection="1">
      <alignment horizontal="center"/>
      <protection locked="0"/>
    </xf>
    <xf numFmtId="0" fontId="52" fillId="29" borderId="59" xfId="0" applyNumberFormat="1" applyFont="1" applyFill="1" applyBorder="1" applyAlignment="1" applyProtection="1">
      <protection locked="0"/>
    </xf>
    <xf numFmtId="0" fontId="64" fillId="29" borderId="18" xfId="0" applyNumberFormat="1" applyFont="1" applyFill="1" applyBorder="1" applyAlignment="1" applyProtection="1">
      <protection locked="0"/>
    </xf>
    <xf numFmtId="0" fontId="64" fillId="29" borderId="143" xfId="0" applyNumberFormat="1" applyFont="1" applyFill="1" applyBorder="1" applyAlignment="1" applyProtection="1">
      <protection locked="0"/>
    </xf>
    <xf numFmtId="0" fontId="31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4" fillId="33" borderId="59" xfId="0" applyNumberFormat="1" applyFont="1" applyFill="1" applyBorder="1" applyAlignment="1"/>
    <xf numFmtId="0" fontId="44" fillId="0" borderId="93" xfId="0" applyNumberFormat="1" applyFont="1" applyBorder="1" applyAlignment="1"/>
    <xf numFmtId="0" fontId="44" fillId="33" borderId="93" xfId="0" applyNumberFormat="1" applyFont="1" applyFill="1" applyBorder="1" applyAlignment="1"/>
    <xf numFmtId="0" fontId="44" fillId="0" borderId="59" xfId="0" applyNumberFormat="1" applyFont="1" applyBorder="1" applyAlignment="1"/>
    <xf numFmtId="0" fontId="44" fillId="0" borderId="26" xfId="0" applyNumberFormat="1" applyFont="1" applyBorder="1" applyAlignment="1"/>
    <xf numFmtId="0" fontId="31" fillId="13" borderId="56" xfId="0" applyFont="1" applyFill="1" applyBorder="1" applyAlignment="1">
      <alignment horizontal="center"/>
    </xf>
    <xf numFmtId="0" fontId="44" fillId="33" borderId="143" xfId="0" applyNumberFormat="1" applyFont="1" applyFill="1" applyBorder="1" applyAlignment="1"/>
    <xf numFmtId="0" fontId="44" fillId="0" borderId="145" xfId="0" applyNumberFormat="1" applyFont="1" applyBorder="1" applyAlignment="1"/>
    <xf numFmtId="2" fontId="44" fillId="33" borderId="26" xfId="0" applyNumberFormat="1" applyFont="1" applyFill="1" applyBorder="1" applyAlignment="1"/>
    <xf numFmtId="2" fontId="44" fillId="33" borderId="2" xfId="0" applyNumberFormat="1" applyFont="1" applyFill="1" applyBorder="1" applyAlignment="1"/>
    <xf numFmtId="0" fontId="44" fillId="33" borderId="2" xfId="0" applyNumberFormat="1" applyFont="1" applyFill="1" applyBorder="1" applyAlignment="1"/>
    <xf numFmtId="0" fontId="44" fillId="33" borderId="144" xfId="0" applyNumberFormat="1" applyFont="1" applyFill="1" applyBorder="1" applyAlignment="1"/>
    <xf numFmtId="2" fontId="44" fillId="0" borderId="59" xfId="0" applyNumberFormat="1" applyFont="1" applyBorder="1" applyAlignment="1"/>
    <xf numFmtId="0" fontId="44" fillId="0" borderId="143" xfId="0" applyNumberFormat="1" applyFont="1" applyBorder="1" applyAlignment="1"/>
    <xf numFmtId="0" fontId="44" fillId="33" borderId="145" xfId="0" applyNumberFormat="1" applyFont="1" applyFill="1" applyBorder="1" applyAlignment="1"/>
    <xf numFmtId="2" fontId="44" fillId="0" borderId="26" xfId="0" applyNumberFormat="1" applyFont="1" applyBorder="1" applyAlignment="1"/>
    <xf numFmtId="0" fontId="44" fillId="0" borderId="144" xfId="0" applyNumberFormat="1" applyFont="1" applyBorder="1" applyAlignment="1"/>
    <xf numFmtId="166" fontId="44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4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4" fillId="0" borderId="153" xfId="1" applyNumberFormat="1" applyFont="1" applyBorder="1" applyAlignment="1">
      <alignment horizontal="center"/>
    </xf>
    <xf numFmtId="166" fontId="44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3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3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3" fillId="5" borderId="0" xfId="3" applyFill="1" applyBorder="1" applyAlignment="1">
      <alignment horizontal="left"/>
    </xf>
    <xf numFmtId="0" fontId="2" fillId="5" borderId="0" xfId="6" applyFont="1" applyFill="1" applyAlignment="1">
      <alignment vertical="center"/>
    </xf>
    <xf numFmtId="0" fontId="2" fillId="19" borderId="0" xfId="6" applyFont="1" applyFill="1" applyAlignment="1">
      <alignment vertical="center"/>
    </xf>
    <xf numFmtId="0" fontId="2" fillId="0" borderId="0" xfId="7"/>
    <xf numFmtId="0" fontId="48" fillId="19" borderId="0" xfId="6" applyFont="1" applyFill="1" applyAlignment="1">
      <alignment vertical="center"/>
    </xf>
    <xf numFmtId="0" fontId="43" fillId="19" borderId="0" xfId="6" applyFont="1" applyFill="1" applyAlignment="1">
      <alignment vertical="center"/>
    </xf>
    <xf numFmtId="0" fontId="2" fillId="8" borderId="0" xfId="6" applyFont="1" applyFill="1" applyAlignment="1">
      <alignment vertical="center"/>
    </xf>
    <xf numFmtId="0" fontId="30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4" fillId="5" borderId="0" xfId="6" applyFont="1" applyFill="1" applyAlignment="1">
      <alignment vertical="center"/>
    </xf>
    <xf numFmtId="165" fontId="34" fillId="5" borderId="0" xfId="6" applyNumberFormat="1" applyFont="1" applyFill="1" applyAlignment="1">
      <alignment horizontal="left" vertical="center"/>
    </xf>
    <xf numFmtId="0" fontId="51" fillId="19" borderId="0" xfId="6" applyFont="1" applyFill="1" applyAlignment="1">
      <alignment vertical="center"/>
    </xf>
    <xf numFmtId="0" fontId="44" fillId="5" borderId="0" xfId="6" applyFont="1" applyFill="1" applyAlignment="1">
      <alignment vertical="center"/>
    </xf>
    <xf numFmtId="0" fontId="43" fillId="5" borderId="0" xfId="8" applyFill="1" applyAlignment="1">
      <alignment vertical="center"/>
    </xf>
    <xf numFmtId="170" fontId="28" fillId="14" borderId="0" xfId="2" applyNumberFormat="1" applyFill="1" applyAlignment="1">
      <alignment vertical="center"/>
    </xf>
    <xf numFmtId="170" fontId="1" fillId="0" borderId="0" xfId="0" applyNumberFormat="1" applyFont="1"/>
    <xf numFmtId="169" fontId="0" fillId="35" borderId="143" xfId="0" applyNumberFormat="1" applyFill="1" applyBorder="1"/>
    <xf numFmtId="2" fontId="14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4" fillId="5" borderId="0" xfId="0" applyFont="1" applyFill="1"/>
    <xf numFmtId="2" fontId="14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1" fillId="16" borderId="118" xfId="0" applyNumberFormat="1" applyFont="1" applyFill="1" applyBorder="1" applyAlignment="1">
      <alignment vertical="center"/>
    </xf>
    <xf numFmtId="3" fontId="1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1" fillId="16" borderId="1" xfId="0" applyNumberFormat="1" applyFont="1" applyFill="1" applyBorder="1" applyAlignment="1">
      <alignment vertical="center"/>
    </xf>
    <xf numFmtId="0" fontId="14" fillId="35" borderId="2" xfId="0" applyFont="1" applyFill="1" applyBorder="1"/>
    <xf numFmtId="2" fontId="14" fillId="35" borderId="2" xfId="0" applyNumberFormat="1" applyFont="1" applyFill="1" applyBorder="1"/>
    <xf numFmtId="3" fontId="1" fillId="16" borderId="14" xfId="0" applyNumberFormat="1" applyFont="1" applyFill="1" applyBorder="1" applyAlignment="1">
      <alignment vertical="center"/>
    </xf>
    <xf numFmtId="3" fontId="1" fillId="32" borderId="111" xfId="0" quotePrefix="1" applyNumberFormat="1" applyFont="1" applyFill="1" applyBorder="1" applyAlignment="1">
      <alignment horizontal="right" vertical="top"/>
    </xf>
    <xf numFmtId="1" fontId="27" fillId="16" borderId="88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2" fontId="14" fillId="5" borderId="2" xfId="0" applyNumberFormat="1" applyFont="1" applyFill="1" applyBorder="1"/>
    <xf numFmtId="0" fontId="26" fillId="43" borderId="189" xfId="0" applyFont="1" applyFill="1" applyBorder="1" applyAlignment="1">
      <alignment horizontal="left" vertical="center"/>
    </xf>
    <xf numFmtId="0" fontId="44" fillId="44" borderId="6" xfId="0" applyFont="1" applyFill="1" applyBorder="1" applyAlignment="1">
      <alignment horizontal="left" vertical="center" wrapText="1"/>
    </xf>
    <xf numFmtId="0" fontId="44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4" fillId="0" borderId="0" xfId="0" applyNumberFormat="1" applyFont="1"/>
    <xf numFmtId="0" fontId="34" fillId="5" borderId="0" xfId="6" applyFont="1" applyFill="1" applyAlignment="1">
      <alignment vertical="center"/>
    </xf>
    <xf numFmtId="0" fontId="48" fillId="5" borderId="0" xfId="6" applyFont="1" applyFill="1" applyAlignment="1">
      <alignment horizontal="center" vertical="center"/>
    </xf>
    <xf numFmtId="0" fontId="43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5" fillId="39" borderId="19" xfId="0" applyNumberFormat="1" applyFont="1" applyFill="1" applyBorder="1" applyAlignment="1">
      <alignment horizontal="center" vertical="center"/>
    </xf>
    <xf numFmtId="165" fontId="15" fillId="39" borderId="5" xfId="0" applyNumberFormat="1" applyFont="1" applyFill="1" applyBorder="1" applyAlignment="1">
      <alignment horizontal="center" vertical="center"/>
    </xf>
    <xf numFmtId="165" fontId="15" fillId="39" borderId="15" xfId="0" applyNumberFormat="1" applyFont="1" applyFill="1" applyBorder="1" applyAlignment="1">
      <alignment horizontal="center" vertical="center"/>
    </xf>
    <xf numFmtId="165" fontId="15" fillId="39" borderId="12" xfId="0" applyNumberFormat="1" applyFont="1" applyFill="1" applyBorder="1" applyAlignment="1">
      <alignment horizontal="center" vertical="center"/>
    </xf>
    <xf numFmtId="165" fontId="15" fillId="39" borderId="0" xfId="0" applyNumberFormat="1" applyFont="1" applyFill="1" applyAlignment="1">
      <alignment horizontal="center" vertical="center"/>
    </xf>
    <xf numFmtId="0" fontId="38" fillId="2" borderId="93" xfId="0" applyNumberFormat="1" applyFont="1" applyFill="1" applyBorder="1" applyAlignment="1" applyProtection="1">
      <alignment horizontal="center"/>
      <protection locked="0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26" xfId="0" applyNumberFormat="1" applyFont="1" applyFill="1" applyBorder="1" applyAlignment="1" applyProtection="1">
      <alignment horizontal="center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4" borderId="59" xfId="0" applyNumberFormat="1" applyFont="1" applyFill="1" applyBorder="1" applyAlignment="1" applyProtection="1">
      <alignment horizontal="center" wrapText="1"/>
      <protection locked="0"/>
    </xf>
    <xf numFmtId="0" fontId="64" fillId="34" borderId="26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wrapText="1"/>
      <protection locked="0"/>
    </xf>
    <xf numFmtId="0" fontId="38" fillId="11" borderId="8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vertical="center"/>
      <protection locked="0"/>
    </xf>
    <xf numFmtId="0" fontId="38" fillId="11" borderId="8" xfId="0" applyNumberFormat="1" applyFont="1" applyFill="1" applyBorder="1" applyAlignment="1" applyProtection="1">
      <alignment horizontal="center" vertical="center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4" fillId="0" borderId="65" xfId="0" applyNumberFormat="1" applyFont="1" applyBorder="1" applyAlignment="1">
      <alignment horizontal="center"/>
    </xf>
    <xf numFmtId="2" fontId="44" fillId="0" borderId="168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5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45" fillId="17" borderId="113" xfId="0" applyFont="1" applyFill="1" applyBorder="1" applyAlignment="1">
      <alignment horizontal="center" vertical="center"/>
    </xf>
    <xf numFmtId="0" fontId="45" fillId="17" borderId="106" xfId="0" applyFont="1" applyFill="1" applyBorder="1" applyAlignment="1">
      <alignment horizontal="center" vertical="center"/>
    </xf>
    <xf numFmtId="0" fontId="45" fillId="17" borderId="146" xfId="0" applyFont="1" applyFill="1" applyBorder="1" applyAlignment="1">
      <alignment horizontal="center" vertical="center"/>
    </xf>
    <xf numFmtId="0" fontId="27" fillId="11" borderId="59" xfId="0" applyFont="1" applyFill="1" applyBorder="1" applyAlignment="1">
      <alignment horizontal="center" vertical="center"/>
    </xf>
    <xf numFmtId="0" fontId="27" fillId="11" borderId="18" xfId="0" applyFont="1" applyFill="1" applyBorder="1" applyAlignment="1">
      <alignment horizontal="center" vertical="center"/>
    </xf>
    <xf numFmtId="0" fontId="27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8" fillId="27" borderId="0" xfId="0" applyFont="1" applyFill="1" applyAlignment="1">
      <alignment horizontal="center"/>
    </xf>
    <xf numFmtId="0" fontId="28" fillId="27" borderId="145" xfId="0" applyFont="1" applyFill="1" applyBorder="1" applyAlignment="1">
      <alignment horizontal="center"/>
    </xf>
    <xf numFmtId="0" fontId="27" fillId="11" borderId="113" xfId="0" applyFont="1" applyFill="1" applyBorder="1" applyAlignment="1">
      <alignment horizontal="center" vertical="center"/>
    </xf>
    <xf numFmtId="0" fontId="27" fillId="11" borderId="106" xfId="0" applyFont="1" applyFill="1" applyBorder="1" applyAlignment="1">
      <alignment horizontal="center" vertical="center"/>
    </xf>
    <xf numFmtId="0" fontId="27" fillId="11" borderId="146" xfId="0" applyFont="1" applyFill="1" applyBorder="1" applyAlignment="1">
      <alignment horizontal="center" vertical="center"/>
    </xf>
    <xf numFmtId="0" fontId="59" fillId="27" borderId="59" xfId="0" quotePrefix="1" applyFont="1" applyFill="1" applyBorder="1" applyAlignment="1">
      <alignment horizontal="center" vertical="center"/>
    </xf>
    <xf numFmtId="0" fontId="59" fillId="27" borderId="18" xfId="0" quotePrefix="1" applyFont="1" applyFill="1" applyBorder="1" applyAlignment="1">
      <alignment horizontal="center" vertical="center"/>
    </xf>
    <xf numFmtId="0" fontId="59" fillId="27" borderId="143" xfId="0" quotePrefix="1" applyFont="1" applyFill="1" applyBorder="1" applyAlignment="1">
      <alignment horizontal="center" vertical="center"/>
    </xf>
    <xf numFmtId="0" fontId="45" fillId="17" borderId="2" xfId="0" applyFont="1" applyFill="1" applyBorder="1" applyAlignment="1">
      <alignment horizontal="center" vertical="center"/>
    </xf>
    <xf numFmtId="0" fontId="55" fillId="27" borderId="113" xfId="0" applyFont="1" applyFill="1" applyBorder="1" applyAlignment="1">
      <alignment horizontal="center"/>
    </xf>
    <xf numFmtId="0" fontId="55" fillId="27" borderId="106" xfId="0" applyFont="1" applyFill="1" applyBorder="1" applyAlignment="1">
      <alignment horizontal="center"/>
    </xf>
    <xf numFmtId="0" fontId="55" fillId="27" borderId="146" xfId="0" applyFont="1" applyFill="1" applyBorder="1" applyAlignment="1">
      <alignment horizontal="center"/>
    </xf>
    <xf numFmtId="0" fontId="59" fillId="25" borderId="113" xfId="0" quotePrefix="1" applyFont="1" applyFill="1" applyBorder="1" applyAlignment="1">
      <alignment horizontal="center"/>
    </xf>
    <xf numFmtId="0" fontId="59" fillId="25" borderId="106" xfId="0" quotePrefix="1" applyFont="1" applyFill="1" applyBorder="1" applyAlignment="1">
      <alignment horizontal="center"/>
    </xf>
    <xf numFmtId="0" fontId="59" fillId="25" borderId="146" xfId="0" quotePrefix="1" applyFont="1" applyFill="1" applyBorder="1" applyAlignment="1">
      <alignment horizontal="center"/>
    </xf>
    <xf numFmtId="0" fontId="45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1.1223361419596327</c:v>
                </c:pt>
                <c:pt idx="3">
                  <c:v>4.8163311721147908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44</xdr:row>
      <xdr:rowOff>4764</xdr:rowOff>
    </xdr:from>
    <xdr:to>
      <xdr:col>16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52</xdr:row>
      <xdr:rowOff>95251</xdr:rowOff>
    </xdr:from>
    <xdr:to>
      <xdr:col>16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/>
      <sheetData sheetId="1"/>
      <sheetData sheetId="2">
        <row r="3">
          <cell r="C3" t="str">
            <v>IE</v>
          </cell>
          <cell r="D3" t="str">
            <v>National</v>
          </cell>
        </row>
      </sheetData>
      <sheetData sheetId="3"/>
      <sheetData sheetId="4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/>
      <sheetData sheetId="6"/>
      <sheetData sheetId="7"/>
      <sheetData sheetId="8">
        <row r="6">
          <cell r="O6" t="str">
            <v>RSDSH_Apt</v>
          </cell>
        </row>
        <row r="7">
          <cell r="O7" t="str">
            <v>RSDSH_Att</v>
          </cell>
        </row>
        <row r="8">
          <cell r="O8" t="str">
            <v>RSDSH_Det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/>
      <sheetData sheetId="10"/>
      <sheetData sheetId="11"/>
      <sheetData sheetId="12"/>
      <sheetData sheetId="13"/>
      <sheetData sheetId="14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26" customWidth="1"/>
    <col min="5" max="6" width="14.140625" style="1026" customWidth="1"/>
    <col min="7" max="7" width="12.140625" style="1026" customWidth="1"/>
    <col min="8" max="10" width="8.140625" style="1026" customWidth="1"/>
    <col min="11" max="11" width="9.7109375" style="1026" customWidth="1"/>
    <col min="12" max="12" width="8.140625" style="1026" customWidth="1"/>
    <col min="13" max="13" width="10" style="1026" customWidth="1"/>
    <col min="14" max="14" width="11.42578125" style="1026" customWidth="1"/>
    <col min="15" max="15" width="13.42578125" style="1026" customWidth="1"/>
    <col min="16" max="16384" width="8.85546875" style="1026"/>
  </cols>
  <sheetData>
    <row r="1" spans="1:26">
      <c r="A1" s="1024"/>
      <c r="B1" s="1024"/>
      <c r="C1" s="1024"/>
      <c r="D1" s="1024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</row>
    <row r="2" spans="1:26">
      <c r="A2" s="1024"/>
      <c r="B2" s="1024"/>
      <c r="C2" s="1024"/>
      <c r="D2" s="1024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</row>
    <row r="3" spans="1:26">
      <c r="A3" s="1024"/>
      <c r="B3" s="1024"/>
      <c r="C3" s="1024"/>
      <c r="D3" s="1024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</row>
    <row r="4" spans="1:26">
      <c r="A4" s="1024"/>
      <c r="B4" s="1024"/>
      <c r="C4" s="1024"/>
      <c r="D4" s="1024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</row>
    <row r="5" spans="1:26">
      <c r="A5" s="1024"/>
      <c r="B5" s="1024"/>
      <c r="C5" s="1024"/>
      <c r="D5" s="1024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</row>
    <row r="6" spans="1:26">
      <c r="A6" s="1024"/>
      <c r="B6" s="1024"/>
      <c r="C6" s="1024"/>
      <c r="D6" s="1024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</row>
    <row r="7" spans="1:26">
      <c r="A7" s="1024"/>
      <c r="B7" s="1024"/>
      <c r="C7" s="1024"/>
      <c r="D7" s="1024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</row>
    <row r="8" spans="1:26">
      <c r="A8" s="1024"/>
      <c r="B8" s="1024"/>
      <c r="C8" s="1024"/>
      <c r="D8" s="1024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</row>
    <row r="9" spans="1:26">
      <c r="A9" s="1024"/>
      <c r="B9" s="1024"/>
      <c r="C9" s="1024"/>
      <c r="D9" s="1024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</row>
    <row r="10" spans="1:26">
      <c r="A10" s="1024"/>
      <c r="B10" s="1024"/>
      <c r="C10" s="1024"/>
      <c r="D10" s="1024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</row>
    <row r="11" spans="1:26">
      <c r="A11" s="1024"/>
      <c r="B11" s="1024"/>
      <c r="C11" s="1024"/>
      <c r="D11" s="1024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</row>
    <row r="12" spans="1:26">
      <c r="A12" s="1024"/>
      <c r="B12" s="1024"/>
      <c r="C12" s="1024"/>
      <c r="D12" s="1024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</row>
    <row r="13" spans="1:26">
      <c r="A13" s="1024"/>
      <c r="B13" s="1024"/>
      <c r="C13" s="1024"/>
      <c r="D13" s="1024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</row>
    <row r="14" spans="1:26">
      <c r="A14" s="1024"/>
      <c r="B14" s="1024"/>
      <c r="C14" s="1024"/>
      <c r="D14" s="1024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</row>
    <row r="15" spans="1:26">
      <c r="A15" s="1024"/>
      <c r="B15" s="1024"/>
      <c r="C15" s="1024"/>
      <c r="D15" s="1024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</row>
    <row r="16" spans="1:26" ht="102.75" customHeight="1">
      <c r="A16" s="1067" t="s">
        <v>878</v>
      </c>
      <c r="B16" s="1067"/>
      <c r="C16" s="1067"/>
      <c r="D16" s="1067"/>
      <c r="E16" s="1027"/>
      <c r="F16" s="1027"/>
      <c r="G16" s="1028"/>
      <c r="H16" s="1028"/>
      <c r="I16" s="1028"/>
      <c r="J16" s="1028"/>
      <c r="K16" s="1028"/>
      <c r="L16" s="1028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</row>
    <row r="17" spans="1:26" ht="17.25" customHeight="1">
      <c r="A17" s="1029"/>
      <c r="B17" s="1029"/>
      <c r="C17" s="1029"/>
      <c r="D17" s="1029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5"/>
      <c r="X17" s="1025"/>
      <c r="Y17" s="1025"/>
      <c r="Z17" s="1025"/>
    </row>
    <row r="18" spans="1:26" ht="17.25" customHeight="1">
      <c r="A18" s="1029"/>
      <c r="B18" s="1029"/>
      <c r="C18" s="1029"/>
      <c r="D18" s="1029"/>
      <c r="E18" s="1030"/>
      <c r="F18" s="1030"/>
      <c r="G18" s="1031"/>
      <c r="H18" s="1031"/>
      <c r="I18" s="1031"/>
      <c r="J18" s="1031"/>
      <c r="K18" s="1031"/>
      <c r="L18" s="1031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</row>
    <row r="19" spans="1:26" ht="17.25" customHeight="1">
      <c r="A19" s="1032" t="s">
        <v>0</v>
      </c>
      <c r="B19" s="1066" t="s">
        <v>893</v>
      </c>
      <c r="C19" s="1066"/>
      <c r="D19" s="1066"/>
      <c r="E19" s="1033"/>
      <c r="F19" s="1033"/>
      <c r="G19" s="1034"/>
      <c r="H19" s="1034"/>
      <c r="I19" s="1034"/>
      <c r="J19" s="1034"/>
      <c r="K19" s="1034"/>
      <c r="L19" s="1034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</row>
    <row r="20" spans="1:26" ht="17.25" customHeight="1">
      <c r="A20" s="1032" t="s">
        <v>879</v>
      </c>
      <c r="B20" s="1066" t="s">
        <v>894</v>
      </c>
      <c r="C20" s="1066"/>
      <c r="D20" s="1066"/>
      <c r="E20" s="1033"/>
      <c r="F20" s="1033"/>
      <c r="G20" s="1034"/>
      <c r="H20" s="1034"/>
      <c r="I20" s="1034"/>
      <c r="J20" s="1034"/>
      <c r="K20" s="1034"/>
      <c r="L20" s="1034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</row>
    <row r="21" spans="1:26" ht="17.25" customHeight="1">
      <c r="A21" s="1032" t="s">
        <v>880</v>
      </c>
      <c r="B21" s="1035" t="s">
        <v>895</v>
      </c>
      <c r="C21" s="1035"/>
      <c r="D21" s="1035"/>
      <c r="E21" s="1033"/>
      <c r="F21" s="1033"/>
      <c r="G21" s="1034"/>
      <c r="H21" s="1034"/>
      <c r="I21" s="1034"/>
      <c r="J21" s="1034"/>
      <c r="K21" s="1034"/>
      <c r="L21" s="1034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</row>
    <row r="22" spans="1:26" ht="17.25" customHeight="1">
      <c r="A22" s="1032"/>
      <c r="B22" s="1035"/>
      <c r="C22" s="1035"/>
      <c r="D22" s="1035"/>
      <c r="E22" s="1033"/>
      <c r="F22" s="1033"/>
      <c r="G22" s="1034"/>
      <c r="H22" s="1034"/>
      <c r="I22" s="1034"/>
      <c r="J22" s="1034"/>
      <c r="K22" s="1034"/>
      <c r="L22" s="1034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</row>
    <row r="23" spans="1:26" ht="17.25" customHeight="1">
      <c r="A23" s="1032" t="s">
        <v>881</v>
      </c>
      <c r="B23" s="1066" t="s">
        <v>889</v>
      </c>
      <c r="C23" s="1066"/>
      <c r="D23" s="1066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</row>
    <row r="24" spans="1:26" ht="17.25" customHeight="1">
      <c r="A24" s="1032"/>
      <c r="B24" s="1066" t="s">
        <v>890</v>
      </c>
      <c r="C24" s="1066"/>
      <c r="D24" s="1066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</row>
    <row r="25" spans="1:26" ht="17.25" customHeight="1">
      <c r="A25" s="1032"/>
      <c r="B25" s="1066" t="s">
        <v>891</v>
      </c>
      <c r="C25" s="1066"/>
      <c r="D25" s="1066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5"/>
      <c r="X25" s="1025"/>
      <c r="Y25" s="1025"/>
      <c r="Z25" s="1025"/>
    </row>
    <row r="26" spans="1:26" ht="17.25" customHeight="1">
      <c r="A26" s="1032" t="s">
        <v>882</v>
      </c>
      <c r="B26" s="1066" t="s">
        <v>889</v>
      </c>
      <c r="C26" s="1066"/>
      <c r="D26" s="1066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</row>
    <row r="27" spans="1:26" ht="17.25" customHeight="1">
      <c r="A27" s="1032"/>
      <c r="B27" s="1066" t="s">
        <v>892</v>
      </c>
      <c r="C27" s="1066"/>
      <c r="D27" s="1066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</row>
    <row r="28" spans="1:26" ht="17.25" customHeight="1">
      <c r="A28" s="1032"/>
      <c r="B28" s="1035"/>
      <c r="C28" s="1035"/>
      <c r="D28" s="103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</row>
    <row r="29" spans="1:26" ht="17.25" customHeight="1">
      <c r="A29" s="1032" t="s">
        <v>883</v>
      </c>
      <c r="B29" s="1036">
        <v>1</v>
      </c>
      <c r="C29" s="1035"/>
      <c r="D29" s="103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</row>
    <row r="30" spans="1:26" ht="17.25" customHeight="1">
      <c r="A30" s="1032" t="s">
        <v>884</v>
      </c>
      <c r="B30" s="1068" t="s">
        <v>885</v>
      </c>
      <c r="C30" s="1066"/>
      <c r="D30" s="1066"/>
      <c r="E30" s="1037"/>
      <c r="F30" s="1037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</row>
    <row r="31" spans="1:26" ht="17.25" customHeight="1">
      <c r="A31" s="1032" t="s">
        <v>886</v>
      </c>
      <c r="B31" s="1066" t="s">
        <v>887</v>
      </c>
      <c r="C31" s="1066"/>
      <c r="D31" s="1066"/>
      <c r="E31" s="1037"/>
      <c r="F31" s="1037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</row>
    <row r="32" spans="1:26" ht="17.25" customHeight="1">
      <c r="A32" s="1038"/>
      <c r="B32" s="1039" t="s">
        <v>888</v>
      </c>
      <c r="C32" s="1038"/>
      <c r="D32" s="1038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</row>
    <row r="33" spans="1:26">
      <c r="A33" s="1024"/>
      <c r="B33" s="1024"/>
      <c r="C33" s="1024"/>
      <c r="D33" s="1024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</row>
    <row r="34" spans="1:26">
      <c r="A34" s="1024"/>
      <c r="B34" s="1024"/>
      <c r="C34" s="1024"/>
      <c r="D34" s="1024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</row>
    <row r="35" spans="1:26">
      <c r="A35" s="1024"/>
      <c r="B35" s="1024"/>
      <c r="C35" s="1024"/>
      <c r="D35" s="1024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</row>
    <row r="36" spans="1:26">
      <c r="A36" s="1024"/>
      <c r="B36" s="1024"/>
      <c r="C36" s="1024"/>
      <c r="D36" s="1024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</row>
    <row r="37" spans="1:26">
      <c r="A37" s="1024"/>
      <c r="B37" s="1024"/>
      <c r="C37" s="1024"/>
      <c r="D37" s="1024"/>
      <c r="E37" s="1025"/>
      <c r="F37" s="1025"/>
      <c r="G37" s="1025"/>
      <c r="H37" s="1025"/>
      <c r="I37" s="1025"/>
      <c r="J37" s="1025"/>
      <c r="K37" s="1025"/>
      <c r="L37" s="1025"/>
      <c r="M37" s="1025"/>
      <c r="N37" s="1025"/>
      <c r="O37" s="1025"/>
      <c r="P37" s="1025"/>
      <c r="Q37" s="1025"/>
      <c r="R37" s="1025"/>
      <c r="S37" s="1025"/>
      <c r="T37" s="1025"/>
      <c r="U37" s="1025"/>
      <c r="V37" s="1025"/>
      <c r="W37" s="1025"/>
      <c r="X37" s="1025"/>
      <c r="Y37" s="1025"/>
      <c r="Z37" s="1025"/>
    </row>
    <row r="38" spans="1:26">
      <c r="A38" s="1024"/>
      <c r="B38" s="1024"/>
      <c r="C38" s="1024"/>
      <c r="D38" s="1024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</row>
    <row r="39" spans="1:26">
      <c r="A39" s="1024"/>
      <c r="B39" s="1024"/>
      <c r="C39" s="1024"/>
      <c r="D39" s="1024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</row>
    <row r="40" spans="1:26">
      <c r="A40" s="1024"/>
      <c r="B40" s="1024"/>
      <c r="C40" s="1024"/>
      <c r="D40" s="1024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</row>
    <row r="41" spans="1:26">
      <c r="A41" s="1024"/>
      <c r="B41" s="1024"/>
      <c r="C41" s="1024"/>
      <c r="D41" s="1024"/>
      <c r="E41" s="1025"/>
      <c r="F41" s="1025"/>
      <c r="G41" s="1025"/>
      <c r="H41" s="1025"/>
      <c r="I41" s="1025"/>
      <c r="J41" s="1025"/>
      <c r="K41" s="1025"/>
      <c r="L41" s="1025"/>
      <c r="M41" s="1025"/>
      <c r="N41" s="1025"/>
      <c r="O41" s="1025"/>
      <c r="P41" s="1025"/>
      <c r="Q41" s="1025"/>
      <c r="R41" s="1025"/>
      <c r="S41" s="1025"/>
      <c r="T41" s="1025"/>
      <c r="U41" s="1025"/>
      <c r="V41" s="1025"/>
      <c r="W41" s="1025"/>
      <c r="X41" s="1025"/>
      <c r="Y41" s="1025"/>
      <c r="Z41" s="1025"/>
    </row>
    <row r="42" spans="1:26">
      <c r="A42" s="1024"/>
      <c r="B42" s="1024"/>
      <c r="C42" s="1024"/>
      <c r="D42" s="1024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</row>
    <row r="43" spans="1:26">
      <c r="A43" s="1025"/>
      <c r="B43" s="1025"/>
      <c r="C43" s="1025"/>
      <c r="D43" s="1025"/>
      <c r="E43" s="1025"/>
      <c r="F43" s="1025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</row>
    <row r="44" spans="1:26">
      <c r="A44" s="1025"/>
      <c r="B44" s="1025"/>
      <c r="C44" s="1025"/>
      <c r="D44" s="1025"/>
      <c r="E44" s="1025"/>
      <c r="F44" s="1025"/>
      <c r="G44" s="1025"/>
      <c r="H44" s="1025"/>
      <c r="I44" s="1025"/>
      <c r="J44" s="1025"/>
      <c r="K44" s="1025"/>
      <c r="L44" s="1025"/>
      <c r="M44" s="1025"/>
      <c r="N44" s="1025"/>
      <c r="O44" s="1025"/>
      <c r="P44" s="1025"/>
      <c r="Q44" s="1025"/>
      <c r="R44" s="1025"/>
      <c r="S44" s="1025"/>
      <c r="T44" s="1025"/>
      <c r="U44" s="1025"/>
      <c r="V44" s="1025"/>
      <c r="W44" s="1025"/>
      <c r="X44" s="1025"/>
      <c r="Y44" s="1025"/>
      <c r="Z44" s="1025"/>
    </row>
    <row r="45" spans="1:26">
      <c r="A45" s="1025"/>
      <c r="B45" s="1025"/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</row>
    <row r="46" spans="1:26">
      <c r="A46" s="1025"/>
      <c r="B46" s="1025"/>
      <c r="C46" s="1025"/>
      <c r="D46" s="1025"/>
      <c r="E46" s="1025"/>
      <c r="F46" s="1025"/>
      <c r="G46" s="1025"/>
      <c r="H46" s="1025"/>
      <c r="I46" s="1025"/>
      <c r="J46" s="1025"/>
      <c r="K46" s="1025"/>
      <c r="L46" s="1025"/>
      <c r="M46" s="1025"/>
      <c r="N46" s="1025"/>
      <c r="O46" s="1025"/>
      <c r="P46" s="1025"/>
      <c r="Q46" s="1025"/>
      <c r="R46" s="1025"/>
      <c r="S46" s="1025"/>
      <c r="T46" s="1025"/>
      <c r="U46" s="1025"/>
      <c r="V46" s="1025"/>
      <c r="W46" s="1025"/>
      <c r="X46" s="1025"/>
      <c r="Y46" s="1025"/>
      <c r="Z46" s="1025"/>
    </row>
    <row r="47" spans="1:26">
      <c r="A47" s="1025"/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</row>
    <row r="48" spans="1:26">
      <c r="A48" s="1025"/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</row>
    <row r="49" spans="1:26">
      <c r="A49" s="1025"/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</row>
    <row r="50" spans="1:26">
      <c r="A50" s="1025"/>
      <c r="B50" s="1025"/>
      <c r="C50" s="1025"/>
      <c r="D50" s="1025"/>
      <c r="E50" s="1025"/>
      <c r="F50" s="1025"/>
      <c r="G50" s="1025"/>
      <c r="H50" s="1025"/>
      <c r="I50" s="1025"/>
      <c r="J50" s="1025"/>
      <c r="K50" s="1025"/>
      <c r="L50" s="1025"/>
      <c r="M50" s="1025"/>
      <c r="N50" s="1025"/>
      <c r="O50" s="1025"/>
      <c r="P50" s="1025"/>
      <c r="Q50" s="1025"/>
      <c r="R50" s="1025"/>
      <c r="S50" s="1025"/>
      <c r="T50" s="1025"/>
      <c r="U50" s="1025"/>
      <c r="V50" s="1025"/>
      <c r="W50" s="1025"/>
      <c r="X50" s="1025"/>
      <c r="Y50" s="1025"/>
      <c r="Z50" s="1025"/>
    </row>
    <row r="51" spans="1:26">
      <c r="A51" s="1025"/>
      <c r="B51" s="1025"/>
      <c r="C51" s="1025"/>
      <c r="D51" s="1025"/>
      <c r="E51" s="1025"/>
      <c r="F51" s="1025"/>
      <c r="G51" s="1025"/>
      <c r="H51" s="1025"/>
      <c r="I51" s="1025"/>
      <c r="J51" s="1025"/>
      <c r="K51" s="1025"/>
      <c r="L51" s="1025"/>
      <c r="M51" s="1025"/>
      <c r="N51" s="1025"/>
      <c r="O51" s="1025"/>
      <c r="P51" s="1025"/>
      <c r="Q51" s="1025"/>
      <c r="R51" s="1025"/>
      <c r="S51" s="1025"/>
      <c r="T51" s="1025"/>
      <c r="U51" s="1025"/>
      <c r="V51" s="1025"/>
      <c r="W51" s="1025"/>
      <c r="X51" s="1025"/>
      <c r="Y51" s="1025"/>
      <c r="Z51" s="1025"/>
    </row>
    <row r="52" spans="1:26">
      <c r="A52" s="1025"/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</row>
    <row r="53" spans="1:26">
      <c r="A53" s="1025"/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</row>
    <row r="54" spans="1:26">
      <c r="A54" s="1025"/>
      <c r="B54" s="1025"/>
      <c r="C54" s="1025"/>
      <c r="D54" s="1025"/>
      <c r="E54" s="1025"/>
      <c r="F54" s="1025"/>
      <c r="G54" s="1025"/>
      <c r="H54" s="1025"/>
      <c r="I54" s="1025"/>
      <c r="J54" s="1025"/>
      <c r="K54" s="1025"/>
      <c r="L54" s="1025"/>
      <c r="M54" s="1025"/>
      <c r="N54" s="1025"/>
      <c r="O54" s="1025"/>
      <c r="P54" s="1025"/>
      <c r="Q54" s="1025"/>
      <c r="R54" s="1025"/>
      <c r="S54" s="1025"/>
      <c r="T54" s="1025"/>
      <c r="U54" s="1025"/>
      <c r="V54" s="1025"/>
      <c r="W54" s="1025"/>
      <c r="X54" s="1025"/>
      <c r="Y54" s="1025"/>
      <c r="Z54" s="1025"/>
    </row>
    <row r="55" spans="1:26">
      <c r="A55" s="1025"/>
      <c r="B55" s="1025"/>
      <c r="C55" s="1025"/>
      <c r="D55" s="1025"/>
      <c r="E55" s="1025"/>
      <c r="F55" s="1025"/>
      <c r="G55" s="1025"/>
      <c r="H55" s="1025"/>
      <c r="I55" s="1025"/>
      <c r="J55" s="1025"/>
      <c r="K55" s="1025"/>
      <c r="L55" s="1025"/>
      <c r="M55" s="1025"/>
      <c r="N55" s="1025"/>
      <c r="O55" s="1025"/>
      <c r="P55" s="1025"/>
      <c r="Q55" s="1025"/>
      <c r="R55" s="1025"/>
      <c r="S55" s="1025"/>
      <c r="T55" s="1025"/>
      <c r="U55" s="1025"/>
      <c r="V55" s="1025"/>
      <c r="W55" s="1025"/>
      <c r="X55" s="1025"/>
      <c r="Y55" s="1025"/>
      <c r="Z55" s="1025"/>
    </row>
    <row r="56" spans="1:26">
      <c r="A56" s="1025"/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</row>
    <row r="57" spans="1:26">
      <c r="A57" s="1025"/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</row>
    <row r="58" spans="1:26">
      <c r="A58" s="1025"/>
      <c r="B58" s="1025"/>
      <c r="C58" s="1025"/>
      <c r="D58" s="1025"/>
      <c r="E58" s="1025"/>
      <c r="F58" s="1025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</row>
    <row r="59" spans="1:26">
      <c r="A59" s="1025"/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</row>
    <row r="60" spans="1:26">
      <c r="A60" s="1025"/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</row>
    <row r="61" spans="1:26">
      <c r="A61" s="1025"/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</row>
    <row r="62" spans="1:26">
      <c r="A62" s="1025"/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</row>
    <row r="63" spans="1:26">
      <c r="A63" s="1025"/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</row>
    <row r="64" spans="1:26">
      <c r="A64" s="1025"/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</row>
    <row r="65" spans="1:26">
      <c r="A65" s="1025"/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</row>
    <row r="66" spans="1:26">
      <c r="A66" s="1025"/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</row>
    <row r="67" spans="1:26">
      <c r="A67" s="1025"/>
      <c r="B67" s="1025"/>
      <c r="C67" s="1025"/>
      <c r="D67" s="1025"/>
      <c r="E67" s="1025"/>
      <c r="F67" s="1025"/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</row>
    <row r="68" spans="1:26">
      <c r="A68" s="1025"/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</row>
    <row r="69" spans="1:26">
      <c r="A69" s="1025"/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</row>
    <row r="70" spans="1:26">
      <c r="A70" s="1025"/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</row>
    <row r="71" spans="1:26">
      <c r="A71" s="1025"/>
      <c r="B71" s="1025"/>
      <c r="C71" s="1025"/>
      <c r="D71" s="1025"/>
      <c r="E71" s="1025"/>
      <c r="F71" s="1025"/>
      <c r="G71" s="1025"/>
      <c r="H71" s="1025"/>
      <c r="I71" s="1025"/>
      <c r="J71" s="1025"/>
      <c r="K71" s="1025"/>
      <c r="L71" s="1025"/>
      <c r="M71" s="1025"/>
      <c r="N71" s="1025"/>
      <c r="O71" s="1025"/>
      <c r="P71" s="1025"/>
      <c r="Q71" s="1025"/>
      <c r="R71" s="1025"/>
      <c r="S71" s="1025"/>
      <c r="T71" s="1025"/>
      <c r="U71" s="1025"/>
      <c r="V71" s="1025"/>
      <c r="W71" s="1025"/>
      <c r="X71" s="1025"/>
      <c r="Y71" s="1025"/>
      <c r="Z71" s="1025"/>
    </row>
    <row r="72" spans="1:26">
      <c r="A72" s="1025"/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</row>
    <row r="73" spans="1:26">
      <c r="A73" s="1025"/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</row>
    <row r="74" spans="1:26">
      <c r="A74" s="1025"/>
      <c r="B74" s="1025"/>
      <c r="C74" s="1025"/>
      <c r="D74" s="1025"/>
      <c r="E74" s="1025"/>
      <c r="F74" s="1025"/>
      <c r="G74" s="1025"/>
      <c r="H74" s="1025"/>
      <c r="I74" s="1025"/>
      <c r="J74" s="1025"/>
      <c r="K74" s="1025"/>
      <c r="L74" s="1025"/>
      <c r="M74" s="1025"/>
      <c r="N74" s="1025"/>
      <c r="O74" s="1025"/>
      <c r="P74" s="1025"/>
      <c r="Q74" s="1025"/>
      <c r="R74" s="1025"/>
      <c r="S74" s="1025"/>
      <c r="T74" s="1025"/>
      <c r="U74" s="1025"/>
      <c r="V74" s="1025"/>
      <c r="W74" s="1025"/>
      <c r="X74" s="1025"/>
      <c r="Y74" s="1025"/>
      <c r="Z74" s="1025"/>
    </row>
    <row r="75" spans="1:26">
      <c r="A75" s="1025"/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1025"/>
      <c r="Q75" s="1025"/>
      <c r="R75" s="1025"/>
      <c r="S75" s="1025"/>
      <c r="T75" s="1025"/>
      <c r="U75" s="1025"/>
      <c r="V75" s="1025"/>
      <c r="W75" s="1025"/>
      <c r="X75" s="1025"/>
      <c r="Y75" s="1025"/>
      <c r="Z75" s="1025"/>
    </row>
    <row r="76" spans="1:26">
      <c r="A76" s="1025"/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</row>
    <row r="77" spans="1:26">
      <c r="A77" s="1025"/>
      <c r="B77" s="1025"/>
      <c r="C77" s="1025"/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1025"/>
      <c r="V77" s="1025"/>
      <c r="W77" s="1025"/>
      <c r="X77" s="1025"/>
      <c r="Y77" s="1025"/>
      <c r="Z77" s="1025"/>
    </row>
    <row r="78" spans="1:26">
      <c r="A78" s="1025"/>
      <c r="B78" s="1025"/>
      <c r="C78" s="1025"/>
      <c r="D78" s="1025"/>
      <c r="E78" s="1025"/>
      <c r="F78" s="1025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</row>
    <row r="79" spans="1:26">
      <c r="A79" s="1025"/>
      <c r="B79" s="1025"/>
      <c r="C79" s="1025"/>
      <c r="D79" s="1025"/>
      <c r="E79" s="1025"/>
      <c r="F79" s="1025"/>
      <c r="G79" s="1025"/>
      <c r="H79" s="1025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</row>
    <row r="80" spans="1:26">
      <c r="A80" s="1025"/>
      <c r="B80" s="1025"/>
      <c r="C80" s="1025"/>
      <c r="D80" s="1025"/>
      <c r="E80" s="1025"/>
      <c r="F80" s="1025"/>
      <c r="G80" s="1025"/>
      <c r="H80" s="1025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</row>
    <row r="81" spans="1:26">
      <c r="A81" s="1025"/>
      <c r="B81" s="1025"/>
      <c r="C81" s="1025"/>
      <c r="D81" s="1025"/>
      <c r="E81" s="1025"/>
      <c r="F81" s="1025"/>
      <c r="G81" s="1025"/>
      <c r="H81" s="1025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</row>
    <row r="82" spans="1:26">
      <c r="A82" s="1025"/>
      <c r="B82" s="1025"/>
      <c r="C82" s="1025"/>
      <c r="D82" s="1025"/>
      <c r="E82" s="1025"/>
      <c r="F82" s="1025"/>
      <c r="G82" s="1025"/>
      <c r="H82" s="1025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</row>
    <row r="83" spans="1:26">
      <c r="A83" s="1025"/>
      <c r="B83" s="1025"/>
      <c r="C83" s="1025"/>
      <c r="D83" s="1025"/>
      <c r="E83" s="1025"/>
      <c r="F83" s="1025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</row>
    <row r="84" spans="1:26">
      <c r="A84" s="1025"/>
      <c r="B84" s="1025"/>
      <c r="C84" s="1025"/>
      <c r="D84" s="1025"/>
      <c r="E84" s="1025"/>
      <c r="F84" s="1025"/>
      <c r="G84" s="1025"/>
      <c r="H84" s="1025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</row>
    <row r="85" spans="1:26">
      <c r="A85" s="1025"/>
      <c r="B85" s="1025"/>
      <c r="C85" s="1025"/>
      <c r="D85" s="1025"/>
      <c r="E85" s="1025"/>
      <c r="F85" s="1025"/>
      <c r="G85" s="1025"/>
      <c r="H85" s="1025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</row>
    <row r="86" spans="1:26">
      <c r="A86" s="1025"/>
      <c r="B86" s="1025"/>
      <c r="C86" s="1025"/>
      <c r="D86" s="1025"/>
      <c r="E86" s="1025"/>
      <c r="F86" s="1025"/>
      <c r="G86" s="1025"/>
      <c r="H86" s="1025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</row>
    <row r="87" spans="1:26">
      <c r="A87" s="1025"/>
      <c r="B87" s="1025"/>
      <c r="C87" s="1025"/>
      <c r="D87" s="1025"/>
      <c r="E87" s="1025"/>
      <c r="F87" s="1025"/>
      <c r="G87" s="1025"/>
      <c r="H87" s="1025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</row>
    <row r="88" spans="1:26">
      <c r="A88" s="1025"/>
      <c r="B88" s="1025"/>
      <c r="C88" s="1025"/>
      <c r="D88" s="1025"/>
      <c r="E88" s="1025"/>
      <c r="F88" s="1025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</row>
    <row r="89" spans="1:26">
      <c r="A89" s="1025"/>
      <c r="B89" s="1025"/>
      <c r="C89" s="1025"/>
      <c r="D89" s="1025"/>
      <c r="E89" s="1025"/>
      <c r="F89" s="1025"/>
      <c r="G89" s="1025"/>
      <c r="H89" s="1025"/>
      <c r="I89" s="1025"/>
      <c r="J89" s="1025"/>
      <c r="K89" s="1025"/>
      <c r="L89" s="1025"/>
      <c r="M89" s="1025"/>
      <c r="N89" s="1025"/>
      <c r="O89" s="1025"/>
      <c r="P89" s="1025"/>
      <c r="Q89" s="1025"/>
      <c r="R89" s="1025"/>
      <c r="S89" s="1025"/>
      <c r="T89" s="1025"/>
      <c r="U89" s="1025"/>
      <c r="V89" s="1025"/>
      <c r="W89" s="1025"/>
      <c r="X89" s="1025"/>
      <c r="Y89" s="1025"/>
      <c r="Z89" s="1025"/>
    </row>
    <row r="90" spans="1:26">
      <c r="A90" s="1025"/>
      <c r="B90" s="1025"/>
      <c r="C90" s="1025"/>
      <c r="D90" s="1025"/>
      <c r="E90" s="1025"/>
      <c r="F90" s="1025"/>
      <c r="G90" s="1025"/>
      <c r="H90" s="1025"/>
      <c r="I90" s="1025"/>
      <c r="J90" s="1025"/>
      <c r="K90" s="1025"/>
      <c r="L90" s="1025"/>
      <c r="M90" s="1025"/>
      <c r="N90" s="1025"/>
      <c r="O90" s="1025"/>
      <c r="P90" s="1025"/>
      <c r="Q90" s="1025"/>
      <c r="R90" s="1025"/>
      <c r="S90" s="1025"/>
      <c r="T90" s="1025"/>
      <c r="U90" s="1025"/>
      <c r="V90" s="1025"/>
      <c r="W90" s="1025"/>
      <c r="X90" s="1025"/>
      <c r="Y90" s="1025"/>
      <c r="Z90" s="1025"/>
    </row>
    <row r="91" spans="1:26">
      <c r="A91" s="1025"/>
      <c r="B91" s="1025"/>
      <c r="C91" s="1025"/>
      <c r="D91" s="1025"/>
      <c r="E91" s="1025"/>
      <c r="F91" s="1025"/>
      <c r="G91" s="1025"/>
      <c r="H91" s="1025"/>
      <c r="I91" s="1025"/>
      <c r="J91" s="1025"/>
      <c r="K91" s="1025"/>
      <c r="L91" s="1025"/>
      <c r="M91" s="1025"/>
      <c r="N91" s="1025"/>
      <c r="O91" s="1025"/>
      <c r="P91" s="1025"/>
      <c r="Q91" s="1025"/>
      <c r="R91" s="1025"/>
      <c r="S91" s="1025"/>
      <c r="T91" s="1025"/>
      <c r="U91" s="1025"/>
      <c r="V91" s="1025"/>
      <c r="W91" s="1025"/>
      <c r="X91" s="1025"/>
      <c r="Y91" s="1025"/>
      <c r="Z91" s="1025"/>
    </row>
    <row r="92" spans="1:26">
      <c r="A92" s="1025"/>
      <c r="B92" s="1025"/>
      <c r="C92" s="1025"/>
      <c r="D92" s="1025"/>
      <c r="E92" s="1025"/>
      <c r="F92" s="1025"/>
      <c r="G92" s="1025"/>
      <c r="H92" s="1025"/>
      <c r="I92" s="1025"/>
      <c r="J92" s="1025"/>
      <c r="K92" s="1025"/>
      <c r="L92" s="1025"/>
      <c r="M92" s="1025"/>
      <c r="N92" s="1025"/>
      <c r="O92" s="1025"/>
      <c r="P92" s="1025"/>
      <c r="Q92" s="1025"/>
      <c r="R92" s="1025"/>
      <c r="S92" s="1025"/>
      <c r="T92" s="1025"/>
      <c r="U92" s="1025"/>
      <c r="V92" s="1025"/>
      <c r="W92" s="1025"/>
      <c r="X92" s="1025"/>
      <c r="Y92" s="1025"/>
      <c r="Z92" s="1025"/>
    </row>
    <row r="93" spans="1:26">
      <c r="A93" s="1025"/>
      <c r="B93" s="1025"/>
      <c r="C93" s="1025"/>
      <c r="D93" s="1025"/>
      <c r="E93" s="1025"/>
      <c r="F93" s="1025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</row>
    <row r="94" spans="1:26">
      <c r="A94" s="1025"/>
      <c r="B94" s="1025"/>
      <c r="C94" s="1025"/>
      <c r="D94" s="1025"/>
      <c r="E94" s="1025"/>
      <c r="F94" s="1025"/>
      <c r="G94" s="1025"/>
      <c r="H94" s="1025"/>
      <c r="I94" s="1025"/>
      <c r="J94" s="1025"/>
      <c r="K94" s="1025"/>
      <c r="L94" s="1025"/>
      <c r="M94" s="1025"/>
      <c r="N94" s="1025"/>
      <c r="O94" s="1025"/>
      <c r="P94" s="1025"/>
      <c r="Q94" s="1025"/>
      <c r="R94" s="1025"/>
      <c r="S94" s="1025"/>
      <c r="T94" s="1025"/>
      <c r="U94" s="1025"/>
      <c r="V94" s="1025"/>
      <c r="W94" s="1025"/>
      <c r="X94" s="1025"/>
      <c r="Y94" s="1025"/>
      <c r="Z94" s="1025"/>
    </row>
    <row r="95" spans="1:26">
      <c r="A95" s="1025"/>
      <c r="B95" s="1025"/>
      <c r="C95" s="1025"/>
      <c r="D95" s="1025"/>
      <c r="E95" s="1025"/>
      <c r="F95" s="1025"/>
      <c r="G95" s="1025"/>
      <c r="H95" s="1025"/>
      <c r="I95" s="1025"/>
      <c r="J95" s="1025"/>
      <c r="K95" s="1025"/>
      <c r="L95" s="1025"/>
      <c r="M95" s="1025"/>
      <c r="N95" s="1025"/>
      <c r="O95" s="1025"/>
      <c r="P95" s="1025"/>
      <c r="Q95" s="1025"/>
      <c r="R95" s="1025"/>
      <c r="S95" s="1025"/>
      <c r="T95" s="1025"/>
      <c r="U95" s="1025"/>
      <c r="V95" s="1025"/>
      <c r="W95" s="1025"/>
      <c r="X95" s="1025"/>
      <c r="Y95" s="1025"/>
      <c r="Z95" s="1025"/>
    </row>
    <row r="96" spans="1:26">
      <c r="A96" s="1025"/>
      <c r="B96" s="1025"/>
      <c r="C96" s="1025"/>
      <c r="D96" s="1025"/>
      <c r="E96" s="1025"/>
      <c r="F96" s="1025"/>
      <c r="G96" s="1025"/>
      <c r="H96" s="1025"/>
      <c r="I96" s="1025"/>
      <c r="J96" s="1025"/>
      <c r="K96" s="1025"/>
      <c r="L96" s="1025"/>
      <c r="M96" s="1025"/>
      <c r="N96" s="1025"/>
      <c r="O96" s="1025"/>
      <c r="P96" s="1025"/>
      <c r="Q96" s="1025"/>
      <c r="R96" s="1025"/>
      <c r="S96" s="1025"/>
      <c r="T96" s="1025"/>
      <c r="U96" s="1025"/>
      <c r="V96" s="1025"/>
      <c r="W96" s="1025"/>
      <c r="X96" s="1025"/>
      <c r="Y96" s="1025"/>
      <c r="Z96" s="1025"/>
    </row>
    <row r="97" spans="1:26">
      <c r="A97" s="1025"/>
      <c r="B97" s="1025"/>
      <c r="C97" s="1025"/>
      <c r="D97" s="1025"/>
      <c r="E97" s="1025"/>
      <c r="F97" s="1025"/>
      <c r="G97" s="1025"/>
      <c r="H97" s="1025"/>
      <c r="I97" s="1025"/>
      <c r="J97" s="1025"/>
      <c r="K97" s="1025"/>
      <c r="L97" s="1025"/>
      <c r="M97" s="1025"/>
      <c r="N97" s="1025"/>
      <c r="O97" s="1025"/>
      <c r="P97" s="1025"/>
      <c r="Q97" s="1025"/>
      <c r="R97" s="1025"/>
      <c r="S97" s="1025"/>
      <c r="T97" s="1025"/>
      <c r="U97" s="1025"/>
      <c r="V97" s="1025"/>
      <c r="W97" s="1025"/>
      <c r="X97" s="1025"/>
      <c r="Y97" s="1025"/>
      <c r="Z97" s="1025"/>
    </row>
    <row r="98" spans="1:26">
      <c r="A98" s="1025"/>
      <c r="B98" s="1025"/>
      <c r="C98" s="1025"/>
      <c r="D98" s="1025"/>
      <c r="E98" s="1025"/>
      <c r="F98" s="1025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</row>
    <row r="99" spans="1:26">
      <c r="A99" s="1025"/>
      <c r="B99" s="1025"/>
      <c r="C99" s="1025"/>
      <c r="D99" s="1025"/>
      <c r="E99" s="1025"/>
      <c r="F99" s="1025"/>
      <c r="G99" s="1025"/>
      <c r="H99" s="1025"/>
      <c r="I99" s="1025"/>
      <c r="J99" s="1025"/>
      <c r="K99" s="1025"/>
      <c r="L99" s="1025"/>
      <c r="M99" s="1025"/>
      <c r="N99" s="1025"/>
      <c r="O99" s="1025"/>
      <c r="P99" s="1025"/>
      <c r="Q99" s="1025"/>
      <c r="R99" s="1025"/>
      <c r="S99" s="1025"/>
      <c r="T99" s="1025"/>
      <c r="U99" s="1025"/>
      <c r="V99" s="1025"/>
      <c r="W99" s="1025"/>
      <c r="X99" s="1025"/>
      <c r="Y99" s="1025"/>
      <c r="Z99" s="102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1" customWidth="1"/>
    <col min="2" max="2" width="19.5703125" style="511" customWidth="1"/>
    <col min="3" max="3" width="93.5703125" style="511" bestFit="1" customWidth="1"/>
    <col min="4" max="4" width="11.28515625" style="511" customWidth="1"/>
    <col min="5" max="5" width="11.42578125" style="511" customWidth="1"/>
    <col min="6" max="6" width="15.28515625" style="511" customWidth="1"/>
    <col min="7" max="7" width="18.5703125" style="511" customWidth="1"/>
    <col min="8" max="8" width="96.5703125" style="511" customWidth="1"/>
    <col min="9" max="16384" width="9.140625" style="511"/>
  </cols>
  <sheetData>
    <row r="1" spans="2:20" ht="15" thickBot="1"/>
    <row r="2" spans="2:20" ht="19.5" thickBot="1">
      <c r="B2" s="1069" t="s">
        <v>2</v>
      </c>
      <c r="C2" s="1070"/>
      <c r="D2" s="1070"/>
      <c r="E2" s="1071"/>
      <c r="G2" s="1069" t="s">
        <v>3</v>
      </c>
      <c r="H2" s="1071"/>
      <c r="I2" s="512"/>
      <c r="J2" s="512"/>
      <c r="K2" s="513"/>
      <c r="L2" s="513"/>
      <c r="M2" s="513"/>
      <c r="N2" s="513"/>
      <c r="O2" s="513"/>
      <c r="P2" s="513"/>
      <c r="Q2" s="513"/>
      <c r="R2" s="513"/>
      <c r="S2" s="513"/>
      <c r="T2" s="513"/>
    </row>
    <row r="3" spans="2:20" ht="15.75" thickBot="1">
      <c r="B3" s="535" t="s">
        <v>584</v>
      </c>
      <c r="C3" s="536" t="s">
        <v>4</v>
      </c>
      <c r="D3" s="536" t="s">
        <v>5</v>
      </c>
      <c r="E3" s="537" t="s">
        <v>735</v>
      </c>
      <c r="G3" s="515"/>
      <c r="H3" s="565" t="s">
        <v>585</v>
      </c>
      <c r="I3" s="512"/>
      <c r="J3" s="512"/>
      <c r="K3" s="513"/>
      <c r="L3" s="513"/>
      <c r="M3" s="513"/>
      <c r="N3" s="513"/>
      <c r="O3" s="513"/>
      <c r="P3" s="513"/>
      <c r="Q3" s="513"/>
      <c r="R3" s="513"/>
      <c r="S3" s="513"/>
      <c r="T3" s="513"/>
    </row>
    <row r="4" spans="2:20">
      <c r="B4" s="538" t="s">
        <v>733</v>
      </c>
      <c r="C4" s="539" t="s">
        <v>734</v>
      </c>
      <c r="D4" s="540">
        <v>44136</v>
      </c>
      <c r="E4" s="541" t="s">
        <v>736</v>
      </c>
      <c r="G4" s="519"/>
      <c r="H4" s="566" t="s">
        <v>587</v>
      </c>
      <c r="I4" s="512"/>
      <c r="J4" s="512"/>
      <c r="K4" s="513"/>
      <c r="L4" s="513"/>
      <c r="M4" s="513"/>
      <c r="N4" s="513"/>
      <c r="O4" s="513"/>
      <c r="P4" s="513"/>
      <c r="Q4" s="513"/>
      <c r="R4" s="513"/>
      <c r="S4" s="513"/>
      <c r="T4" s="513"/>
    </row>
    <row r="5" spans="2:20">
      <c r="B5" s="542" t="s">
        <v>6</v>
      </c>
      <c r="C5" s="516" t="s">
        <v>586</v>
      </c>
      <c r="D5" s="520">
        <v>44169</v>
      </c>
      <c r="E5" s="543" t="s">
        <v>737</v>
      </c>
      <c r="G5" s="521"/>
      <c r="H5" s="566" t="s">
        <v>589</v>
      </c>
      <c r="I5" s="512"/>
      <c r="J5" s="512"/>
      <c r="K5" s="513"/>
      <c r="L5" s="513"/>
      <c r="M5" s="513"/>
      <c r="N5" s="513"/>
      <c r="O5" s="513"/>
      <c r="P5" s="513"/>
      <c r="Q5" s="513"/>
      <c r="R5" s="513"/>
      <c r="S5" s="513"/>
      <c r="T5" s="513"/>
    </row>
    <row r="6" spans="2:20">
      <c r="B6" s="542" t="s">
        <v>738</v>
      </c>
      <c r="C6" s="516" t="s">
        <v>739</v>
      </c>
      <c r="D6" s="520">
        <v>44166</v>
      </c>
      <c r="E6" s="543" t="s">
        <v>737</v>
      </c>
      <c r="G6" s="522"/>
      <c r="H6" s="566" t="s">
        <v>864</v>
      </c>
      <c r="I6" s="512"/>
      <c r="J6" s="512"/>
      <c r="K6" s="513"/>
      <c r="L6" s="513"/>
      <c r="M6" s="513"/>
      <c r="N6" s="513"/>
      <c r="O6" s="513"/>
      <c r="P6" s="513"/>
      <c r="Q6" s="513"/>
      <c r="R6" s="513"/>
      <c r="S6" s="513"/>
      <c r="T6" s="513"/>
    </row>
    <row r="7" spans="2:20" ht="15" thickBot="1">
      <c r="B7" s="542" t="s">
        <v>741</v>
      </c>
      <c r="C7" s="516" t="s">
        <v>588</v>
      </c>
      <c r="D7" s="517">
        <v>43862</v>
      </c>
      <c r="E7" s="543" t="s">
        <v>737</v>
      </c>
      <c r="G7" s="524"/>
      <c r="H7" s="567" t="s">
        <v>7</v>
      </c>
      <c r="I7" s="512"/>
      <c r="J7" s="512"/>
      <c r="K7" s="513"/>
      <c r="L7" s="513"/>
      <c r="M7" s="513"/>
      <c r="N7" s="513"/>
      <c r="O7" s="513"/>
      <c r="P7" s="513"/>
      <c r="Q7" s="513"/>
      <c r="R7" s="513"/>
      <c r="S7" s="513"/>
      <c r="T7" s="513"/>
    </row>
    <row r="8" spans="2:20">
      <c r="B8" s="542" t="s">
        <v>590</v>
      </c>
      <c r="C8" s="516" t="s">
        <v>740</v>
      </c>
      <c r="D8" s="517">
        <v>44166</v>
      </c>
      <c r="E8" s="543" t="s">
        <v>737</v>
      </c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523"/>
      <c r="T8" s="523"/>
    </row>
    <row r="9" spans="2:20">
      <c r="B9" s="542" t="s">
        <v>742</v>
      </c>
      <c r="C9" s="516" t="s">
        <v>743</v>
      </c>
      <c r="D9" s="517">
        <v>44044</v>
      </c>
      <c r="E9" s="543" t="s">
        <v>737</v>
      </c>
      <c r="I9" s="525"/>
      <c r="J9" s="525"/>
      <c r="K9" s="525"/>
      <c r="L9" s="525"/>
      <c r="M9" s="525"/>
      <c r="N9" s="525"/>
      <c r="O9" s="525"/>
      <c r="P9" s="525"/>
      <c r="Q9" s="525"/>
      <c r="R9" s="525"/>
      <c r="S9" s="525"/>
      <c r="T9" s="525"/>
    </row>
    <row r="10" spans="2:20" ht="15" thickBot="1">
      <c r="B10" s="542" t="s">
        <v>744</v>
      </c>
      <c r="C10" s="516" t="s">
        <v>591</v>
      </c>
      <c r="D10" s="517">
        <v>44136</v>
      </c>
      <c r="E10" s="543" t="s">
        <v>737</v>
      </c>
      <c r="I10" s="525"/>
      <c r="J10" s="525"/>
      <c r="K10" s="525"/>
      <c r="L10" s="525"/>
      <c r="M10" s="525"/>
      <c r="N10" s="525"/>
      <c r="O10" s="525"/>
      <c r="P10" s="525"/>
      <c r="Q10" s="525"/>
      <c r="R10" s="525"/>
      <c r="S10" s="525"/>
      <c r="T10" s="525"/>
    </row>
    <row r="11" spans="2:20" ht="19.5" thickBot="1">
      <c r="B11" s="542" t="s">
        <v>745</v>
      </c>
      <c r="C11" s="516" t="s">
        <v>592</v>
      </c>
      <c r="D11" s="517">
        <v>44013</v>
      </c>
      <c r="E11" s="543" t="s">
        <v>737</v>
      </c>
      <c r="G11" s="1069" t="s">
        <v>11</v>
      </c>
      <c r="H11" s="1071"/>
      <c r="I11" s="525"/>
      <c r="J11" s="525"/>
      <c r="K11" s="525"/>
      <c r="L11" s="525"/>
      <c r="M11" s="525"/>
      <c r="N11" s="525"/>
      <c r="O11" s="525"/>
      <c r="P11" s="525"/>
      <c r="Q11" s="525"/>
      <c r="R11" s="525"/>
      <c r="S11" s="525"/>
      <c r="T11" s="525"/>
    </row>
    <row r="12" spans="2:20" ht="15">
      <c r="B12" s="542" t="s">
        <v>746</v>
      </c>
      <c r="C12" s="516" t="s">
        <v>593</v>
      </c>
      <c r="D12" s="517">
        <v>44136</v>
      </c>
      <c r="E12" s="543" t="s">
        <v>736</v>
      </c>
      <c r="G12" s="526" t="s">
        <v>12</v>
      </c>
      <c r="H12" s="527" t="s">
        <v>599</v>
      </c>
    </row>
    <row r="13" spans="2:20" ht="15">
      <c r="B13" s="542" t="s">
        <v>747</v>
      </c>
      <c r="C13" s="516" t="s">
        <v>749</v>
      </c>
      <c r="D13" s="517">
        <v>44136</v>
      </c>
      <c r="E13" s="543" t="s">
        <v>737</v>
      </c>
      <c r="G13" s="528" t="s">
        <v>600</v>
      </c>
      <c r="H13" s="529" t="s">
        <v>13</v>
      </c>
    </row>
    <row r="14" spans="2:20" ht="15">
      <c r="B14" s="542" t="s">
        <v>748</v>
      </c>
      <c r="C14" s="516" t="s">
        <v>750</v>
      </c>
      <c r="D14" s="517">
        <v>44105</v>
      </c>
      <c r="E14" s="543" t="s">
        <v>737</v>
      </c>
      <c r="G14" s="528" t="s">
        <v>14</v>
      </c>
      <c r="H14" s="568" t="s">
        <v>751</v>
      </c>
    </row>
    <row r="15" spans="2:20" ht="15">
      <c r="B15" s="542" t="s">
        <v>594</v>
      </c>
      <c r="C15" s="516" t="s">
        <v>595</v>
      </c>
      <c r="D15" s="517">
        <v>44105</v>
      </c>
      <c r="E15" s="543" t="s">
        <v>737</v>
      </c>
      <c r="G15" s="530" t="s">
        <v>601</v>
      </c>
      <c r="H15" s="531">
        <v>2018</v>
      </c>
    </row>
    <row r="16" spans="2:20">
      <c r="B16" s="542" t="s">
        <v>8</v>
      </c>
      <c r="C16" s="516" t="s">
        <v>596</v>
      </c>
      <c r="D16" s="517">
        <v>44166</v>
      </c>
      <c r="E16" s="543" t="s">
        <v>737</v>
      </c>
    </row>
    <row r="17" spans="2:8" ht="15" thickBot="1">
      <c r="B17" s="542" t="s">
        <v>9</v>
      </c>
      <c r="C17" s="516" t="s">
        <v>597</v>
      </c>
      <c r="D17" s="517">
        <v>44166</v>
      </c>
      <c r="E17" s="543" t="s">
        <v>737</v>
      </c>
    </row>
    <row r="18" spans="2:8" ht="19.5" thickBot="1">
      <c r="B18" s="544" t="s">
        <v>10</v>
      </c>
      <c r="C18" s="545" t="s">
        <v>598</v>
      </c>
      <c r="D18" s="546">
        <v>44166</v>
      </c>
      <c r="E18" s="547" t="s">
        <v>737</v>
      </c>
      <c r="G18" s="1072" t="s">
        <v>604</v>
      </c>
      <c r="H18" s="1073"/>
    </row>
    <row r="19" spans="2:8" ht="15">
      <c r="B19" s="513"/>
      <c r="C19" s="513"/>
      <c r="D19" s="1009"/>
      <c r="E19" s="525"/>
      <c r="G19" s="553" t="s">
        <v>17</v>
      </c>
      <c r="H19" s="553" t="s">
        <v>764</v>
      </c>
    </row>
    <row r="20" spans="2:8">
      <c r="B20" s="513"/>
      <c r="C20" s="513"/>
      <c r="D20" s="1009"/>
      <c r="E20" s="525"/>
      <c r="G20" s="518"/>
      <c r="H20" s="518"/>
    </row>
    <row r="21" spans="2:8" ht="15" customHeight="1">
      <c r="B21" s="513"/>
      <c r="C21" s="513"/>
      <c r="D21" s="1009"/>
      <c r="E21" s="525"/>
      <c r="G21" s="518"/>
      <c r="H21" s="518"/>
    </row>
    <row r="22" spans="2:8" ht="15" customHeight="1">
      <c r="B22" s="513"/>
      <c r="C22" s="513"/>
      <c r="D22" s="1009"/>
      <c r="E22" s="525"/>
      <c r="G22" s="518"/>
      <c r="H22" s="518"/>
    </row>
    <row r="23" spans="2:8" ht="15" customHeight="1">
      <c r="B23" s="513"/>
      <c r="C23" s="513"/>
      <c r="D23" s="1009"/>
      <c r="E23" s="525"/>
      <c r="G23" s="518"/>
      <c r="H23" s="518"/>
    </row>
    <row r="24" spans="2:8" ht="15" customHeight="1">
      <c r="B24" s="513"/>
      <c r="C24" s="513"/>
      <c r="D24" s="1009"/>
      <c r="E24" s="525"/>
      <c r="G24" s="518"/>
      <c r="H24" s="518"/>
    </row>
    <row r="25" spans="2:8" ht="15" hidden="1" customHeight="1">
      <c r="B25" s="513"/>
      <c r="C25" s="513"/>
      <c r="D25" s="1009"/>
      <c r="E25" s="525"/>
      <c r="G25" s="518"/>
      <c r="H25" s="518"/>
    </row>
    <row r="26" spans="2:8" ht="15" customHeight="1"/>
    <row r="27" spans="2:8" ht="15" customHeight="1" thickBot="1">
      <c r="B27" s="1074" t="s">
        <v>602</v>
      </c>
      <c r="C27" s="1075"/>
      <c r="D27" s="1075"/>
      <c r="E27" s="1075"/>
      <c r="F27" s="1075"/>
    </row>
    <row r="28" spans="2:8" ht="15" customHeight="1">
      <c r="B28" s="549" t="s">
        <v>584</v>
      </c>
      <c r="C28" s="550" t="s">
        <v>4</v>
      </c>
      <c r="D28" s="551" t="s">
        <v>5</v>
      </c>
      <c r="E28" s="552" t="s">
        <v>735</v>
      </c>
      <c r="F28" s="552" t="s">
        <v>871</v>
      </c>
    </row>
    <row r="29" spans="2:8" ht="15" customHeight="1">
      <c r="B29" s="559" t="s">
        <v>15</v>
      </c>
      <c r="C29" s="554" t="s">
        <v>603</v>
      </c>
      <c r="D29" s="554"/>
      <c r="E29" s="560"/>
      <c r="F29" s="1020" t="s">
        <v>872</v>
      </c>
    </row>
    <row r="30" spans="2:8" ht="15">
      <c r="B30" s="1010" t="s">
        <v>16</v>
      </c>
      <c r="C30" s="1018" t="s">
        <v>605</v>
      </c>
      <c r="D30" s="1018"/>
      <c r="E30" s="1019"/>
      <c r="F30" s="1013" t="s">
        <v>316</v>
      </c>
    </row>
    <row r="31" spans="2:8" ht="15">
      <c r="B31" s="559" t="s">
        <v>18</v>
      </c>
      <c r="C31" s="518" t="s">
        <v>19</v>
      </c>
      <c r="D31" s="555" t="s">
        <v>20</v>
      </c>
      <c r="E31" s="543" t="s">
        <v>737</v>
      </c>
      <c r="F31" s="1020" t="s">
        <v>872</v>
      </c>
      <c r="G31" s="480" t="s">
        <v>870</v>
      </c>
    </row>
    <row r="32" spans="2:8" ht="15">
      <c r="B32" s="1010" t="s">
        <v>21</v>
      </c>
      <c r="C32" s="1018" t="s">
        <v>606</v>
      </c>
      <c r="D32" s="1012">
        <v>44044</v>
      </c>
      <c r="E32" s="1019" t="s">
        <v>737</v>
      </c>
      <c r="F32" s="1013" t="s">
        <v>316</v>
      </c>
    </row>
    <row r="33" spans="1:7" ht="17.25" customHeight="1">
      <c r="B33" s="559" t="s">
        <v>607</v>
      </c>
      <c r="C33" s="557" t="s">
        <v>608</v>
      </c>
      <c r="D33" s="556">
        <v>43952</v>
      </c>
      <c r="E33" s="543" t="s">
        <v>737</v>
      </c>
      <c r="F33" s="1021" t="s">
        <v>872</v>
      </c>
    </row>
    <row r="34" spans="1:7" ht="15">
      <c r="B34" s="559" t="s">
        <v>22</v>
      </c>
      <c r="C34" s="557" t="s">
        <v>609</v>
      </c>
      <c r="D34" s="556">
        <v>43952</v>
      </c>
      <c r="E34" s="543" t="s">
        <v>737</v>
      </c>
      <c r="F34" s="1020" t="s">
        <v>872</v>
      </c>
      <c r="G34" s="480" t="s">
        <v>868</v>
      </c>
    </row>
    <row r="35" spans="1:7" ht="15" hidden="1">
      <c r="B35" s="559" t="s">
        <v>752</v>
      </c>
      <c r="C35" s="557" t="s">
        <v>755</v>
      </c>
      <c r="D35" s="556">
        <v>43983</v>
      </c>
      <c r="E35" s="543" t="s">
        <v>737</v>
      </c>
      <c r="F35" s="543" t="s">
        <v>737</v>
      </c>
    </row>
    <row r="36" spans="1:7" ht="15" hidden="1">
      <c r="B36" s="559" t="s">
        <v>753</v>
      </c>
      <c r="C36" s="557" t="s">
        <v>754</v>
      </c>
      <c r="D36" s="556">
        <v>43983</v>
      </c>
      <c r="E36" s="543" t="s">
        <v>737</v>
      </c>
      <c r="F36" s="543" t="s">
        <v>737</v>
      </c>
    </row>
    <row r="37" spans="1:7" ht="15">
      <c r="B37" s="559" t="s">
        <v>756</v>
      </c>
      <c r="C37" s="558" t="s">
        <v>867</v>
      </c>
      <c r="D37" s="556">
        <v>43983</v>
      </c>
      <c r="E37" s="543" t="s">
        <v>737</v>
      </c>
      <c r="F37" s="1021" t="s">
        <v>872</v>
      </c>
      <c r="G37" s="480" t="s">
        <v>866</v>
      </c>
    </row>
    <row r="38" spans="1:7" ht="15">
      <c r="B38" s="559" t="s">
        <v>757</v>
      </c>
      <c r="C38" s="558" t="s">
        <v>583</v>
      </c>
      <c r="D38" s="556">
        <v>43983</v>
      </c>
      <c r="E38" s="543" t="s">
        <v>737</v>
      </c>
      <c r="F38" s="1021" t="s">
        <v>872</v>
      </c>
      <c r="G38" s="480" t="s">
        <v>866</v>
      </c>
    </row>
    <row r="39" spans="1:7" ht="15">
      <c r="B39" s="559" t="s">
        <v>759</v>
      </c>
      <c r="C39" s="558" t="s">
        <v>873</v>
      </c>
      <c r="D39" s="556">
        <v>43983</v>
      </c>
      <c r="E39" s="543" t="s">
        <v>737</v>
      </c>
      <c r="F39" s="1021" t="s">
        <v>872</v>
      </c>
      <c r="G39" s="480" t="s">
        <v>874</v>
      </c>
    </row>
    <row r="40" spans="1:7" ht="15">
      <c r="B40" s="559" t="s">
        <v>758</v>
      </c>
      <c r="C40" s="558" t="s">
        <v>582</v>
      </c>
      <c r="D40" s="556">
        <v>43983</v>
      </c>
      <c r="E40" s="543" t="s">
        <v>737</v>
      </c>
      <c r="F40" s="1021" t="s">
        <v>872</v>
      </c>
    </row>
    <row r="41" spans="1:7" ht="15">
      <c r="B41" s="559" t="s">
        <v>760</v>
      </c>
      <c r="C41" s="558" t="s">
        <v>761</v>
      </c>
      <c r="D41" s="556">
        <v>44044</v>
      </c>
      <c r="E41" s="543" t="s">
        <v>737</v>
      </c>
      <c r="F41" s="1020" t="s">
        <v>872</v>
      </c>
    </row>
    <row r="42" spans="1:7" ht="15">
      <c r="A42" s="525"/>
      <c r="B42" s="1010" t="s">
        <v>763</v>
      </c>
      <c r="C42" s="1011" t="s">
        <v>762</v>
      </c>
      <c r="D42" s="1012">
        <v>44044</v>
      </c>
      <c r="E42" s="1013" t="s">
        <v>737</v>
      </c>
      <c r="F42" s="1013" t="s">
        <v>316</v>
      </c>
    </row>
    <row r="43" spans="1:7" ht="15.75" thickBot="1">
      <c r="A43" s="525"/>
      <c r="B43" s="1014" t="s">
        <v>763</v>
      </c>
      <c r="C43" s="1015" t="s">
        <v>762</v>
      </c>
      <c r="D43" s="1016">
        <v>44044</v>
      </c>
      <c r="E43" s="1017" t="s">
        <v>737</v>
      </c>
      <c r="F43" s="1017" t="s">
        <v>316</v>
      </c>
    </row>
    <row r="44" spans="1:7" ht="15">
      <c r="A44" s="525"/>
      <c r="B44" s="1022" t="s">
        <v>753</v>
      </c>
      <c r="C44" s="1023" t="s">
        <v>875</v>
      </c>
      <c r="D44" s="556">
        <v>44044</v>
      </c>
      <c r="E44" s="543" t="s">
        <v>737</v>
      </c>
      <c r="F44" s="1021" t="s">
        <v>872</v>
      </c>
      <c r="G44" s="511" t="s">
        <v>876</v>
      </c>
    </row>
    <row r="45" spans="1:7" ht="15" thickBot="1">
      <c r="A45" s="525"/>
      <c r="F45" s="525"/>
    </row>
    <row r="46" spans="1:7" ht="19.5" thickBot="1">
      <c r="B46" s="1069" t="s">
        <v>610</v>
      </c>
      <c r="C46" s="1070"/>
      <c r="D46" s="1070"/>
      <c r="E46" s="1071"/>
    </row>
    <row r="47" spans="1:7" ht="15">
      <c r="B47" s="532" t="s">
        <v>611</v>
      </c>
      <c r="C47" s="533" t="s">
        <v>4</v>
      </c>
      <c r="D47" s="514" t="s">
        <v>5</v>
      </c>
      <c r="E47" s="514" t="s">
        <v>735</v>
      </c>
    </row>
    <row r="48" spans="1:7" ht="15">
      <c r="B48" s="553">
        <v>1</v>
      </c>
      <c r="C48" s="554" t="s">
        <v>863</v>
      </c>
      <c r="D48" s="563">
        <v>44166</v>
      </c>
      <c r="E48" s="564" t="s">
        <v>737</v>
      </c>
      <c r="G48" s="511" t="s">
        <v>869</v>
      </c>
    </row>
    <row r="49" spans="2:5" ht="15">
      <c r="B49" s="553"/>
      <c r="C49" s="518"/>
      <c r="D49" s="518"/>
      <c r="E49" s="555"/>
    </row>
    <row r="50" spans="2:5" ht="15">
      <c r="B50" s="534"/>
      <c r="C50" s="525"/>
      <c r="D50" s="525"/>
      <c r="E50" s="561"/>
    </row>
    <row r="51" spans="2:5" ht="15">
      <c r="B51" s="534"/>
      <c r="C51" s="562"/>
      <c r="D51" s="562"/>
      <c r="E51" s="548"/>
    </row>
    <row r="52" spans="2:5" ht="15">
      <c r="B52" s="534"/>
      <c r="C52" s="562"/>
      <c r="D52" s="562"/>
      <c r="E52" s="54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1" t="str" cm="1">
        <f t="array" ref="C3">INDEX(C5:C7,$A$4)</f>
        <v>IE</v>
      </c>
      <c r="D3" s="461" t="str" cm="1">
        <f t="array" ref="D3">INDEX(D5:D7,$A$4)</f>
        <v>National</v>
      </c>
      <c r="E3" s="461" t="str" cm="1">
        <f t="array" ref="E3">INDEX(E5:E7,$A$4)</f>
        <v>IE-CW</v>
      </c>
      <c r="F3" s="461" t="str" cm="1">
        <f t="array" ref="F3">INDEX(F5:F7,$A$4)</f>
        <v>IE-D</v>
      </c>
      <c r="G3" s="461" t="str" cm="1">
        <f t="array" ref="G3">INDEX(G5:G7,$A$4)</f>
        <v>IE-KE</v>
      </c>
      <c r="H3" s="461" t="str" cm="1">
        <f t="array" ref="H3">INDEX(H5:H7,$A$4)</f>
        <v>IE-KK</v>
      </c>
      <c r="I3" s="461" t="str" cm="1">
        <f t="array" ref="I3">INDEX(I5:I7,$A$4)</f>
        <v>IE-LS</v>
      </c>
      <c r="J3" s="461" t="str" cm="1">
        <f t="array" ref="J3">INDEX(J5:J7,$A$4)</f>
        <v>IE-LD</v>
      </c>
      <c r="K3" s="461" t="str" cm="1">
        <f t="array" ref="K3">INDEX(K5:K7,$A$4)</f>
        <v>IE-LH</v>
      </c>
      <c r="L3" s="461" t="str" cm="1">
        <f t="array" ref="L3">INDEX(L5:L7,$A$4)</f>
        <v>IE-MH</v>
      </c>
      <c r="M3" s="461" t="str" cm="1">
        <f t="array" ref="M3">INDEX(M5:M7,$A$4)</f>
        <v>IE-OY</v>
      </c>
      <c r="N3" s="461" t="str" cm="1">
        <f t="array" ref="N3">INDEX(N5:N7,$A$4)</f>
        <v>IE-WH</v>
      </c>
      <c r="O3" s="461" t="str" cm="1">
        <f t="array" ref="O3">INDEX(O5:O7,$A$4)</f>
        <v>IE-WX</v>
      </c>
      <c r="P3" s="461" t="str" cm="1">
        <f t="array" ref="P3">INDEX(P5:P7,$A$4)</f>
        <v>IE-WW</v>
      </c>
      <c r="Q3" s="461" t="str" cm="1">
        <f t="array" ref="Q3">INDEX(Q5:Q7,$A$4)</f>
        <v>IE-CE</v>
      </c>
      <c r="R3" s="461" t="str" cm="1">
        <f t="array" ref="R3">INDEX(R5:R7,$A$4)</f>
        <v>IE-CO</v>
      </c>
      <c r="S3" s="461" t="str" cm="1">
        <f t="array" ref="S3">INDEX(S5:S7,$A$4)</f>
        <v>IE-KY</v>
      </c>
      <c r="T3" s="461" t="str" cm="1">
        <f t="array" ref="T3">INDEX(T5:T7,$A$4)</f>
        <v>IE-LK</v>
      </c>
      <c r="U3" s="461" t="str" cm="1">
        <f t="array" ref="U3">INDEX(U5:U7,$A$4)</f>
        <v>IE-TA</v>
      </c>
      <c r="V3" s="461" t="str" cm="1">
        <f t="array" ref="V3">INDEX(V5:V7,$A$4)</f>
        <v>IE-WD</v>
      </c>
      <c r="W3" s="461" t="str" cm="1">
        <f t="array" ref="W3">INDEX(W5:W7,$A$4)</f>
        <v>IE-G</v>
      </c>
      <c r="X3" s="461" t="str" cm="1">
        <f t="array" ref="X3">INDEX(X5:X7,$A$4)</f>
        <v>IE-LM</v>
      </c>
      <c r="Y3" s="461" t="str" cm="1">
        <f t="array" ref="Y3">INDEX(Y5:Y7,$A$4)</f>
        <v>IE-MO</v>
      </c>
      <c r="Z3" s="461" t="str" cm="1">
        <f t="array" ref="Z3">INDEX(Z5:Z7,$A$4)</f>
        <v>IE-RN</v>
      </c>
      <c r="AA3" s="461" t="str" cm="1">
        <f t="array" ref="AA3">INDEX(AA5:AA7,$A$4)</f>
        <v>IE-SO</v>
      </c>
      <c r="AB3" s="461" t="str" cm="1">
        <f t="array" ref="AB3">INDEX(AB5:AB7,$A$4)</f>
        <v>IE-CN</v>
      </c>
      <c r="AC3" s="461" t="str" cm="1">
        <f t="array" ref="AC3">INDEX(AC5:AC7,$A$4)</f>
        <v>IE-DL</v>
      </c>
      <c r="AD3" s="461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2" t="s">
        <v>194</v>
      </c>
      <c r="D5" s="462" t="s">
        <v>663</v>
      </c>
      <c r="E5" s="461" t="str">
        <f>A11</f>
        <v>IE-CW</v>
      </c>
      <c r="F5" s="461" t="str">
        <f>A16</f>
        <v>IE-D</v>
      </c>
      <c r="G5" s="461" t="str">
        <f>A19</f>
        <v>IE-KE</v>
      </c>
      <c r="H5" s="461" t="str">
        <f>A20</f>
        <v>IE-KK</v>
      </c>
      <c r="I5" s="461" t="str">
        <f>A21</f>
        <v>IE-LS</v>
      </c>
      <c r="J5" s="461" t="str">
        <f>A24</f>
        <v>IE-LD</v>
      </c>
      <c r="K5" s="461" t="str">
        <f>A25</f>
        <v>IE-LH</v>
      </c>
      <c r="L5" s="461" t="str">
        <f>A27</f>
        <v>IE-MH</v>
      </c>
      <c r="M5" s="461" t="str">
        <f>A29</f>
        <v>IE-OY</v>
      </c>
      <c r="N5" s="461" t="str">
        <f>A34</f>
        <v>IE-WH</v>
      </c>
      <c r="O5" s="461" t="str">
        <f>A35</f>
        <v>IE-WX</v>
      </c>
      <c r="P5" s="461" t="str">
        <f>A36</f>
        <v>IE-WW</v>
      </c>
      <c r="Q5" s="461" t="str">
        <f>A13</f>
        <v>IE-CE</v>
      </c>
      <c r="R5" s="461" t="str">
        <f>A14</f>
        <v>IE-CO</v>
      </c>
      <c r="S5" s="461" t="str">
        <f>A18</f>
        <v>IE-KY</v>
      </c>
      <c r="T5" s="461" t="str">
        <f>A23</f>
        <v>IE-LK</v>
      </c>
      <c r="U5" s="461" t="str">
        <f>A32</f>
        <v>IE-TA</v>
      </c>
      <c r="V5" s="461" t="str">
        <f>A33</f>
        <v>IE-WD</v>
      </c>
      <c r="W5" s="461" t="str">
        <f>A17</f>
        <v>IE-G</v>
      </c>
      <c r="X5" s="461" t="str">
        <f>A22</f>
        <v>IE-LM</v>
      </c>
      <c r="Y5" s="461" t="str">
        <f>A26</f>
        <v>IE-MO</v>
      </c>
      <c r="Z5" s="461" t="str">
        <f>A30</f>
        <v>IE-RN</v>
      </c>
      <c r="AA5" s="461" t="str">
        <f>A31</f>
        <v>IE-SO</v>
      </c>
      <c r="AB5" s="461" t="str">
        <f>A12</f>
        <v>IE-CN</v>
      </c>
      <c r="AC5" s="461" t="str">
        <f>A15</f>
        <v>IE-DL</v>
      </c>
      <c r="AD5" s="461" t="str">
        <f>A28</f>
        <v>IE-MN</v>
      </c>
    </row>
    <row r="6" spans="1:30" ht="15">
      <c r="A6" s="268" t="s">
        <v>664</v>
      </c>
      <c r="C6" s="461" t="str">
        <f>C5</f>
        <v>IE</v>
      </c>
      <c r="D6" s="461" t="str">
        <f>"*"&amp;D5</f>
        <v>*National</v>
      </c>
      <c r="E6" s="461" t="str">
        <f>"*"&amp;E5</f>
        <v>*IE-CW</v>
      </c>
      <c r="F6" s="461" t="str">
        <f t="shared" ref="F6:AD6" si="0">"*"&amp;F5</f>
        <v>*IE-D</v>
      </c>
      <c r="G6" s="461" t="str">
        <f t="shared" si="0"/>
        <v>*IE-KE</v>
      </c>
      <c r="H6" s="461" t="str">
        <f t="shared" si="0"/>
        <v>*IE-KK</v>
      </c>
      <c r="I6" s="461" t="str">
        <f t="shared" si="0"/>
        <v>*IE-LS</v>
      </c>
      <c r="J6" s="461" t="str">
        <f t="shared" si="0"/>
        <v>*IE-LD</v>
      </c>
      <c r="K6" s="461" t="str">
        <f t="shared" si="0"/>
        <v>*IE-LH</v>
      </c>
      <c r="L6" s="461" t="str">
        <f t="shared" si="0"/>
        <v>*IE-MH</v>
      </c>
      <c r="M6" s="461" t="str">
        <f t="shared" si="0"/>
        <v>*IE-OY</v>
      </c>
      <c r="N6" s="461" t="str">
        <f t="shared" si="0"/>
        <v>*IE-WH</v>
      </c>
      <c r="O6" s="461" t="str">
        <f t="shared" si="0"/>
        <v>*IE-WX</v>
      </c>
      <c r="P6" s="461" t="str">
        <f t="shared" si="0"/>
        <v>*IE-WW</v>
      </c>
      <c r="Q6" s="461" t="str">
        <f t="shared" si="0"/>
        <v>*IE-CE</v>
      </c>
      <c r="R6" s="461" t="str">
        <f t="shared" si="0"/>
        <v>*IE-CO</v>
      </c>
      <c r="S6" s="461" t="str">
        <f t="shared" si="0"/>
        <v>*IE-KY</v>
      </c>
      <c r="T6" s="461" t="str">
        <f t="shared" si="0"/>
        <v>*IE-LK</v>
      </c>
      <c r="U6" s="461" t="str">
        <f t="shared" si="0"/>
        <v>*IE-TA</v>
      </c>
      <c r="V6" s="461" t="str">
        <f t="shared" si="0"/>
        <v>*IE-WD</v>
      </c>
      <c r="W6" s="461" t="str">
        <f t="shared" si="0"/>
        <v>*IE-G</v>
      </c>
      <c r="X6" s="461" t="str">
        <f t="shared" si="0"/>
        <v>*IE-LM</v>
      </c>
      <c r="Y6" s="461" t="str">
        <f t="shared" si="0"/>
        <v>*IE-MO</v>
      </c>
      <c r="Z6" s="461" t="str">
        <f t="shared" si="0"/>
        <v>*IE-RN</v>
      </c>
      <c r="AA6" s="461" t="str">
        <f t="shared" si="0"/>
        <v>*IE-SO</v>
      </c>
      <c r="AB6" s="461" t="str">
        <f t="shared" si="0"/>
        <v>*IE-CN</v>
      </c>
      <c r="AC6" s="461" t="str">
        <f t="shared" si="0"/>
        <v>*IE-DL</v>
      </c>
      <c r="AD6" s="461" t="str">
        <f t="shared" si="0"/>
        <v>*IE-MN</v>
      </c>
    </row>
    <row r="7" spans="1:30" ht="15">
      <c r="A7" s="268" t="s">
        <v>665</v>
      </c>
      <c r="C7" s="461" t="str">
        <f>"*"&amp;C5</f>
        <v>*IE</v>
      </c>
      <c r="D7" s="461" t="str">
        <f>D5</f>
        <v>National</v>
      </c>
      <c r="E7" s="461" t="str">
        <f t="shared" ref="E7:AD7" si="1">E5</f>
        <v>IE-CW</v>
      </c>
      <c r="F7" s="461" t="str">
        <f t="shared" si="1"/>
        <v>IE-D</v>
      </c>
      <c r="G7" s="461" t="str">
        <f t="shared" si="1"/>
        <v>IE-KE</v>
      </c>
      <c r="H7" s="461" t="str">
        <f t="shared" si="1"/>
        <v>IE-KK</v>
      </c>
      <c r="I7" s="461" t="str">
        <f t="shared" si="1"/>
        <v>IE-LS</v>
      </c>
      <c r="J7" s="461" t="str">
        <f t="shared" si="1"/>
        <v>IE-LD</v>
      </c>
      <c r="K7" s="461" t="str">
        <f t="shared" si="1"/>
        <v>IE-LH</v>
      </c>
      <c r="L7" s="461" t="str">
        <f t="shared" si="1"/>
        <v>IE-MH</v>
      </c>
      <c r="M7" s="461" t="str">
        <f t="shared" si="1"/>
        <v>IE-OY</v>
      </c>
      <c r="N7" s="461" t="str">
        <f t="shared" si="1"/>
        <v>IE-WH</v>
      </c>
      <c r="O7" s="461" t="str">
        <f t="shared" si="1"/>
        <v>IE-WX</v>
      </c>
      <c r="P7" s="461" t="str">
        <f t="shared" si="1"/>
        <v>IE-WW</v>
      </c>
      <c r="Q7" s="461" t="str">
        <f t="shared" si="1"/>
        <v>IE-CE</v>
      </c>
      <c r="R7" s="461" t="str">
        <f t="shared" si="1"/>
        <v>IE-CO</v>
      </c>
      <c r="S7" s="461" t="str">
        <f t="shared" si="1"/>
        <v>IE-KY</v>
      </c>
      <c r="T7" s="461" t="str">
        <f t="shared" si="1"/>
        <v>IE-LK</v>
      </c>
      <c r="U7" s="461" t="str">
        <f t="shared" si="1"/>
        <v>IE-TA</v>
      </c>
      <c r="V7" s="461" t="str">
        <f t="shared" si="1"/>
        <v>IE-WD</v>
      </c>
      <c r="W7" s="461" t="str">
        <f t="shared" si="1"/>
        <v>IE-G</v>
      </c>
      <c r="X7" s="461" t="str">
        <f t="shared" si="1"/>
        <v>IE-LM</v>
      </c>
      <c r="Y7" s="461" t="str">
        <f t="shared" si="1"/>
        <v>IE-MO</v>
      </c>
      <c r="Z7" s="461" t="str">
        <f t="shared" si="1"/>
        <v>IE-RN</v>
      </c>
      <c r="AA7" s="461" t="str">
        <f t="shared" si="1"/>
        <v>IE-SO</v>
      </c>
      <c r="AB7" s="461" t="str">
        <f t="shared" si="1"/>
        <v>IE-CN</v>
      </c>
      <c r="AC7" s="461" t="str">
        <f t="shared" si="1"/>
        <v>IE-DL</v>
      </c>
      <c r="AD7" s="461" t="str">
        <f t="shared" si="1"/>
        <v>IE-MN</v>
      </c>
    </row>
    <row r="10" spans="1:30" ht="15.75" thickBot="1">
      <c r="A10" s="463" t="s">
        <v>633</v>
      </c>
      <c r="B10" s="463" t="s">
        <v>666</v>
      </c>
    </row>
    <row r="11" spans="1:30">
      <c r="A11" s="464" t="s">
        <v>667</v>
      </c>
      <c r="B11" s="464" t="s">
        <v>296</v>
      </c>
    </row>
    <row r="12" spans="1:30">
      <c r="A12" s="465" t="s">
        <v>668</v>
      </c>
      <c r="B12" s="465" t="s">
        <v>308</v>
      </c>
    </row>
    <row r="13" spans="1:30">
      <c r="A13" s="465" t="s">
        <v>669</v>
      </c>
      <c r="B13" s="465" t="s">
        <v>326</v>
      </c>
    </row>
    <row r="14" spans="1:30">
      <c r="A14" s="465" t="s">
        <v>670</v>
      </c>
      <c r="B14" s="465" t="s">
        <v>330</v>
      </c>
    </row>
    <row r="15" spans="1:30">
      <c r="A15" s="465" t="s">
        <v>671</v>
      </c>
      <c r="B15" s="465" t="s">
        <v>334</v>
      </c>
    </row>
    <row r="16" spans="1:30">
      <c r="A16" s="465" t="s">
        <v>672</v>
      </c>
      <c r="B16" s="465" t="s">
        <v>338</v>
      </c>
    </row>
    <row r="17" spans="1:2">
      <c r="A17" s="465" t="s">
        <v>673</v>
      </c>
      <c r="B17" s="465" t="s">
        <v>340</v>
      </c>
    </row>
    <row r="18" spans="1:2">
      <c r="A18" s="465" t="s">
        <v>674</v>
      </c>
      <c r="B18" s="465" t="s">
        <v>341</v>
      </c>
    </row>
    <row r="19" spans="1:2">
      <c r="A19" s="465" t="s">
        <v>675</v>
      </c>
      <c r="B19" s="465" t="s">
        <v>327</v>
      </c>
    </row>
    <row r="20" spans="1:2">
      <c r="A20" s="465" t="s">
        <v>676</v>
      </c>
      <c r="B20" s="465" t="s">
        <v>328</v>
      </c>
    </row>
    <row r="21" spans="1:2">
      <c r="A21" s="465" t="s">
        <v>677</v>
      </c>
      <c r="B21" s="465" t="s">
        <v>329</v>
      </c>
    </row>
    <row r="22" spans="1:2">
      <c r="A22" s="465" t="s">
        <v>678</v>
      </c>
      <c r="B22" s="465" t="s">
        <v>345</v>
      </c>
    </row>
    <row r="23" spans="1:2">
      <c r="A23" s="465" t="s">
        <v>679</v>
      </c>
      <c r="B23" s="465" t="s">
        <v>342</v>
      </c>
    </row>
    <row r="24" spans="1:2">
      <c r="A24" s="465" t="s">
        <v>680</v>
      </c>
      <c r="B24" s="465" t="s">
        <v>331</v>
      </c>
    </row>
    <row r="25" spans="1:2">
      <c r="A25" s="465" t="s">
        <v>681</v>
      </c>
      <c r="B25" s="465" t="s">
        <v>332</v>
      </c>
    </row>
    <row r="26" spans="1:2">
      <c r="A26" s="465" t="s">
        <v>682</v>
      </c>
      <c r="B26" s="465" t="s">
        <v>346</v>
      </c>
    </row>
    <row r="27" spans="1:2">
      <c r="A27" s="465" t="s">
        <v>683</v>
      </c>
      <c r="B27" s="465" t="s">
        <v>333</v>
      </c>
    </row>
    <row r="28" spans="1:2">
      <c r="A28" s="465" t="s">
        <v>684</v>
      </c>
      <c r="B28" s="465" t="s">
        <v>349</v>
      </c>
    </row>
    <row r="29" spans="1:2">
      <c r="A29" s="465" t="s">
        <v>685</v>
      </c>
      <c r="B29" s="465" t="s">
        <v>335</v>
      </c>
    </row>
    <row r="30" spans="1:2">
      <c r="A30" s="465" t="s">
        <v>686</v>
      </c>
      <c r="B30" s="465" t="s">
        <v>347</v>
      </c>
    </row>
    <row r="31" spans="1:2">
      <c r="A31" s="465" t="s">
        <v>687</v>
      </c>
      <c r="B31" s="465" t="s">
        <v>348</v>
      </c>
    </row>
    <row r="32" spans="1:2">
      <c r="A32" s="465" t="s">
        <v>688</v>
      </c>
      <c r="B32" s="465" t="s">
        <v>343</v>
      </c>
    </row>
    <row r="33" spans="1:2">
      <c r="A33" s="465" t="s">
        <v>689</v>
      </c>
      <c r="B33" s="465" t="s">
        <v>344</v>
      </c>
    </row>
    <row r="34" spans="1:2">
      <c r="A34" s="465" t="s">
        <v>690</v>
      </c>
      <c r="B34" s="465" t="s">
        <v>336</v>
      </c>
    </row>
    <row r="35" spans="1:2">
      <c r="A35" s="465" t="s">
        <v>691</v>
      </c>
      <c r="B35" s="465" t="s">
        <v>337</v>
      </c>
    </row>
    <row r="36" spans="1:2">
      <c r="A36" s="465" t="s">
        <v>692</v>
      </c>
      <c r="B36" s="465" t="s">
        <v>339</v>
      </c>
    </row>
    <row r="37" spans="1:2" ht="15">
      <c r="A37" s="466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079" t="s">
        <v>23</v>
      </c>
      <c r="B1" s="1080"/>
      <c r="C1" s="1080"/>
    </row>
    <row r="2" spans="1:3" s="67" customFormat="1">
      <c r="A2" s="944" t="s">
        <v>612</v>
      </c>
      <c r="B2" s="944" t="s">
        <v>24</v>
      </c>
      <c r="C2" s="944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706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44"/>
      <c r="B6" s="944" t="s">
        <v>24</v>
      </c>
      <c r="C6" s="944" t="s">
        <v>4</v>
      </c>
    </row>
    <row r="7" spans="1:3">
      <c r="A7" s="1076" t="s">
        <v>25</v>
      </c>
      <c r="B7" s="1077"/>
      <c r="C7" s="107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076" t="s">
        <v>26</v>
      </c>
      <c r="B28" s="1077"/>
      <c r="C28" s="107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076" t="s">
        <v>39</v>
      </c>
      <c r="B35" s="1077"/>
      <c r="C35" s="107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076" t="s">
        <v>47</v>
      </c>
      <c r="B39" s="1077"/>
      <c r="C39" s="107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076" t="s">
        <v>66</v>
      </c>
      <c r="B49" s="1077"/>
      <c r="C49" s="1078"/>
    </row>
    <row r="50" spans="1:3">
      <c r="A50" s="291"/>
      <c r="B50" s="272" t="s">
        <v>719</v>
      </c>
      <c r="C50" s="271" t="s">
        <v>219</v>
      </c>
    </row>
    <row r="51" spans="1:3">
      <c r="A51" s="487" t="s">
        <v>254</v>
      </c>
      <c r="B51" s="272" t="s">
        <v>720</v>
      </c>
      <c r="C51" s="271" t="s">
        <v>730</v>
      </c>
    </row>
    <row r="52" spans="1:3">
      <c r="A52" s="291"/>
      <c r="B52" s="272" t="s">
        <v>721</v>
      </c>
      <c r="C52" s="271" t="s">
        <v>220</v>
      </c>
    </row>
    <row r="53" spans="1:3">
      <c r="A53" s="291"/>
      <c r="B53" s="272" t="s">
        <v>723</v>
      </c>
      <c r="C53" s="271" t="s">
        <v>221</v>
      </c>
    </row>
    <row r="54" spans="1:3">
      <c r="A54" s="291"/>
      <c r="B54" s="272" t="s">
        <v>722</v>
      </c>
      <c r="C54" s="271" t="s">
        <v>222</v>
      </c>
    </row>
    <row r="55" spans="1:3">
      <c r="A55" s="291"/>
      <c r="B55" s="272" t="s">
        <v>724</v>
      </c>
      <c r="C55" s="271" t="s">
        <v>224</v>
      </c>
    </row>
    <row r="56" spans="1:3">
      <c r="A56" s="291"/>
      <c r="B56" s="272" t="s">
        <v>725</v>
      </c>
      <c r="C56" s="271" t="s">
        <v>223</v>
      </c>
    </row>
    <row r="57" spans="1:3">
      <c r="A57" s="291"/>
      <c r="B57" s="272" t="s">
        <v>726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727</v>
      </c>
      <c r="C59" s="271" t="s">
        <v>227</v>
      </c>
    </row>
    <row r="60" spans="1:3">
      <c r="A60" s="291"/>
      <c r="B60" s="272" t="s">
        <v>728</v>
      </c>
      <c r="C60" s="271" t="s">
        <v>731</v>
      </c>
    </row>
    <row r="61" spans="1:3">
      <c r="A61" s="487" t="s">
        <v>254</v>
      </c>
      <c r="B61" s="272" t="s">
        <v>729</v>
      </c>
      <c r="C61" s="271" t="s">
        <v>732</v>
      </c>
    </row>
    <row r="62" spans="1:3">
      <c r="A62" s="1076" t="s">
        <v>68</v>
      </c>
      <c r="B62" s="1077"/>
      <c r="C62" s="1078"/>
    </row>
    <row r="63" spans="1:3">
      <c r="A63" s="1076" t="s">
        <v>69</v>
      </c>
      <c r="B63" s="1077"/>
      <c r="C63" s="107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076" t="s">
        <v>76</v>
      </c>
      <c r="B70" s="1077"/>
      <c r="C70" s="107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076" t="s">
        <v>487</v>
      </c>
      <c r="B76" s="1077"/>
      <c r="C76" s="1078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076" t="s">
        <v>716</v>
      </c>
      <c r="B84" s="1077"/>
      <c r="C84" s="1078"/>
    </row>
    <row r="85" spans="1:3">
      <c r="B85" s="80" t="s">
        <v>717</v>
      </c>
      <c r="C85" s="80" t="s">
        <v>718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88" t="s">
        <v>787</v>
      </c>
      <c r="B1" s="589" t="s">
        <v>788</v>
      </c>
      <c r="C1" s="857" t="s">
        <v>88</v>
      </c>
      <c r="D1" s="860" t="s">
        <v>89</v>
      </c>
      <c r="E1" s="861" t="s">
        <v>789</v>
      </c>
      <c r="F1" s="862" t="s">
        <v>90</v>
      </c>
      <c r="G1" s="862" t="s">
        <v>91</v>
      </c>
      <c r="H1" s="858" t="s">
        <v>92</v>
      </c>
      <c r="I1" s="860" t="s">
        <v>93</v>
      </c>
      <c r="J1" s="861" t="s">
        <v>94</v>
      </c>
      <c r="K1" s="861" t="s">
        <v>95</v>
      </c>
      <c r="L1" s="858" t="s">
        <v>96</v>
      </c>
      <c r="M1" s="860" t="s">
        <v>97</v>
      </c>
      <c r="N1" s="860" t="s">
        <v>790</v>
      </c>
      <c r="O1" s="861" t="s">
        <v>98</v>
      </c>
      <c r="P1" s="861" t="s">
        <v>99</v>
      </c>
      <c r="Q1" s="861" t="s">
        <v>100</v>
      </c>
      <c r="R1" s="861" t="s">
        <v>101</v>
      </c>
      <c r="S1" s="861" t="s">
        <v>102</v>
      </c>
      <c r="T1" s="858" t="s">
        <v>103</v>
      </c>
      <c r="U1" s="861" t="s">
        <v>104</v>
      </c>
      <c r="V1" s="861" t="s">
        <v>105</v>
      </c>
      <c r="W1" s="862" t="s">
        <v>106</v>
      </c>
      <c r="X1" s="862" t="s">
        <v>107</v>
      </c>
      <c r="Y1" s="862" t="s">
        <v>108</v>
      </c>
      <c r="Z1" s="861" t="s">
        <v>109</v>
      </c>
      <c r="AA1" s="858" t="s">
        <v>110</v>
      </c>
      <c r="AB1" s="859" t="s">
        <v>111</v>
      </c>
      <c r="AC1" s="863" t="s">
        <v>112</v>
      </c>
      <c r="AD1" s="861" t="s">
        <v>113</v>
      </c>
      <c r="AE1" s="858" t="s">
        <v>791</v>
      </c>
      <c r="AF1" s="861" t="s">
        <v>792</v>
      </c>
      <c r="AG1" s="861" t="s">
        <v>114</v>
      </c>
      <c r="AH1" s="861" t="s">
        <v>115</v>
      </c>
      <c r="AI1" s="858" t="s">
        <v>793</v>
      </c>
      <c r="AJ1" s="858" t="s">
        <v>794</v>
      </c>
      <c r="AK1" s="858" t="s">
        <v>795</v>
      </c>
      <c r="AL1" s="858" t="s">
        <v>796</v>
      </c>
      <c r="AM1" s="858" t="s">
        <v>797</v>
      </c>
      <c r="AN1" s="858" t="s">
        <v>116</v>
      </c>
      <c r="AO1" s="858" t="s">
        <v>117</v>
      </c>
      <c r="AP1" s="859" t="s">
        <v>118</v>
      </c>
      <c r="AQ1" s="590" t="s">
        <v>119</v>
      </c>
      <c r="AS1" s="2"/>
    </row>
    <row r="2" spans="1:45" s="3" customFormat="1" ht="12.75" customHeight="1">
      <c r="A2" s="591" t="s">
        <v>120</v>
      </c>
      <c r="B2" s="592"/>
      <c r="C2" s="593">
        <f>SUM(D2:G2)</f>
        <v>0</v>
      </c>
      <c r="D2" s="594">
        <v>0</v>
      </c>
      <c r="E2" s="595"/>
      <c r="F2" s="596"/>
      <c r="G2" s="596"/>
      <c r="H2" s="597">
        <f>SUM(I2:K2)</f>
        <v>815.92434898628403</v>
      </c>
      <c r="I2" s="598">
        <v>688.22034898628408</v>
      </c>
      <c r="J2" s="599">
        <v>127.70399999999999</v>
      </c>
      <c r="K2" s="599"/>
      <c r="L2" s="597">
        <f>SUM(M2:Z2)</f>
        <v>0</v>
      </c>
      <c r="M2" s="598"/>
      <c r="N2" s="600"/>
      <c r="O2" s="601"/>
      <c r="P2" s="601"/>
      <c r="Q2" s="601"/>
      <c r="R2" s="601"/>
      <c r="S2" s="601"/>
      <c r="T2" s="601"/>
      <c r="U2" s="601"/>
      <c r="V2" s="601"/>
      <c r="W2" s="596"/>
      <c r="X2" s="596"/>
      <c r="Y2" s="596"/>
      <c r="Z2" s="599"/>
      <c r="AA2" s="597">
        <v>2751.9191872187112</v>
      </c>
      <c r="AB2" s="602">
        <f>SUM(AC2:AM2)</f>
        <v>1331.2863828445347</v>
      </c>
      <c r="AC2" s="603">
        <v>59.691708987970003</v>
      </c>
      <c r="AD2" s="599">
        <v>743.01992281532614</v>
      </c>
      <c r="AE2" s="599">
        <v>249.68174480509879</v>
      </c>
      <c r="AF2" s="599">
        <v>139.99992739520798</v>
      </c>
      <c r="AG2" s="599">
        <v>33.531818868055431</v>
      </c>
      <c r="AH2" s="599">
        <v>16.813132576534866</v>
      </c>
      <c r="AI2" s="599">
        <v>27.095124147648001</v>
      </c>
      <c r="AJ2" s="599">
        <v>2.6691993220799999</v>
      </c>
      <c r="AK2" s="598">
        <v>1.4323955643044282</v>
      </c>
      <c r="AL2" s="598">
        <v>13.54608560366562</v>
      </c>
      <c r="AM2" s="596">
        <v>43.805322758643676</v>
      </c>
      <c r="AN2" s="604">
        <v>145.43710297949829</v>
      </c>
      <c r="AO2" s="604"/>
      <c r="AP2" s="602"/>
      <c r="AQ2" s="605">
        <f>C2+H2+L2+AA2+AB2+AN2+AO2+AP2</f>
        <v>5044.5670220290285</v>
      </c>
      <c r="AS2" s="4"/>
    </row>
    <row r="3" spans="1:45" s="3" customFormat="1" ht="12.75" customHeight="1">
      <c r="A3" s="606" t="s">
        <v>121</v>
      </c>
      <c r="B3" s="607"/>
      <c r="C3" s="608">
        <f>SUM(D3:G3)</f>
        <v>935.78934491090115</v>
      </c>
      <c r="D3" s="609">
        <v>802.24865041659757</v>
      </c>
      <c r="E3" s="610">
        <v>125.38500136039437</v>
      </c>
      <c r="F3" s="611"/>
      <c r="G3" s="611">
        <v>8.1556931339092724</v>
      </c>
      <c r="H3" s="612">
        <f>SUM(I3:K3)</f>
        <v>0</v>
      </c>
      <c r="I3" s="613"/>
      <c r="J3" s="614"/>
      <c r="K3" s="614"/>
      <c r="L3" s="612">
        <f>SUM(M3:Z3)</f>
        <v>9146.774069288922</v>
      </c>
      <c r="M3" s="613">
        <v>3053.4742963851995</v>
      </c>
      <c r="N3" s="613">
        <v>16.633377499200002</v>
      </c>
      <c r="O3" s="614">
        <v>0</v>
      </c>
      <c r="P3" s="614">
        <v>564.2282843555555</v>
      </c>
      <c r="Q3" s="614">
        <v>369.55541863968</v>
      </c>
      <c r="R3" s="614">
        <v>1543.1782335883197</v>
      </c>
      <c r="S3" s="614">
        <v>82.827948630790956</v>
      </c>
      <c r="T3" s="614">
        <v>157.5463640726893</v>
      </c>
      <c r="U3" s="614">
        <v>2941.4703035056637</v>
      </c>
      <c r="V3" s="614">
        <v>164.48328641762765</v>
      </c>
      <c r="W3" s="611">
        <v>7.5616539426795564</v>
      </c>
      <c r="X3" s="611">
        <v>200.83222211696253</v>
      </c>
      <c r="Y3" s="611">
        <v>1.2281470084248403</v>
      </c>
      <c r="Z3" s="614">
        <v>43.754533126130625</v>
      </c>
      <c r="AA3" s="612">
        <v>1728.338063506957</v>
      </c>
      <c r="AB3" s="615">
        <f>SUM(AC3:AM3)</f>
        <v>150.18873559012798</v>
      </c>
      <c r="AC3" s="616"/>
      <c r="AD3" s="614"/>
      <c r="AE3" s="614">
        <v>23.169037781663999</v>
      </c>
      <c r="AF3" s="614"/>
      <c r="AG3" s="614"/>
      <c r="AH3" s="614"/>
      <c r="AI3" s="614">
        <v>104.16969909062398</v>
      </c>
      <c r="AJ3" s="614">
        <v>22.849998717839998</v>
      </c>
      <c r="AK3" s="613"/>
      <c r="AL3" s="613"/>
      <c r="AM3" s="611"/>
      <c r="AN3" s="617"/>
      <c r="AO3" s="617">
        <v>139.45061680000001</v>
      </c>
      <c r="AP3" s="615"/>
      <c r="AQ3" s="618">
        <f t="shared" ref="AQ3:AQ20" si="0">C3+H3+L3+AA3+AB3+AN3+AO3+AP3</f>
        <v>12100.540830096908</v>
      </c>
      <c r="AS3" s="4"/>
    </row>
    <row r="4" spans="1:45" s="3" customFormat="1" ht="12.75" customHeight="1">
      <c r="A4" s="606" t="s">
        <v>122</v>
      </c>
      <c r="B4" s="607"/>
      <c r="C4" s="608">
        <f>SUM(D4:G4)</f>
        <v>15.186580890896002</v>
      </c>
      <c r="D4" s="609">
        <v>0</v>
      </c>
      <c r="E4" s="619">
        <v>14.097722162000002</v>
      </c>
      <c r="F4" s="611"/>
      <c r="G4" s="611">
        <v>1.0888587288959999</v>
      </c>
      <c r="H4" s="612">
        <f>SUM(I4:K4)</f>
        <v>7.0330680000000001</v>
      </c>
      <c r="I4" s="613"/>
      <c r="J4" s="614"/>
      <c r="K4" s="614">
        <v>7.0330680000000001</v>
      </c>
      <c r="L4" s="612">
        <f>SUM(M4:Z4)</f>
        <v>1717.0624747879344</v>
      </c>
      <c r="M4" s="613">
        <v>0</v>
      </c>
      <c r="N4" s="613">
        <v>0</v>
      </c>
      <c r="O4" s="614"/>
      <c r="P4" s="614">
        <v>364.52221864444448</v>
      </c>
      <c r="Q4" s="614">
        <v>21.672508399360005</v>
      </c>
      <c r="R4" s="614">
        <v>156.29379915984001</v>
      </c>
      <c r="S4" s="614">
        <v>986.60611760112999</v>
      </c>
      <c r="T4" s="614">
        <v>35.289733288720633</v>
      </c>
      <c r="U4" s="614">
        <v>102.14625414775992</v>
      </c>
      <c r="V4" s="614">
        <v>2.9088437938490893E-3</v>
      </c>
      <c r="W4" s="611">
        <v>36.297317128453038</v>
      </c>
      <c r="X4" s="611">
        <v>5.4694689952000006</v>
      </c>
      <c r="Y4" s="611">
        <v>1.8500297569930473E-2</v>
      </c>
      <c r="Z4" s="614">
        <v>8.7436482816626366</v>
      </c>
      <c r="AA4" s="612">
        <v>0</v>
      </c>
      <c r="AB4" s="615">
        <f>SUM(AC4:AM4)</f>
        <v>9.4476585178560004</v>
      </c>
      <c r="AC4" s="616"/>
      <c r="AD4" s="614"/>
      <c r="AE4" s="614">
        <v>0.41264639999999991</v>
      </c>
      <c r="AF4" s="614"/>
      <c r="AG4" s="614"/>
      <c r="AH4" s="614"/>
      <c r="AI4" s="614">
        <v>9.0350121178560006</v>
      </c>
      <c r="AJ4" s="614">
        <v>0</v>
      </c>
      <c r="AK4" s="613"/>
      <c r="AL4" s="613"/>
      <c r="AM4" s="611"/>
      <c r="AN4" s="617"/>
      <c r="AO4" s="617">
        <v>141.83539077999998</v>
      </c>
      <c r="AP4" s="615"/>
      <c r="AQ4" s="618">
        <f t="shared" si="0"/>
        <v>1890.5651729766864</v>
      </c>
      <c r="AS4" s="4"/>
    </row>
    <row r="5" spans="1:45" s="3" customFormat="1" ht="12.75" customHeight="1">
      <c r="A5" s="606" t="s">
        <v>123</v>
      </c>
      <c r="B5" s="607"/>
      <c r="C5" s="608">
        <f>SUM(D5:G5)</f>
        <v>0</v>
      </c>
      <c r="D5" s="609"/>
      <c r="E5" s="619"/>
      <c r="F5" s="611"/>
      <c r="G5" s="611"/>
      <c r="H5" s="612">
        <f>SUM(I5:K5)</f>
        <v>0</v>
      </c>
      <c r="I5" s="613"/>
      <c r="J5" s="614"/>
      <c r="K5" s="614"/>
      <c r="L5" s="612">
        <f>SUM(M5:Z5)</f>
        <v>162.14899063248015</v>
      </c>
      <c r="M5" s="613"/>
      <c r="N5" s="613"/>
      <c r="O5" s="614"/>
      <c r="P5" s="614"/>
      <c r="Q5" s="614"/>
      <c r="R5" s="614"/>
      <c r="S5" s="614">
        <v>15.730078096892656</v>
      </c>
      <c r="T5" s="614"/>
      <c r="U5" s="614">
        <v>146.41891253558748</v>
      </c>
      <c r="V5" s="614"/>
      <c r="W5" s="611"/>
      <c r="X5" s="611"/>
      <c r="Y5" s="611"/>
      <c r="Z5" s="614"/>
      <c r="AA5" s="612"/>
      <c r="AB5" s="615">
        <f>SUM(AC5:AM5)</f>
        <v>0</v>
      </c>
      <c r="AC5" s="616"/>
      <c r="AD5" s="614"/>
      <c r="AE5" s="614"/>
      <c r="AF5" s="614"/>
      <c r="AG5" s="614"/>
      <c r="AH5" s="614"/>
      <c r="AI5" s="614"/>
      <c r="AJ5" s="614"/>
      <c r="AK5" s="613"/>
      <c r="AL5" s="613"/>
      <c r="AM5" s="611"/>
      <c r="AN5" s="617"/>
      <c r="AO5" s="617"/>
      <c r="AP5" s="615"/>
      <c r="AQ5" s="618">
        <f t="shared" si="0"/>
        <v>162.14899063248015</v>
      </c>
      <c r="AS5" s="4"/>
    </row>
    <row r="6" spans="1:45" s="3" customFormat="1" ht="12.75" customHeight="1" thickBot="1">
      <c r="A6" s="620" t="s">
        <v>124</v>
      </c>
      <c r="B6" s="621"/>
      <c r="C6" s="608">
        <f>SUM(D6:G6)</f>
        <v>-105.50045932171129</v>
      </c>
      <c r="D6" s="622">
        <v>-106.11399866466098</v>
      </c>
      <c r="E6" s="611">
        <v>-0.8079766727235479</v>
      </c>
      <c r="F6" s="623"/>
      <c r="G6" s="623">
        <v>1.4215160156732278</v>
      </c>
      <c r="H6" s="624">
        <f>SUM(I6:K6)</f>
        <v>-122.93905189963694</v>
      </c>
      <c r="I6" s="625">
        <v>-136.53826589963694</v>
      </c>
      <c r="J6" s="625">
        <v>0</v>
      </c>
      <c r="K6" s="625">
        <v>13.599214000000003</v>
      </c>
      <c r="L6" s="624">
        <f>SUM(M6:Z6)</f>
        <v>151.33981188504902</v>
      </c>
      <c r="M6" s="613">
        <v>38.730964773999993</v>
      </c>
      <c r="N6" s="613">
        <v>-8.8751519999999999</v>
      </c>
      <c r="O6" s="614"/>
      <c r="P6" s="614">
        <v>-9.6980083333333713</v>
      </c>
      <c r="Q6" s="614">
        <v>12.883201938880001</v>
      </c>
      <c r="R6" s="614">
        <v>82.12024884504001</v>
      </c>
      <c r="S6" s="614">
        <v>23.637599999999999</v>
      </c>
      <c r="T6" s="614">
        <v>1.4659197380156652</v>
      </c>
      <c r="U6" s="614">
        <v>8.3874136006762399</v>
      </c>
      <c r="V6" s="614">
        <v>3.2040911090633046</v>
      </c>
      <c r="W6" s="623">
        <v>-0.51646778729281662</v>
      </c>
      <c r="X6" s="623">
        <v>0</v>
      </c>
      <c r="Y6" s="623">
        <v>0</v>
      </c>
      <c r="Z6" s="625">
        <v>0</v>
      </c>
      <c r="AA6" s="624">
        <v>0</v>
      </c>
      <c r="AB6" s="626">
        <f>SUM(AC6:AM6)</f>
        <v>4.4601014379600006</v>
      </c>
      <c r="AC6" s="627"/>
      <c r="AD6" s="628"/>
      <c r="AE6" s="628">
        <v>0.26707427819999968</v>
      </c>
      <c r="AF6" s="628"/>
      <c r="AG6" s="628"/>
      <c r="AH6" s="628"/>
      <c r="AI6" s="628">
        <v>1.7828522013120007</v>
      </c>
      <c r="AJ6" s="628">
        <v>2.4101749584479997</v>
      </c>
      <c r="AK6" s="625"/>
      <c r="AL6" s="625"/>
      <c r="AM6" s="623"/>
      <c r="AN6" s="629"/>
      <c r="AO6" s="629"/>
      <c r="AP6" s="626"/>
      <c r="AQ6" s="630">
        <f t="shared" si="0"/>
        <v>-72.639597898339204</v>
      </c>
      <c r="AS6" s="4"/>
    </row>
    <row r="7" spans="1:45" s="6" customFormat="1" ht="12.75" customHeight="1">
      <c r="A7" s="631" t="s">
        <v>125</v>
      </c>
      <c r="B7" s="632"/>
      <c r="C7" s="633">
        <f t="shared" ref="C7:AP7" si="1">C2+C3-C4-C5+C6</f>
        <v>815.10230469829378</v>
      </c>
      <c r="D7" s="634">
        <f t="shared" si="1"/>
        <v>696.13465175193664</v>
      </c>
      <c r="E7" s="635">
        <f t="shared" si="1"/>
        <v>110.47930252567083</v>
      </c>
      <c r="F7" s="635">
        <f t="shared" si="1"/>
        <v>0</v>
      </c>
      <c r="G7" s="635">
        <f t="shared" si="1"/>
        <v>8.4883504206865013</v>
      </c>
      <c r="H7" s="636">
        <f t="shared" si="1"/>
        <v>685.95222908664709</v>
      </c>
      <c r="I7" s="634">
        <f t="shared" si="1"/>
        <v>551.68208308664714</v>
      </c>
      <c r="J7" s="635">
        <f t="shared" si="1"/>
        <v>127.70399999999999</v>
      </c>
      <c r="K7" s="635">
        <f t="shared" si="1"/>
        <v>6.5661460000000034</v>
      </c>
      <c r="L7" s="636">
        <f t="shared" si="1"/>
        <v>7418.9024157535559</v>
      </c>
      <c r="M7" s="634">
        <f t="shared" si="1"/>
        <v>3092.2052611591994</v>
      </c>
      <c r="N7" s="634">
        <f t="shared" si="1"/>
        <v>7.7582254992000017</v>
      </c>
      <c r="O7" s="635">
        <f t="shared" si="1"/>
        <v>0</v>
      </c>
      <c r="P7" s="635">
        <f t="shared" si="1"/>
        <v>190.00805737777765</v>
      </c>
      <c r="Q7" s="635">
        <f t="shared" si="1"/>
        <v>360.76611217919998</v>
      </c>
      <c r="R7" s="635">
        <f t="shared" si="1"/>
        <v>1469.0046832735197</v>
      </c>
      <c r="S7" s="635">
        <f t="shared" si="1"/>
        <v>-895.87064706723163</v>
      </c>
      <c r="T7" s="635">
        <f t="shared" si="1"/>
        <v>123.72255052198433</v>
      </c>
      <c r="U7" s="635">
        <f t="shared" si="1"/>
        <v>2701.2925504229925</v>
      </c>
      <c r="V7" s="635">
        <f t="shared" si="1"/>
        <v>167.68446868289712</v>
      </c>
      <c r="W7" s="635">
        <f t="shared" si="1"/>
        <v>-29.252130973066301</v>
      </c>
      <c r="X7" s="635">
        <f t="shared" si="1"/>
        <v>195.36275312176252</v>
      </c>
      <c r="Y7" s="635">
        <f t="shared" si="1"/>
        <v>1.2096467108549098</v>
      </c>
      <c r="Z7" s="635">
        <f t="shared" si="1"/>
        <v>35.010884844467988</v>
      </c>
      <c r="AA7" s="636">
        <f t="shared" si="1"/>
        <v>4480.2572507256682</v>
      </c>
      <c r="AB7" s="636">
        <f t="shared" si="1"/>
        <v>1476.4875613547667</v>
      </c>
      <c r="AC7" s="634">
        <f t="shared" si="1"/>
        <v>59.691708987970003</v>
      </c>
      <c r="AD7" s="635">
        <f t="shared" si="1"/>
        <v>743.01992281532614</v>
      </c>
      <c r="AE7" s="635">
        <f t="shared" si="1"/>
        <v>272.70521046496276</v>
      </c>
      <c r="AF7" s="635">
        <f t="shared" si="1"/>
        <v>139.99992739520798</v>
      </c>
      <c r="AG7" s="635">
        <f t="shared" si="1"/>
        <v>33.531818868055431</v>
      </c>
      <c r="AH7" s="635">
        <f t="shared" si="1"/>
        <v>16.813132576534866</v>
      </c>
      <c r="AI7" s="635">
        <f t="shared" si="1"/>
        <v>124.01266332172798</v>
      </c>
      <c r="AJ7" s="635">
        <f t="shared" si="1"/>
        <v>27.929372998367999</v>
      </c>
      <c r="AK7" s="637">
        <f t="shared" si="1"/>
        <v>1.4323955643044282</v>
      </c>
      <c r="AL7" s="637">
        <f t="shared" si="1"/>
        <v>13.54608560366562</v>
      </c>
      <c r="AM7" s="634">
        <f t="shared" si="1"/>
        <v>43.805322758643676</v>
      </c>
      <c r="AN7" s="636">
        <f t="shared" si="1"/>
        <v>145.43710297949829</v>
      </c>
      <c r="AO7" s="636">
        <f t="shared" si="1"/>
        <v>-2.3847739799999772</v>
      </c>
      <c r="AP7" s="638">
        <f t="shared" si="1"/>
        <v>0</v>
      </c>
      <c r="AQ7" s="639">
        <f t="shared" si="0"/>
        <v>15019.754090618429</v>
      </c>
      <c r="AR7" s="3"/>
      <c r="AS7" s="5"/>
    </row>
    <row r="8" spans="1:45" s="6" customFormat="1" ht="12.75" customHeight="1" thickBot="1">
      <c r="A8" s="640" t="s">
        <v>126</v>
      </c>
      <c r="B8" s="641"/>
      <c r="C8" s="642">
        <f t="shared" ref="C8:AP8" si="2">C7-C27</f>
        <v>815.10230469829378</v>
      </c>
      <c r="D8" s="643">
        <f t="shared" si="2"/>
        <v>696.13465175193664</v>
      </c>
      <c r="E8" s="644">
        <f t="shared" si="2"/>
        <v>110.47930252567083</v>
      </c>
      <c r="F8" s="645">
        <f t="shared" si="2"/>
        <v>0</v>
      </c>
      <c r="G8" s="645">
        <f t="shared" si="2"/>
        <v>8.4883504206865013</v>
      </c>
      <c r="H8" s="646">
        <f t="shared" si="2"/>
        <v>685.95222908664709</v>
      </c>
      <c r="I8" s="643">
        <f t="shared" si="2"/>
        <v>551.68208308664714</v>
      </c>
      <c r="J8" s="644">
        <f t="shared" si="2"/>
        <v>127.70399999999999</v>
      </c>
      <c r="K8" s="644">
        <f t="shared" si="2"/>
        <v>6.5661460000000034</v>
      </c>
      <c r="L8" s="646">
        <f t="shared" si="2"/>
        <v>7187.3191310764705</v>
      </c>
      <c r="M8" s="643">
        <f t="shared" si="2"/>
        <v>3092.2052611591994</v>
      </c>
      <c r="N8" s="643">
        <f t="shared" si="2"/>
        <v>7.7582254992000017</v>
      </c>
      <c r="O8" s="644">
        <f t="shared" si="2"/>
        <v>0</v>
      </c>
      <c r="P8" s="644">
        <f t="shared" si="2"/>
        <v>190.00805737777765</v>
      </c>
      <c r="Q8" s="644">
        <f t="shared" si="2"/>
        <v>360.76611217919998</v>
      </c>
      <c r="R8" s="644">
        <f t="shared" si="2"/>
        <v>1469.0046832735197</v>
      </c>
      <c r="S8" s="644">
        <f t="shared" si="2"/>
        <v>-895.87064706723163</v>
      </c>
      <c r="T8" s="644">
        <f t="shared" si="2"/>
        <v>123.72255052198433</v>
      </c>
      <c r="U8" s="644">
        <f t="shared" si="2"/>
        <v>2701.2925504229925</v>
      </c>
      <c r="V8" s="644">
        <f t="shared" si="2"/>
        <v>167.68446868289712</v>
      </c>
      <c r="W8" s="645">
        <f t="shared" si="2"/>
        <v>-29.252130973066301</v>
      </c>
      <c r="X8" s="645">
        <f t="shared" si="2"/>
        <v>0</v>
      </c>
      <c r="Y8" s="645">
        <f t="shared" si="2"/>
        <v>0</v>
      </c>
      <c r="Z8" s="644">
        <f t="shared" si="2"/>
        <v>0</v>
      </c>
      <c r="AA8" s="646">
        <f t="shared" si="2"/>
        <v>4480.2572507256682</v>
      </c>
      <c r="AB8" s="647">
        <f t="shared" si="2"/>
        <v>1476.4875613547667</v>
      </c>
      <c r="AC8" s="643">
        <f t="shared" si="2"/>
        <v>59.691708987970003</v>
      </c>
      <c r="AD8" s="644">
        <f t="shared" si="2"/>
        <v>743.01992281532614</v>
      </c>
      <c r="AE8" s="644">
        <f t="shared" si="2"/>
        <v>272.70521046496276</v>
      </c>
      <c r="AF8" s="644">
        <f t="shared" si="2"/>
        <v>139.99992739520798</v>
      </c>
      <c r="AG8" s="644">
        <f t="shared" si="2"/>
        <v>33.531818868055431</v>
      </c>
      <c r="AH8" s="644">
        <f t="shared" si="2"/>
        <v>16.813132576534866</v>
      </c>
      <c r="AI8" s="644">
        <f t="shared" si="2"/>
        <v>124.01266332172798</v>
      </c>
      <c r="AJ8" s="644">
        <f t="shared" si="2"/>
        <v>27.929372998367999</v>
      </c>
      <c r="AK8" s="648">
        <f t="shared" si="2"/>
        <v>1.4323955643044282</v>
      </c>
      <c r="AL8" s="648">
        <f t="shared" si="2"/>
        <v>13.54608560366562</v>
      </c>
      <c r="AM8" s="643">
        <f t="shared" si="2"/>
        <v>43.805322758643676</v>
      </c>
      <c r="AN8" s="646">
        <f t="shared" si="2"/>
        <v>145.43710297949829</v>
      </c>
      <c r="AO8" s="646">
        <f t="shared" si="2"/>
        <v>-2.3847739799999772</v>
      </c>
      <c r="AP8" s="643">
        <f t="shared" si="2"/>
        <v>0</v>
      </c>
      <c r="AQ8" s="649">
        <f t="shared" si="0"/>
        <v>14788.170805941343</v>
      </c>
      <c r="AR8" s="3"/>
      <c r="AS8" s="5"/>
    </row>
    <row r="9" spans="1:45" s="6" customFormat="1" ht="12.75" customHeight="1">
      <c r="A9" s="631" t="s">
        <v>127</v>
      </c>
      <c r="B9" s="632"/>
      <c r="C9" s="633">
        <f t="shared" ref="C9:AP9" si="3">SUM(C10:C14)</f>
        <v>488.64939432989598</v>
      </c>
      <c r="D9" s="637">
        <f t="shared" si="3"/>
        <v>488.64939432989598</v>
      </c>
      <c r="E9" s="635">
        <f t="shared" si="3"/>
        <v>0</v>
      </c>
      <c r="F9" s="650">
        <f t="shared" si="3"/>
        <v>0</v>
      </c>
      <c r="G9" s="650">
        <f t="shared" si="3"/>
        <v>0</v>
      </c>
      <c r="H9" s="636">
        <f t="shared" si="3"/>
        <v>541.02658367795425</v>
      </c>
      <c r="I9" s="637">
        <f t="shared" si="3"/>
        <v>541.02658367795425</v>
      </c>
      <c r="J9" s="635">
        <f t="shared" si="3"/>
        <v>0</v>
      </c>
      <c r="K9" s="635">
        <f t="shared" si="3"/>
        <v>0</v>
      </c>
      <c r="L9" s="636">
        <f t="shared" si="3"/>
        <v>3165.7216476484605</v>
      </c>
      <c r="M9" s="635">
        <f t="shared" si="3"/>
        <v>3092.2052611591994</v>
      </c>
      <c r="N9" s="635">
        <f t="shared" ref="N9" si="4">SUM(N10:N14)</f>
        <v>38.786602361842682</v>
      </c>
      <c r="O9" s="635">
        <f t="shared" si="3"/>
        <v>0</v>
      </c>
      <c r="P9" s="635">
        <f t="shared" si="3"/>
        <v>0</v>
      </c>
      <c r="Q9" s="635">
        <f t="shared" si="3"/>
        <v>0</v>
      </c>
      <c r="R9" s="635">
        <f t="shared" si="3"/>
        <v>0</v>
      </c>
      <c r="S9" s="635">
        <f t="shared" si="3"/>
        <v>25.868327226603597</v>
      </c>
      <c r="T9" s="635">
        <f t="shared" si="3"/>
        <v>0.63499472294399995</v>
      </c>
      <c r="U9" s="635">
        <f t="shared" si="3"/>
        <v>8.2264621778709284</v>
      </c>
      <c r="V9" s="635">
        <f t="shared" si="3"/>
        <v>0</v>
      </c>
      <c r="W9" s="650">
        <f t="shared" si="3"/>
        <v>0</v>
      </c>
      <c r="X9" s="650">
        <f t="shared" si="3"/>
        <v>0</v>
      </c>
      <c r="Y9" s="650">
        <f t="shared" si="3"/>
        <v>0</v>
      </c>
      <c r="Z9" s="635">
        <f t="shared" si="3"/>
        <v>0</v>
      </c>
      <c r="AA9" s="636">
        <f t="shared" si="3"/>
        <v>2501.2994242635782</v>
      </c>
      <c r="AB9" s="634">
        <f t="shared" si="3"/>
        <v>215.90352917717644</v>
      </c>
      <c r="AC9" s="651">
        <f t="shared" si="3"/>
        <v>0</v>
      </c>
      <c r="AD9" s="635">
        <f t="shared" si="3"/>
        <v>0</v>
      </c>
      <c r="AE9" s="635">
        <f t="shared" si="3"/>
        <v>76.028615684916531</v>
      </c>
      <c r="AF9" s="635">
        <f t="shared" ref="AF9" si="5">SUM(AF10:AF14)</f>
        <v>99.30702317107577</v>
      </c>
      <c r="AG9" s="635">
        <f t="shared" si="3"/>
        <v>33.531818868055431</v>
      </c>
      <c r="AH9" s="635">
        <f t="shared" si="3"/>
        <v>7.0360714531287174</v>
      </c>
      <c r="AI9" s="635">
        <f t="shared" si="3"/>
        <v>0</v>
      </c>
      <c r="AJ9" s="635">
        <f t="shared" ref="AJ9" si="6">SUM(AJ10:AJ14)</f>
        <v>0</v>
      </c>
      <c r="AK9" s="637">
        <f t="shared" si="3"/>
        <v>0</v>
      </c>
      <c r="AL9" s="637">
        <f t="shared" ref="AL9" si="7">SUM(AL10:AL14)</f>
        <v>0</v>
      </c>
      <c r="AM9" s="650">
        <f t="shared" si="3"/>
        <v>0</v>
      </c>
      <c r="AN9" s="636">
        <f t="shared" si="3"/>
        <v>90.714163374524205</v>
      </c>
      <c r="AO9" s="636">
        <f t="shared" si="3"/>
        <v>54.38453208</v>
      </c>
      <c r="AP9" s="634">
        <f t="shared" si="3"/>
        <v>0</v>
      </c>
      <c r="AQ9" s="652">
        <f t="shared" si="0"/>
        <v>7057.699274551589</v>
      </c>
      <c r="AR9" s="3"/>
      <c r="AS9" s="5"/>
    </row>
    <row r="10" spans="1:45" s="3" customFormat="1" ht="12.75" customHeight="1">
      <c r="A10" s="653" t="s">
        <v>128</v>
      </c>
      <c r="B10" s="654"/>
      <c r="C10" s="655">
        <f>SUM(D10:G10)</f>
        <v>488.64939432989598</v>
      </c>
      <c r="D10" s="656">
        <v>488.64939432989598</v>
      </c>
      <c r="E10" s="657"/>
      <c r="F10" s="658"/>
      <c r="G10" s="658"/>
      <c r="H10" s="659">
        <f>SUM(I10:K10)</f>
        <v>467.10845991760607</v>
      </c>
      <c r="I10" s="656">
        <v>467.10845991760607</v>
      </c>
      <c r="J10" s="657">
        <v>0</v>
      </c>
      <c r="K10" s="657"/>
      <c r="L10" s="659">
        <f>SUM(M10:Z10)</f>
        <v>34.094789404474525</v>
      </c>
      <c r="M10" s="657"/>
      <c r="N10" s="657"/>
      <c r="O10" s="657"/>
      <c r="P10" s="657"/>
      <c r="Q10" s="657"/>
      <c r="R10" s="657"/>
      <c r="S10" s="657">
        <v>25.868327226603597</v>
      </c>
      <c r="T10" s="657"/>
      <c r="U10" s="657">
        <v>8.2264621778709284</v>
      </c>
      <c r="V10" s="657"/>
      <c r="W10" s="658"/>
      <c r="X10" s="658"/>
      <c r="Y10" s="658"/>
      <c r="Z10" s="657"/>
      <c r="AA10" s="659">
        <v>2187.6033883210698</v>
      </c>
      <c r="AB10" s="660">
        <f>SUM(AC10:AM10)</f>
        <v>205.30590173319058</v>
      </c>
      <c r="AC10" s="661"/>
      <c r="AD10" s="657"/>
      <c r="AE10" s="657">
        <v>72.467059694059387</v>
      </c>
      <c r="AF10" s="657">
        <v>99.30702317107577</v>
      </c>
      <c r="AG10" s="657">
        <v>33.531818868055431</v>
      </c>
      <c r="AH10" s="657"/>
      <c r="AI10" s="657"/>
      <c r="AJ10" s="657"/>
      <c r="AK10" s="656"/>
      <c r="AL10" s="656"/>
      <c r="AM10" s="658"/>
      <c r="AN10" s="662">
        <v>90.714163374524205</v>
      </c>
      <c r="AO10" s="659"/>
      <c r="AP10" s="660"/>
      <c r="AQ10" s="663">
        <f t="shared" si="0"/>
        <v>3473.4760970807611</v>
      </c>
      <c r="AS10" s="4"/>
    </row>
    <row r="11" spans="1:45" s="3" customFormat="1" ht="12.75" customHeight="1">
      <c r="A11" s="606" t="s">
        <v>129</v>
      </c>
      <c r="B11" s="607"/>
      <c r="C11" s="608">
        <f>SUM(D11:G11)</f>
        <v>0</v>
      </c>
      <c r="D11" s="613">
        <v>0</v>
      </c>
      <c r="E11" s="614"/>
      <c r="F11" s="611"/>
      <c r="G11" s="611"/>
      <c r="H11" s="612">
        <f>SUM(I11:K11)</f>
        <v>5.8425469182429177</v>
      </c>
      <c r="I11" s="613">
        <v>5.8425469182429177</v>
      </c>
      <c r="J11" s="614"/>
      <c r="K11" s="614"/>
      <c r="L11" s="612">
        <f>SUM(M11:Z11)</f>
        <v>0.63499472294399995</v>
      </c>
      <c r="M11" s="614"/>
      <c r="N11" s="664"/>
      <c r="O11" s="664">
        <v>0</v>
      </c>
      <c r="P11" s="614"/>
      <c r="Q11" s="614"/>
      <c r="R11" s="614"/>
      <c r="S11" s="614">
        <v>0</v>
      </c>
      <c r="T11" s="614">
        <v>0.63499472294399995</v>
      </c>
      <c r="U11" s="614">
        <v>0</v>
      </c>
      <c r="V11" s="614"/>
      <c r="W11" s="611"/>
      <c r="X11" s="611"/>
      <c r="Y11" s="611"/>
      <c r="Z11" s="614"/>
      <c r="AA11" s="612">
        <v>272.96145103491432</v>
      </c>
      <c r="AB11" s="615">
        <f>SUM(AC11:AM11)</f>
        <v>10.597627443985861</v>
      </c>
      <c r="AC11" s="616"/>
      <c r="AD11" s="614"/>
      <c r="AE11" s="614">
        <v>3.5615559908571428</v>
      </c>
      <c r="AF11" s="614"/>
      <c r="AG11" s="614"/>
      <c r="AH11" s="614">
        <v>7.0360714531287174</v>
      </c>
      <c r="AI11" s="614"/>
      <c r="AJ11" s="614"/>
      <c r="AK11" s="613"/>
      <c r="AL11" s="613"/>
      <c r="AM11" s="611"/>
      <c r="AN11" s="617"/>
      <c r="AO11" s="617"/>
      <c r="AP11" s="615"/>
      <c r="AQ11" s="618">
        <f t="shared" si="0"/>
        <v>290.03662012008709</v>
      </c>
      <c r="AS11" s="4"/>
    </row>
    <row r="12" spans="1:45" s="3" customFormat="1" ht="12.75" customHeight="1">
      <c r="A12" s="606" t="s">
        <v>130</v>
      </c>
      <c r="B12" s="607"/>
      <c r="C12" s="608"/>
      <c r="D12" s="613"/>
      <c r="E12" s="614"/>
      <c r="F12" s="611"/>
      <c r="G12" s="611"/>
      <c r="H12" s="612"/>
      <c r="I12" s="613"/>
      <c r="J12" s="614"/>
      <c r="K12" s="614"/>
      <c r="L12" s="612"/>
      <c r="M12" s="614"/>
      <c r="N12" s="664"/>
      <c r="O12" s="664"/>
      <c r="P12" s="614"/>
      <c r="Q12" s="614"/>
      <c r="R12" s="614"/>
      <c r="S12" s="614"/>
      <c r="T12" s="614"/>
      <c r="U12" s="614"/>
      <c r="V12" s="614"/>
      <c r="W12" s="611"/>
      <c r="X12" s="611"/>
      <c r="Y12" s="611"/>
      <c r="Z12" s="614"/>
      <c r="AA12" s="612"/>
      <c r="AB12" s="615"/>
      <c r="AC12" s="616"/>
      <c r="AD12" s="614"/>
      <c r="AE12" s="614"/>
      <c r="AF12" s="614"/>
      <c r="AG12" s="614"/>
      <c r="AH12" s="614"/>
      <c r="AI12" s="614"/>
      <c r="AJ12" s="614"/>
      <c r="AK12" s="613"/>
      <c r="AL12" s="613"/>
      <c r="AM12" s="611"/>
      <c r="AN12" s="617"/>
      <c r="AO12" s="617">
        <v>42.942060079999997</v>
      </c>
      <c r="AP12" s="615"/>
      <c r="AQ12" s="618">
        <f t="shared" si="0"/>
        <v>42.942060079999997</v>
      </c>
      <c r="AS12" s="4"/>
    </row>
    <row r="13" spans="1:45" s="3" customFormat="1" ht="12.75" customHeight="1">
      <c r="A13" s="606" t="s">
        <v>131</v>
      </c>
      <c r="B13" s="607"/>
      <c r="C13" s="608">
        <f>SUM(D13:G13)</f>
        <v>0</v>
      </c>
      <c r="D13" s="613"/>
      <c r="E13" s="611"/>
      <c r="F13" s="611"/>
      <c r="G13" s="611"/>
      <c r="H13" s="612">
        <f>SUM(I13:K13)</f>
        <v>68.075576842105264</v>
      </c>
      <c r="I13" s="613">
        <v>68.075576842105264</v>
      </c>
      <c r="J13" s="614"/>
      <c r="K13" s="614"/>
      <c r="L13" s="612">
        <f>SUM(M13:Z13)</f>
        <v>0</v>
      </c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1"/>
      <c r="X13" s="611"/>
      <c r="Y13" s="611"/>
      <c r="Z13" s="614"/>
      <c r="AA13" s="612"/>
      <c r="AB13" s="615">
        <f>SUM(AC13:AM13)</f>
        <v>0</v>
      </c>
      <c r="AC13" s="616"/>
      <c r="AD13" s="614"/>
      <c r="AE13" s="614"/>
      <c r="AF13" s="614"/>
      <c r="AG13" s="614"/>
      <c r="AH13" s="614"/>
      <c r="AI13" s="614"/>
      <c r="AJ13" s="614"/>
      <c r="AK13" s="613"/>
      <c r="AL13" s="613"/>
      <c r="AM13" s="611"/>
      <c r="AN13" s="617"/>
      <c r="AO13" s="617"/>
      <c r="AP13" s="615"/>
      <c r="AQ13" s="618">
        <f t="shared" si="0"/>
        <v>68.075576842105264</v>
      </c>
      <c r="AS13" s="4"/>
    </row>
    <row r="14" spans="1:45" s="3" customFormat="1" ht="12.75" customHeight="1">
      <c r="A14" s="665" t="s">
        <v>132</v>
      </c>
      <c r="B14" s="666"/>
      <c r="C14" s="667">
        <f>SUM(D14:G14)</f>
        <v>0</v>
      </c>
      <c r="D14" s="668"/>
      <c r="E14" s="669"/>
      <c r="F14" s="670"/>
      <c r="G14" s="670"/>
      <c r="H14" s="671">
        <f>SUM(I14:K14)</f>
        <v>0</v>
      </c>
      <c r="I14" s="668"/>
      <c r="J14" s="669"/>
      <c r="K14" s="669"/>
      <c r="L14" s="671">
        <f>SUM(M14:Z14)</f>
        <v>3130.991863521042</v>
      </c>
      <c r="M14" s="669">
        <v>3092.2052611591994</v>
      </c>
      <c r="N14" s="669">
        <v>38.786602361842682</v>
      </c>
      <c r="O14" s="669"/>
      <c r="P14" s="669"/>
      <c r="Q14" s="669"/>
      <c r="R14" s="669"/>
      <c r="S14" s="669"/>
      <c r="T14" s="669"/>
      <c r="U14" s="669"/>
      <c r="V14" s="669"/>
      <c r="W14" s="670"/>
      <c r="X14" s="670"/>
      <c r="Y14" s="670"/>
      <c r="Z14" s="669"/>
      <c r="AA14" s="671">
        <v>40.734584907594211</v>
      </c>
      <c r="AB14" s="672">
        <f>SUM(AC14:AM14)</f>
        <v>0</v>
      </c>
      <c r="AC14" s="673"/>
      <c r="AD14" s="669"/>
      <c r="AE14" s="669"/>
      <c r="AF14" s="669"/>
      <c r="AG14" s="669"/>
      <c r="AH14" s="669"/>
      <c r="AI14" s="669"/>
      <c r="AJ14" s="669"/>
      <c r="AK14" s="668"/>
      <c r="AL14" s="668"/>
      <c r="AM14" s="670"/>
      <c r="AN14" s="674"/>
      <c r="AO14" s="674">
        <v>11.442471999999999</v>
      </c>
      <c r="AP14" s="672"/>
      <c r="AQ14" s="675">
        <f t="shared" si="0"/>
        <v>3183.1689204286363</v>
      </c>
      <c r="AS14" s="4"/>
    </row>
    <row r="15" spans="1:45" s="6" customFormat="1" ht="12.75" customHeight="1">
      <c r="A15" s="676" t="s">
        <v>133</v>
      </c>
      <c r="B15" s="677"/>
      <c r="C15" s="678">
        <f t="shared" ref="C15:AP15" si="8">SUM(C16:C20)</f>
        <v>0</v>
      </c>
      <c r="D15" s="679">
        <f t="shared" si="8"/>
        <v>0</v>
      </c>
      <c r="E15" s="680">
        <f t="shared" si="8"/>
        <v>0</v>
      </c>
      <c r="F15" s="681">
        <f t="shared" si="8"/>
        <v>0</v>
      </c>
      <c r="G15" s="681">
        <f t="shared" si="8"/>
        <v>0</v>
      </c>
      <c r="H15" s="682">
        <f t="shared" si="8"/>
        <v>64.671797999999995</v>
      </c>
      <c r="I15" s="679">
        <f t="shared" si="8"/>
        <v>0</v>
      </c>
      <c r="J15" s="680">
        <f t="shared" si="8"/>
        <v>0</v>
      </c>
      <c r="K15" s="680">
        <f t="shared" si="8"/>
        <v>64.671797999999995</v>
      </c>
      <c r="L15" s="682">
        <f t="shared" si="8"/>
        <v>3166.7858692089685</v>
      </c>
      <c r="M15" s="680">
        <f t="shared" si="8"/>
        <v>0</v>
      </c>
      <c r="N15" s="680">
        <f t="shared" si="8"/>
        <v>0</v>
      </c>
      <c r="O15" s="680">
        <f t="shared" si="8"/>
        <v>90.017983923640699</v>
      </c>
      <c r="P15" s="680">
        <f t="shared" si="8"/>
        <v>640.53679657777786</v>
      </c>
      <c r="Q15" s="680">
        <f t="shared" si="8"/>
        <v>226.77459106847999</v>
      </c>
      <c r="R15" s="680">
        <f t="shared" si="8"/>
        <v>0</v>
      </c>
      <c r="S15" s="680">
        <f t="shared" si="8"/>
        <v>960.95017928079096</v>
      </c>
      <c r="T15" s="680">
        <f t="shared" si="8"/>
        <v>64.797462901984332</v>
      </c>
      <c r="U15" s="680">
        <f t="shared" si="8"/>
        <v>1146.9502117491124</v>
      </c>
      <c r="V15" s="680">
        <f t="shared" si="8"/>
        <v>0</v>
      </c>
      <c r="W15" s="681">
        <f t="shared" si="8"/>
        <v>36.758643707182323</v>
      </c>
      <c r="X15" s="681">
        <f t="shared" si="8"/>
        <v>0</v>
      </c>
      <c r="Y15" s="681">
        <f t="shared" si="8"/>
        <v>0</v>
      </c>
      <c r="Z15" s="680">
        <f t="shared" si="8"/>
        <v>0</v>
      </c>
      <c r="AA15" s="682">
        <f t="shared" si="8"/>
        <v>0</v>
      </c>
      <c r="AB15" s="683">
        <f t="shared" si="8"/>
        <v>0</v>
      </c>
      <c r="AC15" s="684">
        <f t="shared" si="8"/>
        <v>0</v>
      </c>
      <c r="AD15" s="680">
        <f t="shared" si="8"/>
        <v>0</v>
      </c>
      <c r="AE15" s="680">
        <f t="shared" si="8"/>
        <v>0</v>
      </c>
      <c r="AF15" s="680">
        <f t="shared" si="8"/>
        <v>0</v>
      </c>
      <c r="AG15" s="685">
        <f t="shared" si="8"/>
        <v>0</v>
      </c>
      <c r="AH15" s="685">
        <f t="shared" si="8"/>
        <v>0</v>
      </c>
      <c r="AI15" s="685">
        <f t="shared" si="8"/>
        <v>0</v>
      </c>
      <c r="AJ15" s="685">
        <f t="shared" si="8"/>
        <v>0</v>
      </c>
      <c r="AK15" s="679">
        <f t="shared" si="8"/>
        <v>0</v>
      </c>
      <c r="AL15" s="679">
        <f t="shared" si="8"/>
        <v>0</v>
      </c>
      <c r="AM15" s="681">
        <f t="shared" si="8"/>
        <v>0</v>
      </c>
      <c r="AN15" s="682">
        <f t="shared" si="8"/>
        <v>0</v>
      </c>
      <c r="AO15" s="682">
        <f t="shared" si="8"/>
        <v>1873.361490524092</v>
      </c>
      <c r="AP15" s="683">
        <f t="shared" si="8"/>
        <v>0</v>
      </c>
      <c r="AQ15" s="686">
        <f t="shared" si="0"/>
        <v>5104.8191577330599</v>
      </c>
      <c r="AR15" s="3"/>
      <c r="AS15" s="5"/>
    </row>
    <row r="16" spans="1:45" s="8" customFormat="1" ht="12.75" customHeight="1">
      <c r="A16" s="653" t="s">
        <v>128</v>
      </c>
      <c r="B16" s="654"/>
      <c r="C16" s="655">
        <f>SUM(D16:G16)</f>
        <v>0</v>
      </c>
      <c r="D16" s="656"/>
      <c r="E16" s="657"/>
      <c r="F16" s="658"/>
      <c r="G16" s="658"/>
      <c r="H16" s="659">
        <f>SUM(I16:K16)</f>
        <v>0</v>
      </c>
      <c r="I16" s="656"/>
      <c r="J16" s="657"/>
      <c r="K16" s="657"/>
      <c r="L16" s="659">
        <f>SUM(M16:Z16)</f>
        <v>0</v>
      </c>
      <c r="M16" s="657"/>
      <c r="N16" s="657"/>
      <c r="O16" s="657"/>
      <c r="P16" s="657"/>
      <c r="Q16" s="657"/>
      <c r="R16" s="657"/>
      <c r="S16" s="657"/>
      <c r="T16" s="657"/>
      <c r="U16" s="657"/>
      <c r="V16" s="657"/>
      <c r="W16" s="658"/>
      <c r="X16" s="658"/>
      <c r="Y16" s="658"/>
      <c r="Z16" s="657"/>
      <c r="AA16" s="659"/>
      <c r="AB16" s="660">
        <f>SUM(AC16:AL16)</f>
        <v>0</v>
      </c>
      <c r="AC16" s="661"/>
      <c r="AD16" s="657"/>
      <c r="AE16" s="657"/>
      <c r="AF16" s="657"/>
      <c r="AG16" s="664"/>
      <c r="AH16" s="664"/>
      <c r="AI16" s="664"/>
      <c r="AJ16" s="664"/>
      <c r="AK16" s="656"/>
      <c r="AL16" s="656"/>
      <c r="AM16" s="658"/>
      <c r="AN16" s="662"/>
      <c r="AO16" s="662">
        <v>1667.7865923774164</v>
      </c>
      <c r="AP16" s="660"/>
      <c r="AQ16" s="687">
        <f>C16+H16+L16+AA16+AO16+AP16</f>
        <v>1667.7865923774164</v>
      </c>
      <c r="AR16" s="3"/>
      <c r="AS16" s="7"/>
    </row>
    <row r="17" spans="1:45" s="8" customFormat="1" ht="12.75" customHeight="1">
      <c r="A17" s="606" t="s">
        <v>129</v>
      </c>
      <c r="B17" s="607"/>
      <c r="C17" s="608">
        <f>SUM(D17:G17)</f>
        <v>0</v>
      </c>
      <c r="D17" s="613"/>
      <c r="E17" s="614"/>
      <c r="F17" s="611"/>
      <c r="G17" s="611"/>
      <c r="H17" s="612">
        <f>SUM(I17:K17)</f>
        <v>0</v>
      </c>
      <c r="I17" s="613"/>
      <c r="J17" s="614"/>
      <c r="K17" s="614"/>
      <c r="L17" s="612">
        <f>SUM(M17:Z17)</f>
        <v>0</v>
      </c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1"/>
      <c r="X17" s="611"/>
      <c r="Y17" s="611"/>
      <c r="Z17" s="614"/>
      <c r="AA17" s="612"/>
      <c r="AB17" s="615">
        <f>SUM(AC17:AL17)</f>
        <v>0</v>
      </c>
      <c r="AC17" s="616"/>
      <c r="AD17" s="614"/>
      <c r="AE17" s="614"/>
      <c r="AF17" s="614"/>
      <c r="AG17" s="614"/>
      <c r="AH17" s="614"/>
      <c r="AI17" s="614"/>
      <c r="AJ17" s="614"/>
      <c r="AK17" s="613"/>
      <c r="AL17" s="613"/>
      <c r="AM17" s="611"/>
      <c r="AN17" s="617"/>
      <c r="AO17" s="688">
        <v>185.14395873624346</v>
      </c>
      <c r="AP17" s="615"/>
      <c r="AQ17" s="618">
        <f>C17+H17+L17+AA17+AO17+AP17</f>
        <v>185.14395873624346</v>
      </c>
      <c r="AR17" s="3"/>
      <c r="AS17" s="7"/>
    </row>
    <row r="18" spans="1:45" s="8" customFormat="1" ht="12.75" customHeight="1">
      <c r="A18" s="606" t="s">
        <v>134</v>
      </c>
      <c r="B18" s="607"/>
      <c r="C18" s="608"/>
      <c r="D18" s="613"/>
      <c r="E18" s="614"/>
      <c r="F18" s="611"/>
      <c r="G18" s="611"/>
      <c r="H18" s="612"/>
      <c r="I18" s="613"/>
      <c r="J18" s="614"/>
      <c r="K18" s="614"/>
      <c r="L18" s="612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1"/>
      <c r="X18" s="611"/>
      <c r="Y18" s="611"/>
      <c r="Z18" s="614"/>
      <c r="AA18" s="612"/>
      <c r="AB18" s="615"/>
      <c r="AC18" s="616"/>
      <c r="AD18" s="614"/>
      <c r="AE18" s="614"/>
      <c r="AF18" s="614"/>
      <c r="AG18" s="614"/>
      <c r="AH18" s="614"/>
      <c r="AI18" s="614"/>
      <c r="AJ18" s="614"/>
      <c r="AK18" s="613"/>
      <c r="AL18" s="613"/>
      <c r="AM18" s="611"/>
      <c r="AN18" s="617"/>
      <c r="AO18" s="617">
        <v>20.430939410432</v>
      </c>
      <c r="AP18" s="615"/>
      <c r="AQ18" s="618">
        <f t="shared" si="0"/>
        <v>20.430939410432</v>
      </c>
      <c r="AR18" s="3"/>
      <c r="AS18" s="7"/>
    </row>
    <row r="19" spans="1:45" s="8" customFormat="1" ht="12.75" customHeight="1">
      <c r="A19" s="606" t="s">
        <v>131</v>
      </c>
      <c r="B19" s="607"/>
      <c r="C19" s="608"/>
      <c r="D19" s="84"/>
      <c r="E19" s="614"/>
      <c r="F19" s="611"/>
      <c r="G19" s="611"/>
      <c r="H19" s="612">
        <f>SUM(I19:K19)</f>
        <v>64.671797999999995</v>
      </c>
      <c r="I19" s="613"/>
      <c r="J19" s="614"/>
      <c r="K19" s="614">
        <v>64.671797999999995</v>
      </c>
      <c r="L19" s="612">
        <f>SUM(M19:Z19)</f>
        <v>0</v>
      </c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1"/>
      <c r="X19" s="611"/>
      <c r="Y19" s="611"/>
      <c r="Z19" s="614"/>
      <c r="AA19" s="612"/>
      <c r="AB19" s="615">
        <f>SUM(AC19:AL19)</f>
        <v>0</v>
      </c>
      <c r="AC19" s="616"/>
      <c r="AD19" s="614"/>
      <c r="AE19" s="614"/>
      <c r="AF19" s="614"/>
      <c r="AG19" s="614"/>
      <c r="AH19" s="614"/>
      <c r="AI19" s="614"/>
      <c r="AJ19" s="614"/>
      <c r="AK19" s="613"/>
      <c r="AL19" s="613"/>
      <c r="AM19" s="611"/>
      <c r="AN19" s="617"/>
      <c r="AO19" s="617"/>
      <c r="AP19" s="615"/>
      <c r="AQ19" s="618">
        <f t="shared" si="0"/>
        <v>64.671797999999995</v>
      </c>
      <c r="AR19" s="3"/>
      <c r="AS19" s="7"/>
    </row>
    <row r="20" spans="1:45" s="8" customFormat="1" ht="12.75" customHeight="1">
      <c r="A20" s="665" t="s">
        <v>135</v>
      </c>
      <c r="B20" s="666"/>
      <c r="C20" s="667"/>
      <c r="D20" s="668"/>
      <c r="E20" s="669"/>
      <c r="F20" s="670"/>
      <c r="G20" s="670"/>
      <c r="H20" s="671">
        <f>SUM(I20:K20)</f>
        <v>0</v>
      </c>
      <c r="I20" s="668"/>
      <c r="J20" s="669"/>
      <c r="K20" s="669"/>
      <c r="L20" s="671">
        <f>SUM(M20:Z20)</f>
        <v>3166.7858692089685</v>
      </c>
      <c r="M20" s="669"/>
      <c r="N20" s="669"/>
      <c r="O20" s="669">
        <v>90.017983923640699</v>
      </c>
      <c r="P20" s="669">
        <v>640.53679657777786</v>
      </c>
      <c r="Q20" s="669">
        <v>226.77459106847999</v>
      </c>
      <c r="R20" s="669">
        <v>0</v>
      </c>
      <c r="S20" s="669">
        <v>960.95017928079096</v>
      </c>
      <c r="T20" s="669">
        <v>64.797462901984332</v>
      </c>
      <c r="U20" s="669">
        <v>1146.9502117491124</v>
      </c>
      <c r="V20" s="669"/>
      <c r="W20" s="670">
        <v>36.758643707182323</v>
      </c>
      <c r="X20" s="670"/>
      <c r="Y20" s="670"/>
      <c r="Z20" s="669"/>
      <c r="AA20" s="671"/>
      <c r="AB20" s="672">
        <f>SUM(AC20:AL20)</f>
        <v>0</v>
      </c>
      <c r="AC20" s="673"/>
      <c r="AD20" s="669"/>
      <c r="AE20" s="669"/>
      <c r="AF20" s="669"/>
      <c r="AG20" s="669"/>
      <c r="AH20" s="669"/>
      <c r="AI20" s="669"/>
      <c r="AJ20" s="669"/>
      <c r="AK20" s="668"/>
      <c r="AL20" s="668"/>
      <c r="AM20" s="670"/>
      <c r="AN20" s="674"/>
      <c r="AO20" s="674"/>
      <c r="AP20" s="672"/>
      <c r="AQ20" s="675">
        <f t="shared" si="0"/>
        <v>3166.7858692089685</v>
      </c>
      <c r="AR20" s="3"/>
      <c r="AS20" s="7"/>
    </row>
    <row r="21" spans="1:45" s="8" customFormat="1" ht="12.75" customHeight="1">
      <c r="A21" s="689" t="s">
        <v>136</v>
      </c>
      <c r="B21" s="690"/>
      <c r="C21" s="691">
        <f>SUM(C22:C24)</f>
        <v>22.240061570656763</v>
      </c>
      <c r="D21" s="692">
        <f>SUM(D22:D24)</f>
        <v>-17.141361188350004</v>
      </c>
      <c r="E21" s="693">
        <f>SUM(E22:E24)</f>
        <v>39.381422759006767</v>
      </c>
      <c r="F21" s="694">
        <f>SUM(F22:F24)</f>
        <v>0</v>
      </c>
      <c r="G21" s="694">
        <f>SUM(G22:G24)</f>
        <v>0</v>
      </c>
      <c r="H21" s="695">
        <f>SUM(I21:K21)</f>
        <v>0</v>
      </c>
      <c r="I21" s="692">
        <f>SUM(I22:I24)</f>
        <v>0</v>
      </c>
      <c r="J21" s="693">
        <f>SUM(J22:J24)</f>
        <v>0</v>
      </c>
      <c r="K21" s="693">
        <f>SUM(K22:K24)</f>
        <v>0</v>
      </c>
      <c r="L21" s="695">
        <f>SUM(M21:Z21)</f>
        <v>-24.953759699422424</v>
      </c>
      <c r="M21" s="693">
        <f t="shared" ref="M21:AQ21" si="9">SUM(M22:M24)</f>
        <v>0</v>
      </c>
      <c r="N21" s="693">
        <f t="shared" si="9"/>
        <v>30.880435114089789</v>
      </c>
      <c r="O21" s="693">
        <f t="shared" si="9"/>
        <v>0</v>
      </c>
      <c r="P21" s="693">
        <f t="shared" si="9"/>
        <v>-31.080771455555681</v>
      </c>
      <c r="Q21" s="693">
        <f t="shared" si="9"/>
        <v>374.46366644960005</v>
      </c>
      <c r="R21" s="693">
        <f t="shared" si="9"/>
        <v>-373.64776418279996</v>
      </c>
      <c r="S21" s="693">
        <f t="shared" si="9"/>
        <v>0</v>
      </c>
      <c r="T21" s="693">
        <f t="shared" si="9"/>
        <v>0</v>
      </c>
      <c r="U21" s="693">
        <f t="shared" si="9"/>
        <v>-3.3292640540998377</v>
      </c>
      <c r="V21" s="693">
        <f t="shared" si="9"/>
        <v>-22.240061570656767</v>
      </c>
      <c r="W21" s="694">
        <f t="shared" si="9"/>
        <v>0</v>
      </c>
      <c r="X21" s="694">
        <f t="shared" si="9"/>
        <v>0</v>
      </c>
      <c r="Y21" s="694">
        <f t="shared" si="9"/>
        <v>0</v>
      </c>
      <c r="Z21" s="693">
        <f t="shared" si="9"/>
        <v>0</v>
      </c>
      <c r="AA21" s="695">
        <f t="shared" si="9"/>
        <v>0</v>
      </c>
      <c r="AB21" s="696">
        <f t="shared" si="9"/>
        <v>-804.14402736760053</v>
      </c>
      <c r="AC21" s="697">
        <f t="shared" si="9"/>
        <v>-59.691708987970003</v>
      </c>
      <c r="AD21" s="693">
        <f t="shared" si="9"/>
        <v>-743.01992281532614</v>
      </c>
      <c r="AE21" s="693">
        <f t="shared" si="9"/>
        <v>0</v>
      </c>
      <c r="AF21" s="693">
        <f t="shared" si="9"/>
        <v>0</v>
      </c>
      <c r="AG21" s="698">
        <f t="shared" si="9"/>
        <v>0</v>
      </c>
      <c r="AH21" s="698">
        <f t="shared" si="9"/>
        <v>0</v>
      </c>
      <c r="AI21" s="698">
        <f t="shared" si="9"/>
        <v>0</v>
      </c>
      <c r="AJ21" s="698">
        <f t="shared" si="9"/>
        <v>0</v>
      </c>
      <c r="AK21" s="692">
        <f t="shared" si="9"/>
        <v>-1.4323955643044282</v>
      </c>
      <c r="AL21" s="698">
        <f t="shared" si="9"/>
        <v>0</v>
      </c>
      <c r="AM21" s="694">
        <f t="shared" si="9"/>
        <v>0</v>
      </c>
      <c r="AN21" s="699">
        <f t="shared" si="9"/>
        <v>0</v>
      </c>
      <c r="AO21" s="695">
        <f t="shared" si="9"/>
        <v>804.14402736760053</v>
      </c>
      <c r="AP21" s="696">
        <f t="shared" si="9"/>
        <v>0</v>
      </c>
      <c r="AQ21" s="700">
        <f t="shared" si="9"/>
        <v>-2.7136981287656603</v>
      </c>
      <c r="AR21" s="3"/>
      <c r="AS21" s="7"/>
    </row>
    <row r="22" spans="1:45" s="8" customFormat="1" ht="12.75" customHeight="1">
      <c r="A22" s="653" t="s">
        <v>137</v>
      </c>
      <c r="B22" s="654"/>
      <c r="C22" s="701"/>
      <c r="D22" s="702"/>
      <c r="E22" s="703"/>
      <c r="F22" s="658"/>
      <c r="G22" s="658"/>
      <c r="H22" s="659"/>
      <c r="I22" s="704"/>
      <c r="J22" s="657"/>
      <c r="K22" s="657"/>
      <c r="L22" s="659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8"/>
      <c r="X22" s="658"/>
      <c r="Y22" s="658"/>
      <c r="Z22" s="657"/>
      <c r="AA22" s="659"/>
      <c r="AB22" s="660">
        <f>SUM(AC22:AM22)</f>
        <v>-804.14402736760053</v>
      </c>
      <c r="AC22" s="661">
        <f>-AC2</f>
        <v>-59.691708987970003</v>
      </c>
      <c r="AD22" s="657">
        <f>-AD2</f>
        <v>-743.01992281532614</v>
      </c>
      <c r="AE22" s="657"/>
      <c r="AF22" s="657"/>
      <c r="AG22" s="664"/>
      <c r="AH22" s="664"/>
      <c r="AI22" s="664"/>
      <c r="AJ22" s="664"/>
      <c r="AK22" s="656">
        <v>-1.4323955643044282</v>
      </c>
      <c r="AL22" s="664"/>
      <c r="AM22" s="658"/>
      <c r="AN22" s="662"/>
      <c r="AO22" s="659">
        <f>-(C22+H22+L22+AA22+AB22)</f>
        <v>804.14402736760053</v>
      </c>
      <c r="AP22" s="660"/>
      <c r="AQ22" s="687">
        <f>C22+H22+L22+AA22+AB22+AN22+AO22+AP22</f>
        <v>0</v>
      </c>
      <c r="AR22" s="3"/>
      <c r="AS22" s="7"/>
    </row>
    <row r="23" spans="1:45" s="8" customFormat="1" ht="12.75" customHeight="1">
      <c r="A23" s="705" t="s">
        <v>138</v>
      </c>
      <c r="B23" s="677"/>
      <c r="C23" s="706"/>
      <c r="D23" s="707"/>
      <c r="E23" s="680"/>
      <c r="F23" s="708"/>
      <c r="G23" s="708"/>
      <c r="H23" s="682"/>
      <c r="I23" s="709"/>
      <c r="J23" s="710"/>
      <c r="K23" s="710"/>
      <c r="L23" s="682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08"/>
      <c r="X23" s="708"/>
      <c r="Y23" s="708"/>
      <c r="Z23" s="710"/>
      <c r="AA23" s="682"/>
      <c r="AB23" s="683"/>
      <c r="AC23" s="711"/>
      <c r="AD23" s="710"/>
      <c r="AE23" s="710"/>
      <c r="AF23" s="710"/>
      <c r="AG23" s="710"/>
      <c r="AH23" s="710"/>
      <c r="AI23" s="710"/>
      <c r="AJ23" s="710"/>
      <c r="AK23" s="712"/>
      <c r="AL23" s="712"/>
      <c r="AM23" s="708"/>
      <c r="AN23" s="713"/>
      <c r="AO23" s="682"/>
      <c r="AP23" s="683"/>
      <c r="AQ23" s="714">
        <f>C23+H23+L23+AA23+AB23+AN23+AO23+AP23</f>
        <v>0</v>
      </c>
      <c r="AR23" s="3"/>
      <c r="AS23" s="7"/>
    </row>
    <row r="24" spans="1:45" s="8" customFormat="1" ht="12.75" customHeight="1" thickBot="1">
      <c r="A24" s="620" t="s">
        <v>139</v>
      </c>
      <c r="B24" s="621"/>
      <c r="C24" s="715">
        <f>SUM(D24:G24)</f>
        <v>22.240061570656763</v>
      </c>
      <c r="D24" s="716">
        <v>-17.141361188350004</v>
      </c>
      <c r="E24" s="628">
        <f>-D24-V24</f>
        <v>39.381422759006767</v>
      </c>
      <c r="F24" s="623"/>
      <c r="G24" s="623"/>
      <c r="H24" s="624"/>
      <c r="I24" s="717"/>
      <c r="J24" s="628"/>
      <c r="K24" s="628"/>
      <c r="L24" s="624">
        <f>SUM(N24:Z24)</f>
        <v>-24.953759699422424</v>
      </c>
      <c r="M24" s="628"/>
      <c r="N24" s="628">
        <v>30.880435114089789</v>
      </c>
      <c r="O24" s="628"/>
      <c r="P24" s="628">
        <v>-31.080771455555681</v>
      </c>
      <c r="Q24" s="628">
        <v>374.46366644960005</v>
      </c>
      <c r="R24" s="628">
        <v>-373.64776418279996</v>
      </c>
      <c r="S24" s="628">
        <v>0</v>
      </c>
      <c r="T24" s="628"/>
      <c r="U24" s="628">
        <v>-3.3292640540998377</v>
      </c>
      <c r="V24" s="623">
        <v>-22.240061570656767</v>
      </c>
      <c r="W24" s="623">
        <v>0</v>
      </c>
      <c r="X24" s="623"/>
      <c r="Y24" s="623"/>
      <c r="Z24" s="628"/>
      <c r="AA24" s="624"/>
      <c r="AB24" s="624">
        <f>SUM(AC24:AM24)</f>
        <v>0</v>
      </c>
      <c r="AC24" s="627"/>
      <c r="AD24" s="628"/>
      <c r="AE24" s="628"/>
      <c r="AF24" s="628"/>
      <c r="AG24" s="628"/>
      <c r="AH24" s="628"/>
      <c r="AI24" s="628"/>
      <c r="AJ24" s="628"/>
      <c r="AK24" s="625"/>
      <c r="AL24" s="625"/>
      <c r="AM24" s="623"/>
      <c r="AN24" s="629"/>
      <c r="AO24" s="624"/>
      <c r="AP24" s="626"/>
      <c r="AQ24" s="630">
        <f>C24+H24+L24+AA24+AB24+AN24+AO24+AP24</f>
        <v>-2.7136981287656603</v>
      </c>
      <c r="AR24" s="3"/>
      <c r="AS24" s="7"/>
    </row>
    <row r="25" spans="1:45" s="8" customFormat="1" ht="12.75" customHeight="1" thickBot="1">
      <c r="A25" s="676" t="s">
        <v>140</v>
      </c>
      <c r="B25" s="677"/>
      <c r="C25" s="678">
        <f>SUM(D25:G25)</f>
        <v>0</v>
      </c>
      <c r="D25" s="679"/>
      <c r="E25" s="680"/>
      <c r="F25" s="708"/>
      <c r="G25" s="708"/>
      <c r="H25" s="682">
        <f>SUM(I25:K25)</f>
        <v>10.28324833984202</v>
      </c>
      <c r="I25" s="708">
        <v>10.28324833984202</v>
      </c>
      <c r="J25" s="710"/>
      <c r="K25" s="710"/>
      <c r="L25" s="682">
        <f>SUM(O25:Z25)</f>
        <v>98.284657617035819</v>
      </c>
      <c r="M25" s="710"/>
      <c r="N25" s="710"/>
      <c r="O25" s="710">
        <v>95.274692021714102</v>
      </c>
      <c r="P25" s="710"/>
      <c r="Q25" s="710"/>
      <c r="R25" s="710"/>
      <c r="S25" s="710">
        <v>0</v>
      </c>
      <c r="T25" s="710">
        <v>4.1693256233877908E-3</v>
      </c>
      <c r="U25" s="710">
        <v>3.0057962696983291</v>
      </c>
      <c r="V25" s="710"/>
      <c r="W25" s="708"/>
      <c r="X25" s="708"/>
      <c r="Y25" s="708"/>
      <c r="Z25" s="710"/>
      <c r="AA25" s="682">
        <v>57.528599543766255</v>
      </c>
      <c r="AB25" s="683">
        <f>SUM(AC25:AI25)</f>
        <v>0</v>
      </c>
      <c r="AC25" s="684"/>
      <c r="AD25" s="710"/>
      <c r="AE25" s="710"/>
      <c r="AF25" s="710"/>
      <c r="AG25" s="710"/>
      <c r="AH25" s="710"/>
      <c r="AI25" s="710"/>
      <c r="AJ25" s="710"/>
      <c r="AK25" s="712"/>
      <c r="AL25" s="712"/>
      <c r="AM25" s="708"/>
      <c r="AN25" s="713"/>
      <c r="AO25" s="682">
        <v>259.46681438260055</v>
      </c>
      <c r="AP25" s="683"/>
      <c r="AQ25" s="714">
        <f>C25+H25+L25+AA25+AB25+AN25+AO25+AP25</f>
        <v>425.56331988324462</v>
      </c>
      <c r="AR25" s="3"/>
      <c r="AS25" s="7"/>
    </row>
    <row r="26" spans="1:45" s="6" customFormat="1" ht="12.75" customHeight="1" thickBot="1">
      <c r="A26" s="718" t="s">
        <v>141</v>
      </c>
      <c r="B26" s="719"/>
      <c r="C26" s="720">
        <f t="shared" ref="C26:AP26" si="10">C7-C9+C15+C21-C25</f>
        <v>348.69297193905459</v>
      </c>
      <c r="D26" s="721">
        <f t="shared" si="10"/>
        <v>190.34389623369066</v>
      </c>
      <c r="E26" s="722">
        <f t="shared" si="10"/>
        <v>149.86072528467759</v>
      </c>
      <c r="F26" s="722">
        <f t="shared" si="10"/>
        <v>0</v>
      </c>
      <c r="G26" s="722">
        <f t="shared" si="10"/>
        <v>8.4883504206865013</v>
      </c>
      <c r="H26" s="723">
        <f t="shared" si="10"/>
        <v>199.31419506885081</v>
      </c>
      <c r="I26" s="721">
        <f t="shared" si="10"/>
        <v>0.37225106885087023</v>
      </c>
      <c r="J26" s="722">
        <f t="shared" si="10"/>
        <v>127.70399999999999</v>
      </c>
      <c r="K26" s="722">
        <f t="shared" si="10"/>
        <v>71.237943999999999</v>
      </c>
      <c r="L26" s="723">
        <f t="shared" si="10"/>
        <v>7296.7282199976062</v>
      </c>
      <c r="M26" s="722">
        <f t="shared" si="10"/>
        <v>0</v>
      </c>
      <c r="N26" s="722">
        <f t="shared" si="10"/>
        <v>-0.14794174855289199</v>
      </c>
      <c r="O26" s="722">
        <f t="shared" si="10"/>
        <v>-5.2567080980734033</v>
      </c>
      <c r="P26" s="722">
        <f t="shared" si="10"/>
        <v>799.46408249999979</v>
      </c>
      <c r="Q26" s="722">
        <f t="shared" si="10"/>
        <v>962.00436969728003</v>
      </c>
      <c r="R26" s="722">
        <f t="shared" si="10"/>
        <v>1095.3569190907197</v>
      </c>
      <c r="S26" s="722">
        <f t="shared" si="10"/>
        <v>39.21120498695575</v>
      </c>
      <c r="T26" s="722">
        <f t="shared" si="10"/>
        <v>187.88084937540125</v>
      </c>
      <c r="U26" s="722">
        <f t="shared" si="10"/>
        <v>3833.6812396704358</v>
      </c>
      <c r="V26" s="722">
        <f t="shared" si="10"/>
        <v>145.44440711224036</v>
      </c>
      <c r="W26" s="722">
        <f t="shared" si="10"/>
        <v>7.506512734116022</v>
      </c>
      <c r="X26" s="722">
        <f t="shared" si="10"/>
        <v>195.36275312176252</v>
      </c>
      <c r="Y26" s="722">
        <f t="shared" si="10"/>
        <v>1.2096467108549098</v>
      </c>
      <c r="Z26" s="722">
        <f t="shared" si="10"/>
        <v>35.010884844467988</v>
      </c>
      <c r="AA26" s="723">
        <f t="shared" si="10"/>
        <v>1921.4292269183238</v>
      </c>
      <c r="AB26" s="724">
        <f t="shared" si="10"/>
        <v>456.44000480998989</v>
      </c>
      <c r="AC26" s="651">
        <f t="shared" si="10"/>
        <v>0</v>
      </c>
      <c r="AD26" s="635">
        <f t="shared" si="10"/>
        <v>0</v>
      </c>
      <c r="AE26" s="635">
        <f t="shared" si="10"/>
        <v>196.67659478004623</v>
      </c>
      <c r="AF26" s="635">
        <f t="shared" si="10"/>
        <v>40.692904224132207</v>
      </c>
      <c r="AG26" s="635">
        <f t="shared" si="10"/>
        <v>0</v>
      </c>
      <c r="AH26" s="635">
        <f t="shared" si="10"/>
        <v>9.7770611234061491</v>
      </c>
      <c r="AI26" s="635">
        <f t="shared" si="10"/>
        <v>124.01266332172798</v>
      </c>
      <c r="AJ26" s="635">
        <f t="shared" si="10"/>
        <v>27.929372998367999</v>
      </c>
      <c r="AK26" s="637">
        <f t="shared" si="10"/>
        <v>0</v>
      </c>
      <c r="AL26" s="637">
        <f t="shared" si="10"/>
        <v>13.54608560366562</v>
      </c>
      <c r="AM26" s="725">
        <f t="shared" si="10"/>
        <v>43.805322758643676</v>
      </c>
      <c r="AN26" s="723">
        <f t="shared" si="10"/>
        <v>54.722939604974087</v>
      </c>
      <c r="AO26" s="723">
        <f t="shared" si="10"/>
        <v>2361.2693974490917</v>
      </c>
      <c r="AP26" s="724">
        <f t="shared" si="10"/>
        <v>0</v>
      </c>
      <c r="AQ26" s="726">
        <f>C26+H26+L26+AA26+AB26+AN26+AO26+AP26</f>
        <v>12638.596955787891</v>
      </c>
      <c r="AR26" s="3"/>
      <c r="AS26" s="5"/>
    </row>
    <row r="27" spans="1:45" s="6" customFormat="1" ht="12.75" customHeight="1">
      <c r="A27" s="631" t="s">
        <v>142</v>
      </c>
      <c r="B27" s="632"/>
      <c r="C27" s="633">
        <f t="shared" ref="C27:V27" si="11">C28</f>
        <v>0</v>
      </c>
      <c r="D27" s="637">
        <f t="shared" si="11"/>
        <v>0</v>
      </c>
      <c r="E27" s="635">
        <f t="shared" si="11"/>
        <v>0</v>
      </c>
      <c r="F27" s="650">
        <f t="shared" si="11"/>
        <v>0</v>
      </c>
      <c r="G27" s="650">
        <f t="shared" si="11"/>
        <v>0</v>
      </c>
      <c r="H27" s="636">
        <f t="shared" si="11"/>
        <v>0</v>
      </c>
      <c r="I27" s="637">
        <f t="shared" si="11"/>
        <v>0</v>
      </c>
      <c r="J27" s="635">
        <f t="shared" si="11"/>
        <v>0</v>
      </c>
      <c r="K27" s="635">
        <f t="shared" si="11"/>
        <v>0</v>
      </c>
      <c r="L27" s="636">
        <f t="shared" si="11"/>
        <v>231.58328467708543</v>
      </c>
      <c r="M27" s="635">
        <f t="shared" si="11"/>
        <v>0</v>
      </c>
      <c r="N27" s="635">
        <f t="shared" si="11"/>
        <v>0</v>
      </c>
      <c r="O27" s="635">
        <f t="shared" si="11"/>
        <v>0</v>
      </c>
      <c r="P27" s="635">
        <f t="shared" si="11"/>
        <v>0</v>
      </c>
      <c r="Q27" s="635">
        <f t="shared" si="11"/>
        <v>0</v>
      </c>
      <c r="R27" s="635">
        <f t="shared" si="11"/>
        <v>0</v>
      </c>
      <c r="S27" s="635">
        <f t="shared" si="11"/>
        <v>0</v>
      </c>
      <c r="T27" s="635">
        <f t="shared" si="11"/>
        <v>0</v>
      </c>
      <c r="U27" s="635">
        <f t="shared" si="11"/>
        <v>0</v>
      </c>
      <c r="V27" s="635">
        <f t="shared" si="11"/>
        <v>0</v>
      </c>
      <c r="W27" s="650"/>
      <c r="X27" s="650">
        <f t="shared" ref="X27:AQ27" si="12">X28</f>
        <v>195.36275312176252</v>
      </c>
      <c r="Y27" s="650">
        <f t="shared" si="12"/>
        <v>1.2096467108549098</v>
      </c>
      <c r="Z27" s="635">
        <f t="shared" si="12"/>
        <v>35.010884844467988</v>
      </c>
      <c r="AA27" s="636">
        <f t="shared" si="12"/>
        <v>0</v>
      </c>
      <c r="AB27" s="634">
        <f t="shared" si="12"/>
        <v>0</v>
      </c>
      <c r="AC27" s="651">
        <f t="shared" si="12"/>
        <v>0</v>
      </c>
      <c r="AD27" s="635">
        <f t="shared" si="12"/>
        <v>0</v>
      </c>
      <c r="AE27" s="635">
        <f t="shared" si="12"/>
        <v>0</v>
      </c>
      <c r="AF27" s="635">
        <f t="shared" si="12"/>
        <v>0</v>
      </c>
      <c r="AG27" s="635">
        <f t="shared" si="12"/>
        <v>0</v>
      </c>
      <c r="AH27" s="635">
        <f t="shared" si="12"/>
        <v>0</v>
      </c>
      <c r="AI27" s="635">
        <f t="shared" si="12"/>
        <v>0</v>
      </c>
      <c r="AJ27" s="635">
        <f t="shared" si="12"/>
        <v>0</v>
      </c>
      <c r="AK27" s="637">
        <f t="shared" si="12"/>
        <v>0</v>
      </c>
      <c r="AL27" s="637">
        <f t="shared" si="12"/>
        <v>0</v>
      </c>
      <c r="AM27" s="650">
        <f t="shared" si="12"/>
        <v>0</v>
      </c>
      <c r="AN27" s="636">
        <f t="shared" si="12"/>
        <v>0</v>
      </c>
      <c r="AO27" s="636">
        <f t="shared" si="12"/>
        <v>0</v>
      </c>
      <c r="AP27" s="634">
        <f t="shared" si="12"/>
        <v>0</v>
      </c>
      <c r="AQ27" s="639">
        <f t="shared" si="12"/>
        <v>231.58328467708543</v>
      </c>
      <c r="AR27" s="3"/>
      <c r="AS27" s="5"/>
    </row>
    <row r="28" spans="1:45" s="3" customFormat="1" ht="12.75" customHeight="1" thickBot="1">
      <c r="A28" s="727" t="s">
        <v>143</v>
      </c>
      <c r="B28" s="728"/>
      <c r="C28" s="729">
        <f>SUM(D28:G28)</f>
        <v>0</v>
      </c>
      <c r="D28" s="692"/>
      <c r="E28" s="693"/>
      <c r="F28" s="694"/>
      <c r="G28" s="694"/>
      <c r="H28" s="699">
        <f>SUM(I28:K28)</f>
        <v>0</v>
      </c>
      <c r="I28" s="692"/>
      <c r="J28" s="693"/>
      <c r="K28" s="693"/>
      <c r="L28" s="699">
        <f>SUM(M28:Z28)</f>
        <v>231.58328467708543</v>
      </c>
      <c r="M28" s="693"/>
      <c r="N28" s="693"/>
      <c r="O28" s="693"/>
      <c r="P28" s="693"/>
      <c r="Q28" s="693"/>
      <c r="R28" s="693"/>
      <c r="S28" s="693"/>
      <c r="T28" s="693"/>
      <c r="U28" s="693"/>
      <c r="V28" s="693"/>
      <c r="W28" s="694"/>
      <c r="X28" s="694">
        <f>X26</f>
        <v>195.36275312176252</v>
      </c>
      <c r="Y28" s="694">
        <f>Y26</f>
        <v>1.2096467108549098</v>
      </c>
      <c r="Z28" s="693">
        <f>Z26</f>
        <v>35.010884844467988</v>
      </c>
      <c r="AA28" s="699">
        <v>0</v>
      </c>
      <c r="AB28" s="730">
        <f>SUM(AC28:AI28)</f>
        <v>0</v>
      </c>
      <c r="AC28" s="697"/>
      <c r="AD28" s="693"/>
      <c r="AE28" s="693"/>
      <c r="AF28" s="693"/>
      <c r="AG28" s="693"/>
      <c r="AH28" s="693"/>
      <c r="AI28" s="693"/>
      <c r="AJ28" s="693"/>
      <c r="AK28" s="692"/>
      <c r="AL28" s="692"/>
      <c r="AM28" s="694"/>
      <c r="AN28" s="699"/>
      <c r="AO28" s="699"/>
      <c r="AP28" s="730"/>
      <c r="AQ28" s="700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1" t="s">
        <v>144</v>
      </c>
      <c r="B29" s="632"/>
      <c r="C29" s="633">
        <f t="shared" ref="C29:AQ29" si="14">C30+C45+C56+C58+C65+C70+C71</f>
        <v>351.41289633822032</v>
      </c>
      <c r="D29" s="637">
        <f t="shared" si="14"/>
        <v>190.16205136582681</v>
      </c>
      <c r="E29" s="635">
        <f t="shared" si="14"/>
        <v>153.30941368399715</v>
      </c>
      <c r="F29" s="650">
        <f t="shared" si="14"/>
        <v>0</v>
      </c>
      <c r="G29" s="650">
        <f t="shared" si="14"/>
        <v>7.795884678396293</v>
      </c>
      <c r="H29" s="636">
        <f t="shared" si="14"/>
        <v>197.36847005356</v>
      </c>
      <c r="I29" s="637">
        <f t="shared" si="14"/>
        <v>0.82966372355999995</v>
      </c>
      <c r="J29" s="637">
        <f t="shared" si="14"/>
        <v>127.70399999999999</v>
      </c>
      <c r="K29" s="637">
        <f t="shared" si="14"/>
        <v>68.834806329999992</v>
      </c>
      <c r="L29" s="636">
        <f t="shared" si="14"/>
        <v>7065.3194555859664</v>
      </c>
      <c r="M29" s="635">
        <f t="shared" si="14"/>
        <v>0</v>
      </c>
      <c r="N29" s="635">
        <f t="shared" si="14"/>
        <v>0</v>
      </c>
      <c r="O29" s="635">
        <f t="shared" si="14"/>
        <v>0</v>
      </c>
      <c r="P29" s="635">
        <f t="shared" si="14"/>
        <v>821.48002832197096</v>
      </c>
      <c r="Q29" s="635">
        <f t="shared" si="14"/>
        <v>946.63395628255989</v>
      </c>
      <c r="R29" s="635">
        <f t="shared" si="14"/>
        <v>1102.0673096951998</v>
      </c>
      <c r="S29" s="635">
        <f t="shared" si="14"/>
        <v>31.039400915077643</v>
      </c>
      <c r="T29" s="635">
        <f t="shared" si="14"/>
        <v>181.32381570558749</v>
      </c>
      <c r="U29" s="635">
        <f t="shared" si="14"/>
        <v>3838.1558666328419</v>
      </c>
      <c r="V29" s="635">
        <f t="shared" si="14"/>
        <v>144.61907803272823</v>
      </c>
      <c r="W29" s="650">
        <f t="shared" si="14"/>
        <v>0</v>
      </c>
      <c r="X29" s="650">
        <f t="shared" si="14"/>
        <v>0</v>
      </c>
      <c r="Y29" s="650">
        <f t="shared" si="14"/>
        <v>0</v>
      </c>
      <c r="Z29" s="637">
        <f t="shared" si="14"/>
        <v>0</v>
      </c>
      <c r="AA29" s="723">
        <f t="shared" si="14"/>
        <v>1961.7039372255224</v>
      </c>
      <c r="AB29" s="634">
        <f t="shared" si="14"/>
        <v>464.57031831216926</v>
      </c>
      <c r="AC29" s="651">
        <f t="shared" si="14"/>
        <v>0</v>
      </c>
      <c r="AD29" s="635">
        <f t="shared" si="14"/>
        <v>0</v>
      </c>
      <c r="AE29" s="635">
        <f t="shared" si="14"/>
        <v>202.50934255862566</v>
      </c>
      <c r="AF29" s="635">
        <f t="shared" si="14"/>
        <v>40.692904224132199</v>
      </c>
      <c r="AG29" s="635">
        <f t="shared" si="14"/>
        <v>0</v>
      </c>
      <c r="AH29" s="635">
        <f t="shared" si="14"/>
        <v>9.7770611234061491</v>
      </c>
      <c r="AI29" s="635">
        <f t="shared" si="14"/>
        <v>126.968349188928</v>
      </c>
      <c r="AJ29" s="635">
        <f t="shared" si="14"/>
        <v>27.271252854767997</v>
      </c>
      <c r="AK29" s="634">
        <f t="shared" si="14"/>
        <v>0</v>
      </c>
      <c r="AL29" s="634">
        <f t="shared" si="14"/>
        <v>13.546085603665619</v>
      </c>
      <c r="AM29" s="634">
        <f t="shared" si="14"/>
        <v>43.805322758643683</v>
      </c>
      <c r="AN29" s="634">
        <f t="shared" si="14"/>
        <v>54.722939604974094</v>
      </c>
      <c r="AO29" s="636">
        <f t="shared" si="14"/>
        <v>2397.4208343089181</v>
      </c>
      <c r="AP29" s="634">
        <f t="shared" si="14"/>
        <v>0</v>
      </c>
      <c r="AQ29" s="726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31"/>
      <c r="C30" s="732">
        <f>SUM(C31:C44)</f>
        <v>105.57009591000003</v>
      </c>
      <c r="D30" s="733">
        <v>105.4245493</v>
      </c>
      <c r="E30" s="733">
        <v>0</v>
      </c>
      <c r="F30" s="734"/>
      <c r="G30" s="734"/>
      <c r="H30" s="735">
        <f>SUM(H31:H44)</f>
        <v>0.82966372355999995</v>
      </c>
      <c r="I30" s="736">
        <f t="shared" ref="I30:K30" si="15">SUM(I31:I44)</f>
        <v>0.82966372355999995</v>
      </c>
      <c r="J30" s="733">
        <f t="shared" si="15"/>
        <v>0</v>
      </c>
      <c r="K30" s="733">
        <f t="shared" si="15"/>
        <v>0</v>
      </c>
      <c r="L30" s="735">
        <f>SUM(L31:L44)</f>
        <v>374.2907898235643</v>
      </c>
      <c r="M30" s="733">
        <f>SUM(M31:M44)</f>
        <v>0</v>
      </c>
      <c r="N30" s="733">
        <f>SUM(N31:N44)</f>
        <v>0</v>
      </c>
      <c r="O30" s="733">
        <f>SUM(O31:O44)</f>
        <v>0</v>
      </c>
      <c r="P30" s="733">
        <f>SUM(P31:P44)</f>
        <v>0</v>
      </c>
      <c r="Q30" s="733">
        <v>9.5497368091127406</v>
      </c>
      <c r="R30" s="733">
        <f>SUM(R31:R44)</f>
        <v>0</v>
      </c>
      <c r="S30" s="733">
        <v>30.396553446461994</v>
      </c>
      <c r="T30" s="733">
        <v>55.909311724159259</v>
      </c>
      <c r="U30" s="733">
        <v>137.32678867057862</v>
      </c>
      <c r="V30" s="733">
        <v>141.10839917325163</v>
      </c>
      <c r="W30" s="733">
        <f>SUM(W31:W44)</f>
        <v>0</v>
      </c>
      <c r="X30" s="733">
        <f>SUM(X31:X44)</f>
        <v>0</v>
      </c>
      <c r="Y30" s="733">
        <f>SUM(Y31:Y44)</f>
        <v>0</v>
      </c>
      <c r="Z30" s="733">
        <f>SUM(Z31:Z44)</f>
        <v>0</v>
      </c>
      <c r="AA30" s="735">
        <v>937.35749564856553</v>
      </c>
      <c r="AB30" s="737">
        <f t="shared" ref="AB30:AN30" si="16">SUM(AB31:AB44)</f>
        <v>196.85576511692614</v>
      </c>
      <c r="AC30" s="738">
        <f t="shared" si="16"/>
        <v>0</v>
      </c>
      <c r="AD30" s="733">
        <f t="shared" si="16"/>
        <v>0</v>
      </c>
      <c r="AE30" s="733">
        <f t="shared" si="16"/>
        <v>153.9273551380638</v>
      </c>
      <c r="AF30" s="733">
        <f t="shared" si="16"/>
        <v>40.692904224132199</v>
      </c>
      <c r="AG30" s="733">
        <f t="shared" si="16"/>
        <v>0</v>
      </c>
      <c r="AH30" s="733">
        <f t="shared" si="16"/>
        <v>2.2355057547301662</v>
      </c>
      <c r="AI30" s="733">
        <f t="shared" si="16"/>
        <v>0</v>
      </c>
      <c r="AJ30" s="733">
        <f t="shared" si="16"/>
        <v>0</v>
      </c>
      <c r="AK30" s="733">
        <f t="shared" si="16"/>
        <v>0</v>
      </c>
      <c r="AL30" s="733">
        <f t="shared" si="16"/>
        <v>0</v>
      </c>
      <c r="AM30" s="739">
        <f t="shared" si="16"/>
        <v>0</v>
      </c>
      <c r="AN30" s="736">
        <f t="shared" si="16"/>
        <v>54.722939604974094</v>
      </c>
      <c r="AO30" s="735">
        <v>621.72214114590861</v>
      </c>
      <c r="AP30" s="737">
        <f>SUM(AP31:AP44)</f>
        <v>0</v>
      </c>
      <c r="AQ30" s="652">
        <f t="shared" ref="AQ30" si="17">C30+H30+L30+AA30+AB30+AN30+AO30+AP30</f>
        <v>2291.3488909734988</v>
      </c>
      <c r="AR30" s="3"/>
      <c r="AS30" s="9"/>
    </row>
    <row r="31" spans="1:45" ht="12.75" customHeight="1">
      <c r="A31" s="740" t="s">
        <v>146</v>
      </c>
      <c r="B31" s="741" t="s">
        <v>147</v>
      </c>
      <c r="C31" s="742">
        <f t="shared" ref="C31:C43" si="18">SUM(D31:G31)</f>
        <v>0</v>
      </c>
      <c r="D31" s="661">
        <v>0</v>
      </c>
      <c r="E31" s="743"/>
      <c r="F31" s="743"/>
      <c r="G31" s="744"/>
      <c r="H31" s="745">
        <f t="shared" ref="H31:H43" si="19">SUM(I31:K31)</f>
        <v>0</v>
      </c>
      <c r="I31" s="746"/>
      <c r="J31" s="664"/>
      <c r="K31" s="664"/>
      <c r="L31" s="745">
        <f t="shared" ref="L31:L43" si="20">SUM(M31:Z31)</f>
        <v>22.334930091304539</v>
      </c>
      <c r="M31" s="664"/>
      <c r="N31" s="664"/>
      <c r="O31" s="664"/>
      <c r="P31" s="747"/>
      <c r="Q31" s="704">
        <v>0.34591578903338577</v>
      </c>
      <c r="R31" s="743"/>
      <c r="S31" s="704">
        <v>0</v>
      </c>
      <c r="T31" s="704">
        <v>1.3603740574248424</v>
      </c>
      <c r="U31" s="704">
        <v>20.628640244846309</v>
      </c>
      <c r="V31" s="704">
        <v>0</v>
      </c>
      <c r="W31" s="743"/>
      <c r="X31" s="746"/>
      <c r="Y31" s="747"/>
      <c r="Z31" s="664"/>
      <c r="AA31" s="662">
        <v>8.7861347374034651</v>
      </c>
      <c r="AB31" s="748">
        <f t="shared" ref="AB31:AB43" si="21">SUM(AC31:AM31)</f>
        <v>0</v>
      </c>
      <c r="AC31" s="749"/>
      <c r="AD31" s="664"/>
      <c r="AE31" s="664"/>
      <c r="AF31" s="664"/>
      <c r="AG31" s="664"/>
      <c r="AH31" s="664"/>
      <c r="AI31" s="664"/>
      <c r="AJ31" s="664"/>
      <c r="AK31" s="656"/>
      <c r="AL31" s="658"/>
      <c r="AM31" s="664"/>
      <c r="AN31" s="662"/>
      <c r="AO31" s="662">
        <v>18.350912208427118</v>
      </c>
      <c r="AP31" s="748"/>
      <c r="AQ31" s="663">
        <f t="shared" si="13"/>
        <v>49.471977037135119</v>
      </c>
    </row>
    <row r="32" spans="1:45" ht="12.75" customHeight="1">
      <c r="A32" s="750" t="s">
        <v>148</v>
      </c>
      <c r="B32" s="751" t="s">
        <v>149</v>
      </c>
      <c r="C32" s="608">
        <f t="shared" si="18"/>
        <v>18.505815952000003</v>
      </c>
      <c r="D32" s="616">
        <v>18.505815952000003</v>
      </c>
      <c r="E32" s="752"/>
      <c r="F32" s="752"/>
      <c r="G32" s="753"/>
      <c r="H32" s="612">
        <f t="shared" si="19"/>
        <v>0.82966372355999995</v>
      </c>
      <c r="I32" s="613">
        <v>0.82966372355999995</v>
      </c>
      <c r="J32" s="614"/>
      <c r="K32" s="614"/>
      <c r="L32" s="612">
        <f t="shared" si="20"/>
        <v>71.784094369696632</v>
      </c>
      <c r="M32" s="614"/>
      <c r="N32" s="614"/>
      <c r="O32" s="614"/>
      <c r="P32" s="747"/>
      <c r="Q32" s="752">
        <v>2.0660606672266768</v>
      </c>
      <c r="R32" s="752"/>
      <c r="S32" s="752">
        <v>22.968462416696998</v>
      </c>
      <c r="T32" s="752">
        <v>30.662877604409012</v>
      </c>
      <c r="U32" s="752">
        <v>16.086693681363943</v>
      </c>
      <c r="V32" s="752">
        <v>0</v>
      </c>
      <c r="W32" s="752"/>
      <c r="X32" s="613"/>
      <c r="Y32" s="611"/>
      <c r="Z32" s="614"/>
      <c r="AA32" s="617">
        <v>265.46537885977392</v>
      </c>
      <c r="AB32" s="615">
        <f t="shared" si="21"/>
        <v>26.063524749810167</v>
      </c>
      <c r="AC32" s="616"/>
      <c r="AD32" s="614"/>
      <c r="AE32" s="614">
        <v>23.828018995080001</v>
      </c>
      <c r="AF32" s="614"/>
      <c r="AG32" s="664"/>
      <c r="AH32" s="664">
        <v>2.2355057547301662</v>
      </c>
      <c r="AI32" s="664"/>
      <c r="AJ32" s="664"/>
      <c r="AK32" s="613"/>
      <c r="AL32" s="611"/>
      <c r="AM32" s="614"/>
      <c r="AN32" s="617"/>
      <c r="AO32" s="617">
        <v>148.76072128018708</v>
      </c>
      <c r="AP32" s="615"/>
      <c r="AQ32" s="618">
        <f t="shared" si="13"/>
        <v>531.4091989350278</v>
      </c>
    </row>
    <row r="33" spans="1:45" ht="12.75" customHeight="1">
      <c r="A33" s="750" t="s">
        <v>150</v>
      </c>
      <c r="B33" s="754" t="s">
        <v>151</v>
      </c>
      <c r="C33" s="608">
        <f t="shared" si="18"/>
        <v>0</v>
      </c>
      <c r="D33" s="616">
        <v>0</v>
      </c>
      <c r="E33" s="752"/>
      <c r="F33" s="752"/>
      <c r="G33" s="753"/>
      <c r="H33" s="612">
        <f t="shared" si="19"/>
        <v>0</v>
      </c>
      <c r="I33" s="613"/>
      <c r="J33" s="614"/>
      <c r="K33" s="614"/>
      <c r="L33" s="612">
        <f t="shared" si="20"/>
        <v>3.9848369673637745</v>
      </c>
      <c r="M33" s="614"/>
      <c r="N33" s="614"/>
      <c r="O33" s="614"/>
      <c r="P33" s="747"/>
      <c r="Q33" s="752">
        <v>6.1845550160514413E-2</v>
      </c>
      <c r="R33" s="752"/>
      <c r="S33" s="752">
        <v>0</v>
      </c>
      <c r="T33" s="752">
        <v>3.2282811958991577</v>
      </c>
      <c r="U33" s="752">
        <v>0.69471022130410232</v>
      </c>
      <c r="V33" s="752">
        <v>0</v>
      </c>
      <c r="W33" s="752"/>
      <c r="X33" s="613"/>
      <c r="Y33" s="611"/>
      <c r="Z33" s="614"/>
      <c r="AA33" s="617">
        <v>19.827078866680154</v>
      </c>
      <c r="AB33" s="615">
        <f t="shared" si="21"/>
        <v>0</v>
      </c>
      <c r="AC33" s="616"/>
      <c r="AD33" s="614"/>
      <c r="AE33" s="614"/>
      <c r="AF33" s="614"/>
      <c r="AG33" s="664"/>
      <c r="AH33" s="664"/>
      <c r="AI33" s="664"/>
      <c r="AJ33" s="664"/>
      <c r="AK33" s="613"/>
      <c r="AL33" s="611"/>
      <c r="AM33" s="614"/>
      <c r="AN33" s="617"/>
      <c r="AO33" s="617">
        <v>4.8844128009868593</v>
      </c>
      <c r="AP33" s="615"/>
      <c r="AQ33" s="618">
        <f t="shared" si="13"/>
        <v>28.696328635030788</v>
      </c>
    </row>
    <row r="34" spans="1:45" ht="12.75" customHeight="1">
      <c r="A34" s="750" t="s">
        <v>152</v>
      </c>
      <c r="B34" s="754" t="s">
        <v>153</v>
      </c>
      <c r="C34" s="608">
        <f t="shared" si="18"/>
        <v>0</v>
      </c>
      <c r="D34" s="616">
        <v>0</v>
      </c>
      <c r="E34" s="752"/>
      <c r="F34" s="752"/>
      <c r="G34" s="753"/>
      <c r="H34" s="612">
        <f t="shared" si="19"/>
        <v>0</v>
      </c>
      <c r="I34" s="613"/>
      <c r="J34" s="614"/>
      <c r="K34" s="614"/>
      <c r="L34" s="612">
        <f t="shared" si="20"/>
        <v>2.6182891559382289</v>
      </c>
      <c r="M34" s="614"/>
      <c r="N34" s="614"/>
      <c r="O34" s="614"/>
      <c r="P34" s="747"/>
      <c r="Q34" s="752">
        <v>8.9099521417690272E-2</v>
      </c>
      <c r="R34" s="752"/>
      <c r="S34" s="752">
        <v>0</v>
      </c>
      <c r="T34" s="752">
        <v>0.28505282634285456</v>
      </c>
      <c r="U34" s="752">
        <v>2.244136808177684</v>
      </c>
      <c r="V34" s="752">
        <v>0</v>
      </c>
      <c r="W34" s="752"/>
      <c r="X34" s="613"/>
      <c r="Y34" s="611"/>
      <c r="Z34" s="614"/>
      <c r="AA34" s="617">
        <v>3.0214445851101197</v>
      </c>
      <c r="AB34" s="615">
        <f t="shared" si="21"/>
        <v>127.87356205415999</v>
      </c>
      <c r="AC34" s="616"/>
      <c r="AD34" s="614"/>
      <c r="AE34" s="614">
        <v>127.87356205415999</v>
      </c>
      <c r="AF34" s="614"/>
      <c r="AG34" s="664"/>
      <c r="AH34" s="664"/>
      <c r="AI34" s="664"/>
      <c r="AJ34" s="664"/>
      <c r="AK34" s="613"/>
      <c r="AL34" s="611"/>
      <c r="AM34" s="614"/>
      <c r="AN34" s="617"/>
      <c r="AO34" s="617">
        <v>26.251691103783244</v>
      </c>
      <c r="AP34" s="615"/>
      <c r="AQ34" s="618">
        <f t="shared" si="13"/>
        <v>159.76498689899159</v>
      </c>
    </row>
    <row r="35" spans="1:45" ht="12.75" customHeight="1">
      <c r="A35" s="750" t="s">
        <v>154</v>
      </c>
      <c r="B35" s="754" t="s">
        <v>155</v>
      </c>
      <c r="C35" s="608">
        <f t="shared" si="18"/>
        <v>0</v>
      </c>
      <c r="D35" s="616">
        <v>0</v>
      </c>
      <c r="E35" s="752"/>
      <c r="F35" s="752"/>
      <c r="G35" s="753"/>
      <c r="H35" s="612">
        <f t="shared" si="19"/>
        <v>0</v>
      </c>
      <c r="I35" s="613"/>
      <c r="J35" s="614"/>
      <c r="K35" s="614"/>
      <c r="L35" s="612">
        <f t="shared" si="20"/>
        <v>0.83838358845358163</v>
      </c>
      <c r="M35" s="614"/>
      <c r="N35" s="614"/>
      <c r="O35" s="614"/>
      <c r="P35" s="747"/>
      <c r="Q35" s="752">
        <v>0.19497071745518102</v>
      </c>
      <c r="R35" s="752"/>
      <c r="S35" s="752">
        <v>0</v>
      </c>
      <c r="T35" s="752">
        <v>5.0985058370266664E-2</v>
      </c>
      <c r="U35" s="752">
        <v>0.59242781262813393</v>
      </c>
      <c r="V35" s="752">
        <v>0</v>
      </c>
      <c r="W35" s="752"/>
      <c r="X35" s="613"/>
      <c r="Y35" s="611"/>
      <c r="Z35" s="614"/>
      <c r="AA35" s="617">
        <v>4.5940947412447954</v>
      </c>
      <c r="AB35" s="615">
        <f t="shared" si="21"/>
        <v>0</v>
      </c>
      <c r="AC35" s="616"/>
      <c r="AD35" s="614"/>
      <c r="AE35" s="614"/>
      <c r="AF35" s="614"/>
      <c r="AG35" s="664"/>
      <c r="AH35" s="664"/>
      <c r="AI35" s="664"/>
      <c r="AJ35" s="664"/>
      <c r="AK35" s="613"/>
      <c r="AL35" s="611"/>
      <c r="AM35" s="614"/>
      <c r="AN35" s="617"/>
      <c r="AO35" s="617">
        <v>10.638816275668107</v>
      </c>
      <c r="AP35" s="615"/>
      <c r="AQ35" s="618">
        <f t="shared" si="13"/>
        <v>16.071294605366482</v>
      </c>
    </row>
    <row r="36" spans="1:45" ht="12.75" customHeight="1">
      <c r="A36" s="750" t="s">
        <v>156</v>
      </c>
      <c r="B36" s="754" t="s">
        <v>157</v>
      </c>
      <c r="C36" s="608">
        <f t="shared" si="18"/>
        <v>0</v>
      </c>
      <c r="D36" s="749">
        <v>0</v>
      </c>
      <c r="E36" s="752"/>
      <c r="F36" s="752"/>
      <c r="G36" s="753"/>
      <c r="H36" s="612">
        <f t="shared" si="19"/>
        <v>0</v>
      </c>
      <c r="I36" s="613"/>
      <c r="J36" s="614"/>
      <c r="K36" s="614"/>
      <c r="L36" s="612">
        <f t="shared" si="20"/>
        <v>20.491702651385793</v>
      </c>
      <c r="M36" s="614"/>
      <c r="N36" s="614"/>
      <c r="O36" s="614"/>
      <c r="P36" s="747"/>
      <c r="Q36" s="743">
        <v>0.29140784651903406</v>
      </c>
      <c r="R36" s="752"/>
      <c r="S36" s="743">
        <v>2.7458233928999998</v>
      </c>
      <c r="T36" s="743">
        <v>2.7311768767890574</v>
      </c>
      <c r="U36" s="743">
        <v>4.9055048279840703</v>
      </c>
      <c r="V36" s="743">
        <v>9.8177897071936346</v>
      </c>
      <c r="W36" s="752"/>
      <c r="X36" s="613"/>
      <c r="Y36" s="611"/>
      <c r="Z36" s="614"/>
      <c r="AA36" s="755">
        <v>128.0014006524043</v>
      </c>
      <c r="AB36" s="615">
        <f t="shared" si="21"/>
        <v>0</v>
      </c>
      <c r="AC36" s="616"/>
      <c r="AD36" s="614"/>
      <c r="AE36" s="614">
        <v>0</v>
      </c>
      <c r="AF36" s="614"/>
      <c r="AG36" s="664"/>
      <c r="AH36" s="664"/>
      <c r="AI36" s="664"/>
      <c r="AJ36" s="664"/>
      <c r="AK36" s="746"/>
      <c r="AL36" s="747"/>
      <c r="AM36" s="614"/>
      <c r="AN36" s="755"/>
      <c r="AO36" s="755">
        <v>104.62854472087723</v>
      </c>
      <c r="AP36" s="615"/>
      <c r="AQ36" s="618">
        <f t="shared" si="13"/>
        <v>253.12164802466731</v>
      </c>
    </row>
    <row r="37" spans="1:45" ht="12.75" customHeight="1">
      <c r="A37" s="750" t="s">
        <v>158</v>
      </c>
      <c r="B37" s="754" t="s">
        <v>159</v>
      </c>
      <c r="C37" s="608">
        <f t="shared" si="18"/>
        <v>0</v>
      </c>
      <c r="D37" s="616">
        <v>0</v>
      </c>
      <c r="E37" s="752"/>
      <c r="F37" s="752"/>
      <c r="G37" s="753"/>
      <c r="H37" s="612">
        <f t="shared" si="19"/>
        <v>0</v>
      </c>
      <c r="I37" s="613"/>
      <c r="J37" s="614"/>
      <c r="K37" s="614"/>
      <c r="L37" s="612">
        <f t="shared" si="20"/>
        <v>4.5221622064203446</v>
      </c>
      <c r="M37" s="614"/>
      <c r="N37" s="614"/>
      <c r="O37" s="614"/>
      <c r="P37" s="747"/>
      <c r="Q37" s="752">
        <v>1.8396430598593692</v>
      </c>
      <c r="R37" s="752"/>
      <c r="S37" s="752">
        <v>0</v>
      </c>
      <c r="T37" s="752">
        <v>1.2363876654789667</v>
      </c>
      <c r="U37" s="752">
        <v>1.446131481082009</v>
      </c>
      <c r="V37" s="752">
        <v>0</v>
      </c>
      <c r="W37" s="752"/>
      <c r="X37" s="613"/>
      <c r="Y37" s="611"/>
      <c r="Z37" s="614"/>
      <c r="AA37" s="617">
        <v>2.284026640331299</v>
      </c>
      <c r="AB37" s="615">
        <f t="shared" si="21"/>
        <v>0</v>
      </c>
      <c r="AC37" s="616"/>
      <c r="AD37" s="614"/>
      <c r="AE37" s="614"/>
      <c r="AF37" s="614"/>
      <c r="AG37" s="664"/>
      <c r="AH37" s="664"/>
      <c r="AI37" s="664"/>
      <c r="AJ37" s="664"/>
      <c r="AK37" s="613"/>
      <c r="AL37" s="611"/>
      <c r="AM37" s="614"/>
      <c r="AN37" s="617"/>
      <c r="AO37" s="617">
        <v>20.435816256672165</v>
      </c>
      <c r="AP37" s="615"/>
      <c r="AQ37" s="618">
        <f t="shared" si="13"/>
        <v>27.242005103423807</v>
      </c>
    </row>
    <row r="38" spans="1:45" ht="12.75" customHeight="1">
      <c r="A38" s="750" t="s">
        <v>160</v>
      </c>
      <c r="B38" s="754" t="s">
        <v>161</v>
      </c>
      <c r="C38" s="608">
        <f t="shared" si="18"/>
        <v>86.919212076000022</v>
      </c>
      <c r="D38" s="616">
        <v>86.919212076000022</v>
      </c>
      <c r="E38" s="752"/>
      <c r="F38" s="752"/>
      <c r="G38" s="753"/>
      <c r="H38" s="612">
        <f t="shared" si="19"/>
        <v>0</v>
      </c>
      <c r="I38" s="613"/>
      <c r="J38" s="614"/>
      <c r="K38" s="614"/>
      <c r="L38" s="612">
        <f t="shared" si="20"/>
        <v>165.25524621751634</v>
      </c>
      <c r="M38" s="614"/>
      <c r="N38" s="614"/>
      <c r="O38" s="614"/>
      <c r="P38" s="747"/>
      <c r="Q38" s="752">
        <v>1.7086143518921777</v>
      </c>
      <c r="R38" s="752"/>
      <c r="S38" s="752">
        <v>0</v>
      </c>
      <c r="T38" s="752">
        <v>2.4472828017727997</v>
      </c>
      <c r="U38" s="752">
        <v>29.80873959779337</v>
      </c>
      <c r="V38" s="752">
        <v>131.29060946605799</v>
      </c>
      <c r="W38" s="752"/>
      <c r="X38" s="613"/>
      <c r="Y38" s="611"/>
      <c r="Z38" s="614"/>
      <c r="AA38" s="617">
        <v>20.60514689627021</v>
      </c>
      <c r="AB38" s="615">
        <f t="shared" si="21"/>
        <v>42.918678312955997</v>
      </c>
      <c r="AC38" s="616"/>
      <c r="AD38" s="614"/>
      <c r="AE38" s="614">
        <v>2.2257740888237998</v>
      </c>
      <c r="AF38" s="614">
        <v>40.692904224132199</v>
      </c>
      <c r="AG38" s="664"/>
      <c r="AH38" s="664"/>
      <c r="AI38" s="664"/>
      <c r="AJ38" s="664"/>
      <c r="AK38" s="613"/>
      <c r="AL38" s="611"/>
      <c r="AM38" s="614"/>
      <c r="AN38" s="617">
        <v>54.722939604974094</v>
      </c>
      <c r="AO38" s="617">
        <v>54.010284601158837</v>
      </c>
      <c r="AP38" s="615"/>
      <c r="AQ38" s="618">
        <f t="shared" si="13"/>
        <v>424.43150770887547</v>
      </c>
    </row>
    <row r="39" spans="1:45" ht="12.75" customHeight="1">
      <c r="A39" s="750" t="s">
        <v>162</v>
      </c>
      <c r="B39" s="754" t="s">
        <v>163</v>
      </c>
      <c r="C39" s="608">
        <f t="shared" si="18"/>
        <v>0.14506788200000253</v>
      </c>
      <c r="D39" s="616">
        <v>0.14506788200000253</v>
      </c>
      <c r="E39" s="752"/>
      <c r="F39" s="752"/>
      <c r="G39" s="753"/>
      <c r="H39" s="612">
        <f t="shared" si="19"/>
        <v>0</v>
      </c>
      <c r="I39" s="613"/>
      <c r="J39" s="614"/>
      <c r="K39" s="614"/>
      <c r="L39" s="612">
        <f t="shared" si="20"/>
        <v>8.534515108025424</v>
      </c>
      <c r="M39" s="614"/>
      <c r="N39" s="614"/>
      <c r="O39" s="614"/>
      <c r="P39" s="747"/>
      <c r="Q39" s="752">
        <v>0.75262889856354831</v>
      </c>
      <c r="R39" s="752"/>
      <c r="S39" s="752">
        <v>1.0397614907400001</v>
      </c>
      <c r="T39" s="752">
        <v>3.4113639055014784</v>
      </c>
      <c r="U39" s="752">
        <v>3.3307608132203974</v>
      </c>
      <c r="V39" s="752">
        <v>0</v>
      </c>
      <c r="W39" s="752"/>
      <c r="X39" s="613"/>
      <c r="Y39" s="611"/>
      <c r="Z39" s="614"/>
      <c r="AA39" s="617">
        <v>408.68833080126041</v>
      </c>
      <c r="AB39" s="615">
        <f t="shared" si="21"/>
        <v>0</v>
      </c>
      <c r="AC39" s="616"/>
      <c r="AD39" s="614"/>
      <c r="AE39" s="614"/>
      <c r="AF39" s="614"/>
      <c r="AG39" s="664"/>
      <c r="AH39" s="664"/>
      <c r="AI39" s="664"/>
      <c r="AJ39" s="664"/>
      <c r="AK39" s="613"/>
      <c r="AL39" s="611"/>
      <c r="AM39" s="614"/>
      <c r="AN39" s="617"/>
      <c r="AO39" s="617">
        <v>49.329922605876547</v>
      </c>
      <c r="AP39" s="615"/>
      <c r="AQ39" s="618">
        <f t="shared" si="13"/>
        <v>466.6978363971624</v>
      </c>
    </row>
    <row r="40" spans="1:45" ht="12.75" customHeight="1">
      <c r="A40" s="750" t="s">
        <v>164</v>
      </c>
      <c r="B40" s="754" t="s">
        <v>165</v>
      </c>
      <c r="C40" s="608">
        <f t="shared" si="18"/>
        <v>0</v>
      </c>
      <c r="D40" s="616">
        <v>0</v>
      </c>
      <c r="E40" s="752"/>
      <c r="F40" s="752"/>
      <c r="G40" s="753"/>
      <c r="H40" s="612">
        <f t="shared" si="19"/>
        <v>0</v>
      </c>
      <c r="I40" s="613"/>
      <c r="J40" s="614"/>
      <c r="K40" s="614"/>
      <c r="L40" s="612">
        <f t="shared" si="20"/>
        <v>4.4175991624811015</v>
      </c>
      <c r="M40" s="614"/>
      <c r="N40" s="614"/>
      <c r="O40" s="614"/>
      <c r="P40" s="747"/>
      <c r="Q40" s="752">
        <v>0.21069416241124406</v>
      </c>
      <c r="R40" s="752"/>
      <c r="S40" s="752">
        <v>0</v>
      </c>
      <c r="T40" s="752">
        <v>2.0741648746085759</v>
      </c>
      <c r="U40" s="752">
        <v>2.1327401254612819</v>
      </c>
      <c r="V40" s="752">
        <v>0</v>
      </c>
      <c r="W40" s="752"/>
      <c r="X40" s="613"/>
      <c r="Y40" s="611"/>
      <c r="Z40" s="614"/>
      <c r="AA40" s="617">
        <v>7.9737681987539286</v>
      </c>
      <c r="AB40" s="615">
        <f t="shared" si="21"/>
        <v>0</v>
      </c>
      <c r="AC40" s="616"/>
      <c r="AD40" s="614"/>
      <c r="AE40" s="614"/>
      <c r="AF40" s="614"/>
      <c r="AG40" s="664"/>
      <c r="AH40" s="664"/>
      <c r="AI40" s="664"/>
      <c r="AJ40" s="664"/>
      <c r="AK40" s="613"/>
      <c r="AL40" s="611"/>
      <c r="AM40" s="614"/>
      <c r="AN40" s="617"/>
      <c r="AO40" s="617">
        <v>18.411529811795422</v>
      </c>
      <c r="AP40" s="615"/>
      <c r="AQ40" s="618">
        <f t="shared" si="13"/>
        <v>30.802897173030452</v>
      </c>
    </row>
    <row r="41" spans="1:45" ht="12.75" customHeight="1">
      <c r="A41" s="750" t="s">
        <v>166</v>
      </c>
      <c r="B41" s="754" t="s">
        <v>167</v>
      </c>
      <c r="C41" s="608">
        <f t="shared" si="18"/>
        <v>0</v>
      </c>
      <c r="D41" s="749">
        <v>0</v>
      </c>
      <c r="E41" s="752"/>
      <c r="F41" s="752"/>
      <c r="G41" s="753"/>
      <c r="H41" s="612">
        <f t="shared" si="19"/>
        <v>0</v>
      </c>
      <c r="I41" s="613"/>
      <c r="J41" s="614"/>
      <c r="K41" s="614"/>
      <c r="L41" s="612">
        <f t="shared" si="20"/>
        <v>3.5291908924471116</v>
      </c>
      <c r="M41" s="614"/>
      <c r="N41" s="614"/>
      <c r="O41" s="614"/>
      <c r="P41" s="747"/>
      <c r="Q41" s="743">
        <v>0.4496905257434014</v>
      </c>
      <c r="R41" s="752"/>
      <c r="S41" s="743">
        <v>0</v>
      </c>
      <c r="T41" s="743">
        <v>2.0880698905277391</v>
      </c>
      <c r="U41" s="743">
        <v>0.99143047617597102</v>
      </c>
      <c r="V41" s="743">
        <v>0</v>
      </c>
      <c r="W41" s="752"/>
      <c r="X41" s="613"/>
      <c r="Y41" s="611"/>
      <c r="Z41" s="614"/>
      <c r="AA41" s="755">
        <v>18.389717274057872</v>
      </c>
      <c r="AB41" s="615">
        <f t="shared" si="21"/>
        <v>0</v>
      </c>
      <c r="AC41" s="616"/>
      <c r="AD41" s="614"/>
      <c r="AE41" s="614"/>
      <c r="AF41" s="614"/>
      <c r="AG41" s="664"/>
      <c r="AH41" s="664"/>
      <c r="AI41" s="664"/>
      <c r="AJ41" s="664"/>
      <c r="AK41" s="746"/>
      <c r="AL41" s="747"/>
      <c r="AM41" s="614"/>
      <c r="AN41" s="755"/>
      <c r="AO41" s="755">
        <v>80.043410825191572</v>
      </c>
      <c r="AP41" s="615"/>
      <c r="AQ41" s="618">
        <f t="shared" si="13"/>
        <v>101.96231899169655</v>
      </c>
    </row>
    <row r="42" spans="1:45" ht="12.75" customHeight="1">
      <c r="A42" s="750" t="s">
        <v>168</v>
      </c>
      <c r="B42" s="754" t="s">
        <v>169</v>
      </c>
      <c r="C42" s="608">
        <f t="shared" si="18"/>
        <v>0</v>
      </c>
      <c r="D42" s="616">
        <v>0</v>
      </c>
      <c r="E42" s="752"/>
      <c r="F42" s="752"/>
      <c r="G42" s="753"/>
      <c r="H42" s="612">
        <f t="shared" si="19"/>
        <v>0</v>
      </c>
      <c r="I42" s="613"/>
      <c r="J42" s="614"/>
      <c r="K42" s="614"/>
      <c r="L42" s="612">
        <f t="shared" si="20"/>
        <v>1.41139605019423</v>
      </c>
      <c r="M42" s="614"/>
      <c r="N42" s="614"/>
      <c r="O42" s="614"/>
      <c r="P42" s="747"/>
      <c r="Q42" s="752">
        <v>5.2411483186876627E-2</v>
      </c>
      <c r="R42" s="752"/>
      <c r="S42" s="752">
        <v>0</v>
      </c>
      <c r="T42" s="752">
        <v>0.92352480729778486</v>
      </c>
      <c r="U42" s="752">
        <v>0.43545975970956852</v>
      </c>
      <c r="V42" s="752">
        <v>0</v>
      </c>
      <c r="W42" s="752"/>
      <c r="X42" s="613"/>
      <c r="Y42" s="611"/>
      <c r="Z42" s="614"/>
      <c r="AA42" s="617">
        <v>0.27057712702478681</v>
      </c>
      <c r="AB42" s="615">
        <f t="shared" si="21"/>
        <v>0</v>
      </c>
      <c r="AC42" s="616"/>
      <c r="AD42" s="614"/>
      <c r="AE42" s="614"/>
      <c r="AF42" s="614"/>
      <c r="AG42" s="664"/>
      <c r="AH42" s="664"/>
      <c r="AI42" s="664"/>
      <c r="AJ42" s="664"/>
      <c r="AK42" s="712"/>
      <c r="AL42" s="708"/>
      <c r="AM42" s="614"/>
      <c r="AN42" s="713"/>
      <c r="AO42" s="617">
        <v>2.2633417821038564</v>
      </c>
      <c r="AP42" s="615"/>
      <c r="AQ42" s="618">
        <f t="shared" si="13"/>
        <v>3.9453149593228733</v>
      </c>
    </row>
    <row r="43" spans="1:45" ht="12.75" customHeight="1">
      <c r="A43" s="750" t="s">
        <v>170</v>
      </c>
      <c r="B43" s="754" t="s">
        <v>171</v>
      </c>
      <c r="C43" s="608">
        <f t="shared" si="18"/>
        <v>0</v>
      </c>
      <c r="D43" s="616">
        <v>0</v>
      </c>
      <c r="E43" s="752"/>
      <c r="F43" s="752"/>
      <c r="G43" s="753"/>
      <c r="H43" s="612">
        <f t="shared" si="19"/>
        <v>0</v>
      </c>
      <c r="I43" s="613"/>
      <c r="J43" s="614"/>
      <c r="K43" s="614">
        <v>0</v>
      </c>
      <c r="L43" s="612">
        <f t="shared" si="20"/>
        <v>12.511675497016565</v>
      </c>
      <c r="M43" s="614"/>
      <c r="N43" s="614"/>
      <c r="O43" s="614"/>
      <c r="P43" s="611"/>
      <c r="Q43" s="752">
        <v>0.76415942486466115</v>
      </c>
      <c r="R43" s="752"/>
      <c r="S43" s="752">
        <v>3.6425061461249997</v>
      </c>
      <c r="T43" s="752">
        <v>4.9362806513030915</v>
      </c>
      <c r="U43" s="752">
        <v>3.1687292747238134</v>
      </c>
      <c r="V43" s="752">
        <v>0</v>
      </c>
      <c r="W43" s="752"/>
      <c r="X43" s="613"/>
      <c r="Y43" s="611"/>
      <c r="Z43" s="614"/>
      <c r="AA43" s="617">
        <v>30.013736057345717</v>
      </c>
      <c r="AB43" s="615">
        <f t="shared" si="21"/>
        <v>0</v>
      </c>
      <c r="AC43" s="616"/>
      <c r="AD43" s="614"/>
      <c r="AE43" s="614"/>
      <c r="AF43" s="614"/>
      <c r="AG43" s="614"/>
      <c r="AH43" s="614"/>
      <c r="AI43" s="614"/>
      <c r="AJ43" s="614"/>
      <c r="AK43" s="613"/>
      <c r="AL43" s="611"/>
      <c r="AM43" s="614"/>
      <c r="AN43" s="617"/>
      <c r="AO43" s="617">
        <v>59.095333131604164</v>
      </c>
      <c r="AP43" s="615"/>
      <c r="AQ43" s="618">
        <f t="shared" si="13"/>
        <v>101.62074468596644</v>
      </c>
    </row>
    <row r="44" spans="1:45" s="84" customFormat="1" ht="12.75" customHeight="1">
      <c r="A44" s="756" t="s">
        <v>798</v>
      </c>
      <c r="B44" s="757" t="s">
        <v>799</v>
      </c>
      <c r="C44" s="667">
        <f>SUM(D44:G44)</f>
        <v>0</v>
      </c>
      <c r="D44" s="673">
        <v>0</v>
      </c>
      <c r="E44" s="758"/>
      <c r="F44" s="758"/>
      <c r="G44" s="759"/>
      <c r="H44" s="671">
        <f>SUM(I44:K44)</f>
        <v>0</v>
      </c>
      <c r="I44" s="668"/>
      <c r="J44" s="669"/>
      <c r="K44" s="669"/>
      <c r="L44" s="671">
        <f>SUM(M44:Z44)</f>
        <v>52.05676786532063</v>
      </c>
      <c r="M44" s="669"/>
      <c r="N44" s="669"/>
      <c r="O44" s="669"/>
      <c r="P44" s="670"/>
      <c r="Q44" s="758">
        <v>0.72259481077897947</v>
      </c>
      <c r="R44" s="758"/>
      <c r="S44" s="758">
        <v>0</v>
      </c>
      <c r="T44" s="758">
        <v>0.47348950843364052</v>
      </c>
      <c r="U44" s="758">
        <v>50.860683546108007</v>
      </c>
      <c r="V44" s="758">
        <v>0</v>
      </c>
      <c r="W44" s="758"/>
      <c r="X44" s="668"/>
      <c r="Y44" s="670"/>
      <c r="Z44" s="669"/>
      <c r="AA44" s="674">
        <v>19.436660210904712</v>
      </c>
      <c r="AB44" s="672">
        <f>SUM(AC44:AM44)</f>
        <v>0</v>
      </c>
      <c r="AC44" s="673"/>
      <c r="AD44" s="669"/>
      <c r="AE44" s="669"/>
      <c r="AF44" s="669"/>
      <c r="AG44" s="669"/>
      <c r="AH44" s="669"/>
      <c r="AI44" s="669"/>
      <c r="AJ44" s="669"/>
      <c r="AK44" s="668"/>
      <c r="AL44" s="670"/>
      <c r="AM44" s="669"/>
      <c r="AN44" s="674"/>
      <c r="AO44" s="674">
        <v>24.617403741576357</v>
      </c>
      <c r="AP44" s="672"/>
      <c r="AQ44" s="675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77"/>
      <c r="C45" s="760">
        <f t="shared" ref="C45:AP45" si="22">SUM(C46:C55)</f>
        <v>0</v>
      </c>
      <c r="D45" s="761">
        <f t="shared" si="22"/>
        <v>0</v>
      </c>
      <c r="E45" s="761">
        <f t="shared" si="22"/>
        <v>0</v>
      </c>
      <c r="F45" s="762">
        <f t="shared" si="22"/>
        <v>0</v>
      </c>
      <c r="G45" s="762">
        <f t="shared" si="22"/>
        <v>0</v>
      </c>
      <c r="H45" s="763">
        <f t="shared" si="22"/>
        <v>0</v>
      </c>
      <c r="I45" s="764">
        <f t="shared" si="22"/>
        <v>0</v>
      </c>
      <c r="J45" s="761">
        <f t="shared" si="22"/>
        <v>0</v>
      </c>
      <c r="K45" s="761">
        <f t="shared" si="22"/>
        <v>0</v>
      </c>
      <c r="L45" s="763">
        <f t="shared" si="22"/>
        <v>5019.9247759387081</v>
      </c>
      <c r="M45" s="761">
        <f t="shared" si="22"/>
        <v>0</v>
      </c>
      <c r="N45" s="761">
        <f t="shared" ref="N45" si="23">SUM(N46:N55)</f>
        <v>0</v>
      </c>
      <c r="O45" s="761">
        <f t="shared" si="22"/>
        <v>0</v>
      </c>
      <c r="P45" s="761">
        <f t="shared" si="22"/>
        <v>821.48002832197096</v>
      </c>
      <c r="Q45" s="761">
        <f t="shared" si="22"/>
        <v>0</v>
      </c>
      <c r="R45" s="761">
        <f t="shared" si="22"/>
        <v>1102.0673096951998</v>
      </c>
      <c r="S45" s="761">
        <f t="shared" si="22"/>
        <v>0</v>
      </c>
      <c r="T45" s="761">
        <f t="shared" si="22"/>
        <v>1.8520724281984335</v>
      </c>
      <c r="U45" s="761">
        <f>SUM(U46:U55)</f>
        <v>3094.5253654933395</v>
      </c>
      <c r="V45" s="761">
        <f t="shared" si="22"/>
        <v>0</v>
      </c>
      <c r="W45" s="762">
        <f t="shared" si="22"/>
        <v>0</v>
      </c>
      <c r="X45" s="762">
        <f t="shared" si="22"/>
        <v>0</v>
      </c>
      <c r="Y45" s="762">
        <f t="shared" si="22"/>
        <v>0</v>
      </c>
      <c r="Z45" s="761">
        <f t="shared" si="22"/>
        <v>0</v>
      </c>
      <c r="AA45" s="763">
        <f t="shared" si="22"/>
        <v>22.560835415583806</v>
      </c>
      <c r="AB45" s="765">
        <f t="shared" si="22"/>
        <v>154.23960204369601</v>
      </c>
      <c r="AC45" s="766">
        <f t="shared" si="22"/>
        <v>0</v>
      </c>
      <c r="AD45" s="761">
        <f t="shared" si="22"/>
        <v>0</v>
      </c>
      <c r="AE45" s="761">
        <f t="shared" si="22"/>
        <v>0</v>
      </c>
      <c r="AF45" s="761">
        <f t="shared" ref="AF45" si="24">SUM(AF46:AF55)</f>
        <v>0</v>
      </c>
      <c r="AG45" s="761">
        <f t="shared" si="22"/>
        <v>0</v>
      </c>
      <c r="AH45" s="761">
        <f t="shared" si="22"/>
        <v>0</v>
      </c>
      <c r="AI45" s="761">
        <f t="shared" si="22"/>
        <v>126.968349188928</v>
      </c>
      <c r="AJ45" s="761">
        <f t="shared" ref="AJ45" si="25">SUM(AJ46:AJ55)</f>
        <v>27.271252854767997</v>
      </c>
      <c r="AK45" s="764">
        <f t="shared" si="22"/>
        <v>0</v>
      </c>
      <c r="AL45" s="762">
        <f t="shared" ref="AL45" si="26">SUM(AL46:AL55)</f>
        <v>0</v>
      </c>
      <c r="AM45" s="761">
        <f t="shared" si="22"/>
        <v>0</v>
      </c>
      <c r="AN45" s="763">
        <f t="shared" si="22"/>
        <v>0</v>
      </c>
      <c r="AO45" s="763">
        <f t="shared" si="22"/>
        <v>5.3733816232262495</v>
      </c>
      <c r="AP45" s="765">
        <f t="shared" si="22"/>
        <v>0</v>
      </c>
      <c r="AQ45" s="767">
        <f t="shared" si="13"/>
        <v>5202.0985950212144</v>
      </c>
      <c r="AR45" s="3"/>
      <c r="AS45" s="5"/>
    </row>
    <row r="46" spans="1:45" s="3" customFormat="1" ht="12.75" customHeight="1">
      <c r="A46" s="768" t="s">
        <v>173</v>
      </c>
      <c r="B46" s="654"/>
      <c r="C46" s="655">
        <f t="shared" ref="C46:C64" si="27">SUM(D46:G46)</f>
        <v>0</v>
      </c>
      <c r="D46" s="769"/>
      <c r="E46" s="703"/>
      <c r="F46" s="658"/>
      <c r="G46" s="658"/>
      <c r="H46" s="659">
        <f t="shared" ref="H46:H64" si="28">SUM(I46:K46)</f>
        <v>0</v>
      </c>
      <c r="I46" s="656"/>
      <c r="J46" s="657"/>
      <c r="K46" s="657"/>
      <c r="L46" s="659">
        <f t="shared" ref="L46:L64" si="29">SUM(M46:Z46)</f>
        <v>702.41214426261672</v>
      </c>
      <c r="M46" s="657"/>
      <c r="N46" s="657"/>
      <c r="O46" s="657"/>
      <c r="P46" s="657"/>
      <c r="Q46" s="657"/>
      <c r="R46" s="657"/>
      <c r="S46" s="657"/>
      <c r="T46" s="657"/>
      <c r="U46" s="657">
        <v>702.41214426261672</v>
      </c>
      <c r="V46" s="657"/>
      <c r="W46" s="658"/>
      <c r="X46" s="658"/>
      <c r="Y46" s="658"/>
      <c r="Z46" s="657"/>
      <c r="AA46" s="662">
        <v>2.9723185667999998E-2</v>
      </c>
      <c r="AB46" s="660">
        <f t="shared" ref="AB46:AB64" si="30">SUM(AC46:AM46)</f>
        <v>30.002374318707627</v>
      </c>
      <c r="AC46" s="661"/>
      <c r="AD46" s="657"/>
      <c r="AE46" s="657"/>
      <c r="AF46" s="657"/>
      <c r="AG46" s="657"/>
      <c r="AH46" s="657"/>
      <c r="AI46" s="657">
        <v>30.002374318707627</v>
      </c>
      <c r="AJ46" s="657">
        <v>0</v>
      </c>
      <c r="AK46" s="656"/>
      <c r="AL46" s="658"/>
      <c r="AM46" s="657"/>
      <c r="AN46" s="659"/>
      <c r="AO46" s="662"/>
      <c r="AP46" s="660"/>
      <c r="AQ46" s="687">
        <f t="shared" si="13"/>
        <v>732.44424176699238</v>
      </c>
      <c r="AS46" s="4"/>
    </row>
    <row r="47" spans="1:45" s="3" customFormat="1" ht="12.75" customHeight="1">
      <c r="A47" s="740" t="s">
        <v>174</v>
      </c>
      <c r="B47" s="770"/>
      <c r="C47" s="608">
        <f t="shared" si="27"/>
        <v>0</v>
      </c>
      <c r="D47" s="771"/>
      <c r="E47" s="772"/>
      <c r="F47" s="747"/>
      <c r="G47" s="747"/>
      <c r="H47" s="612">
        <f t="shared" si="28"/>
        <v>0</v>
      </c>
      <c r="I47" s="746"/>
      <c r="J47" s="664"/>
      <c r="K47" s="664"/>
      <c r="L47" s="745">
        <f t="shared" si="29"/>
        <v>319.57486919365164</v>
      </c>
      <c r="M47" s="664"/>
      <c r="N47" s="664"/>
      <c r="O47" s="664"/>
      <c r="P47" s="664"/>
      <c r="Q47" s="664"/>
      <c r="R47" s="664"/>
      <c r="S47" s="664"/>
      <c r="T47" s="664"/>
      <c r="U47" s="664">
        <v>319.57486919365164</v>
      </c>
      <c r="V47" s="664"/>
      <c r="W47" s="747"/>
      <c r="X47" s="747"/>
      <c r="Y47" s="747"/>
      <c r="Z47" s="664"/>
      <c r="AA47" s="755"/>
      <c r="AB47" s="748">
        <f t="shared" si="30"/>
        <v>13.65011258235765</v>
      </c>
      <c r="AC47" s="749"/>
      <c r="AD47" s="664"/>
      <c r="AE47" s="664"/>
      <c r="AF47" s="664"/>
      <c r="AG47" s="664"/>
      <c r="AH47" s="664"/>
      <c r="AI47" s="664">
        <v>13.65011258235765</v>
      </c>
      <c r="AJ47" s="664">
        <v>0</v>
      </c>
      <c r="AK47" s="746"/>
      <c r="AL47" s="747"/>
      <c r="AM47" s="664"/>
      <c r="AN47" s="745"/>
      <c r="AO47" s="755"/>
      <c r="AP47" s="748"/>
      <c r="AQ47" s="663">
        <f t="shared" si="13"/>
        <v>333.22498177600926</v>
      </c>
      <c r="AS47" s="4"/>
    </row>
    <row r="48" spans="1:45" s="3" customFormat="1" ht="12.75" customHeight="1">
      <c r="A48" s="750" t="s">
        <v>175</v>
      </c>
      <c r="B48" s="607"/>
      <c r="C48" s="608">
        <f t="shared" si="27"/>
        <v>0</v>
      </c>
      <c r="D48" s="609"/>
      <c r="E48" s="619"/>
      <c r="F48" s="611"/>
      <c r="G48" s="611"/>
      <c r="H48" s="612">
        <f t="shared" si="28"/>
        <v>0</v>
      </c>
      <c r="I48" s="613"/>
      <c r="J48" s="614"/>
      <c r="K48" s="614"/>
      <c r="L48" s="612">
        <f t="shared" si="29"/>
        <v>1985.7767970742025</v>
      </c>
      <c r="M48" s="614"/>
      <c r="N48" s="614"/>
      <c r="O48" s="614"/>
      <c r="P48" s="614">
        <v>673.74419325959013</v>
      </c>
      <c r="Q48" s="614"/>
      <c r="R48" s="614"/>
      <c r="S48" s="614"/>
      <c r="T48" s="614">
        <v>1.8520724281984335</v>
      </c>
      <c r="U48" s="614">
        <v>1310.180531386414</v>
      </c>
      <c r="V48" s="614"/>
      <c r="W48" s="611"/>
      <c r="X48" s="611"/>
      <c r="Y48" s="611"/>
      <c r="Z48" s="614"/>
      <c r="AA48" s="617"/>
      <c r="AB48" s="615">
        <f t="shared" si="30"/>
        <v>78.347166728170066</v>
      </c>
      <c r="AC48" s="616"/>
      <c r="AD48" s="614"/>
      <c r="AE48" s="614"/>
      <c r="AF48" s="614"/>
      <c r="AG48" s="614"/>
      <c r="AH48" s="614"/>
      <c r="AI48" s="614">
        <v>55.96219690791942</v>
      </c>
      <c r="AJ48" s="614">
        <v>22.384969820250642</v>
      </c>
      <c r="AK48" s="613"/>
      <c r="AL48" s="611"/>
      <c r="AM48" s="614"/>
      <c r="AN48" s="612"/>
      <c r="AO48" s="617">
        <v>1.0652907432262495</v>
      </c>
      <c r="AP48" s="615"/>
      <c r="AQ48" s="618">
        <f t="shared" si="13"/>
        <v>2065.1892545455989</v>
      </c>
      <c r="AS48" s="4"/>
    </row>
    <row r="49" spans="1:45" s="3" customFormat="1" ht="12.75" customHeight="1">
      <c r="A49" s="750" t="s">
        <v>176</v>
      </c>
      <c r="B49" s="607"/>
      <c r="C49" s="608">
        <f t="shared" si="27"/>
        <v>0</v>
      </c>
      <c r="D49" s="609"/>
      <c r="E49" s="619"/>
      <c r="F49" s="611"/>
      <c r="G49" s="611"/>
      <c r="H49" s="612">
        <f t="shared" si="28"/>
        <v>0</v>
      </c>
      <c r="I49" s="613"/>
      <c r="J49" s="614"/>
      <c r="K49" s="614"/>
      <c r="L49" s="612">
        <f t="shared" si="29"/>
        <v>131.85233821544426</v>
      </c>
      <c r="M49" s="614"/>
      <c r="N49" s="614"/>
      <c r="O49" s="614"/>
      <c r="P49" s="614">
        <v>6.3769522656162847</v>
      </c>
      <c r="Q49" s="614"/>
      <c r="R49" s="614"/>
      <c r="S49" s="614"/>
      <c r="T49" s="614"/>
      <c r="U49" s="614">
        <v>125.47538594982798</v>
      </c>
      <c r="V49" s="614"/>
      <c r="W49" s="611"/>
      <c r="X49" s="611"/>
      <c r="Y49" s="611"/>
      <c r="Z49" s="614"/>
      <c r="AA49" s="617"/>
      <c r="AB49" s="615">
        <f t="shared" si="30"/>
        <v>5.5713463444749705</v>
      </c>
      <c r="AC49" s="616"/>
      <c r="AD49" s="614"/>
      <c r="AE49" s="614"/>
      <c r="AF49" s="614"/>
      <c r="AG49" s="614"/>
      <c r="AH49" s="614"/>
      <c r="AI49" s="614">
        <v>5.3594738186126225</v>
      </c>
      <c r="AJ49" s="614">
        <v>0.21187252586234828</v>
      </c>
      <c r="AK49" s="613"/>
      <c r="AL49" s="611"/>
      <c r="AM49" s="614"/>
      <c r="AN49" s="612"/>
      <c r="AO49" s="617"/>
      <c r="AP49" s="615"/>
      <c r="AQ49" s="618">
        <f t="shared" si="13"/>
        <v>137.42368455991922</v>
      </c>
      <c r="AS49" s="4"/>
    </row>
    <row r="50" spans="1:45" s="3" customFormat="1" ht="12.75" customHeight="1">
      <c r="A50" s="750" t="s">
        <v>177</v>
      </c>
      <c r="B50" s="607"/>
      <c r="C50" s="608">
        <f t="shared" si="27"/>
        <v>0</v>
      </c>
      <c r="D50" s="609"/>
      <c r="E50" s="619"/>
      <c r="F50" s="611"/>
      <c r="G50" s="611"/>
      <c r="H50" s="612">
        <f t="shared" si="28"/>
        <v>0</v>
      </c>
      <c r="I50" s="613"/>
      <c r="J50" s="614"/>
      <c r="K50" s="614"/>
      <c r="L50" s="612">
        <f t="shared" si="29"/>
        <v>38.043221783939138</v>
      </c>
      <c r="M50" s="614"/>
      <c r="N50" s="614"/>
      <c r="O50" s="614"/>
      <c r="P50" s="614"/>
      <c r="Q50" s="614"/>
      <c r="R50" s="773"/>
      <c r="S50" s="614"/>
      <c r="T50" s="614"/>
      <c r="U50" s="614">
        <v>38.043221783939138</v>
      </c>
      <c r="V50" s="614"/>
      <c r="W50" s="611"/>
      <c r="X50" s="611"/>
      <c r="Y50" s="611"/>
      <c r="Z50" s="614"/>
      <c r="AA50" s="617"/>
      <c r="AB50" s="615">
        <f t="shared" si="30"/>
        <v>0</v>
      </c>
      <c r="AC50" s="616"/>
      <c r="AD50" s="614"/>
      <c r="AE50" s="614"/>
      <c r="AF50" s="614"/>
      <c r="AG50" s="614"/>
      <c r="AH50" s="614"/>
      <c r="AI50" s="614">
        <v>0</v>
      </c>
      <c r="AJ50" s="614"/>
      <c r="AK50" s="613"/>
      <c r="AL50" s="611"/>
      <c r="AM50" s="614"/>
      <c r="AN50" s="612"/>
      <c r="AO50" s="617">
        <v>4.30809088</v>
      </c>
      <c r="AP50" s="615"/>
      <c r="AQ50" s="618">
        <f t="shared" si="13"/>
        <v>42.35131266393914</v>
      </c>
      <c r="AS50" s="4"/>
    </row>
    <row r="51" spans="1:45" s="3" customFormat="1" ht="12.75" customHeight="1">
      <c r="A51" s="750" t="s">
        <v>178</v>
      </c>
      <c r="B51" s="607"/>
      <c r="C51" s="608">
        <f t="shared" si="27"/>
        <v>0</v>
      </c>
      <c r="D51" s="609"/>
      <c r="E51" s="619"/>
      <c r="F51" s="611"/>
      <c r="G51" s="611"/>
      <c r="H51" s="612">
        <f t="shared" si="28"/>
        <v>0</v>
      </c>
      <c r="I51" s="613"/>
      <c r="J51" s="614"/>
      <c r="K51" s="614"/>
      <c r="L51" s="612">
        <f t="shared" si="29"/>
        <v>5.5768892778871404</v>
      </c>
      <c r="M51" s="614"/>
      <c r="N51" s="614"/>
      <c r="O51" s="614"/>
      <c r="P51" s="614">
        <v>0.66818888888888883</v>
      </c>
      <c r="Q51" s="614"/>
      <c r="R51" s="614">
        <v>4.9087003889982519</v>
      </c>
      <c r="S51" s="614"/>
      <c r="T51" s="614"/>
      <c r="U51" s="614"/>
      <c r="V51" s="614"/>
      <c r="W51" s="611"/>
      <c r="X51" s="611"/>
      <c r="Y51" s="611"/>
      <c r="Z51" s="614"/>
      <c r="AA51" s="617"/>
      <c r="AB51" s="615">
        <f t="shared" si="30"/>
        <v>0</v>
      </c>
      <c r="AC51" s="616"/>
      <c r="AD51" s="614"/>
      <c r="AE51" s="614"/>
      <c r="AF51" s="614"/>
      <c r="AG51" s="614"/>
      <c r="AH51" s="614"/>
      <c r="AI51" s="614"/>
      <c r="AJ51" s="614"/>
      <c r="AK51" s="613"/>
      <c r="AL51" s="611"/>
      <c r="AM51" s="614"/>
      <c r="AN51" s="612"/>
      <c r="AO51" s="617"/>
      <c r="AP51" s="615"/>
      <c r="AQ51" s="618">
        <f t="shared" si="13"/>
        <v>5.5768892778871404</v>
      </c>
      <c r="AS51" s="4"/>
    </row>
    <row r="52" spans="1:45" s="3" customFormat="1" ht="12.75" customHeight="1">
      <c r="A52" s="750" t="s">
        <v>179</v>
      </c>
      <c r="B52" s="754"/>
      <c r="C52" s="774">
        <f t="shared" si="27"/>
        <v>0</v>
      </c>
      <c r="D52" s="773"/>
      <c r="E52" s="773"/>
      <c r="F52" s="775"/>
      <c r="G52" s="775"/>
      <c r="H52" s="776">
        <f t="shared" si="28"/>
        <v>0</v>
      </c>
      <c r="I52" s="777"/>
      <c r="J52" s="773"/>
      <c r="K52" s="773"/>
      <c r="L52" s="776">
        <f t="shared" si="29"/>
        <v>1097.1586093062015</v>
      </c>
      <c r="M52" s="773"/>
      <c r="N52" s="773"/>
      <c r="O52" s="773"/>
      <c r="P52" s="664"/>
      <c r="Q52" s="773"/>
      <c r="R52" s="773">
        <v>1097.1586093062015</v>
      </c>
      <c r="S52" s="773"/>
      <c r="T52" s="773"/>
      <c r="U52" s="773"/>
      <c r="V52" s="773"/>
      <c r="W52" s="775"/>
      <c r="X52" s="775"/>
      <c r="Y52" s="775"/>
      <c r="Z52" s="773"/>
      <c r="AA52" s="755"/>
      <c r="AB52" s="778">
        <f t="shared" si="30"/>
        <v>0</v>
      </c>
      <c r="AC52" s="779"/>
      <c r="AD52" s="773"/>
      <c r="AE52" s="773"/>
      <c r="AF52" s="773"/>
      <c r="AG52" s="773"/>
      <c r="AH52" s="773"/>
      <c r="AI52" s="773"/>
      <c r="AJ52" s="773"/>
      <c r="AK52" s="746"/>
      <c r="AL52" s="747"/>
      <c r="AM52" s="773"/>
      <c r="AN52" s="755"/>
      <c r="AO52" s="755"/>
      <c r="AP52" s="778"/>
      <c r="AQ52" s="780">
        <f t="shared" si="13"/>
        <v>1097.1586093062015</v>
      </c>
      <c r="AS52" s="4"/>
    </row>
    <row r="53" spans="1:45" s="3" customFormat="1" ht="12.75" customHeight="1">
      <c r="A53" s="750" t="s">
        <v>180</v>
      </c>
      <c r="B53" s="754"/>
      <c r="C53" s="774">
        <f t="shared" si="27"/>
        <v>0</v>
      </c>
      <c r="D53" s="777"/>
      <c r="E53" s="773"/>
      <c r="F53" s="775"/>
      <c r="G53" s="775"/>
      <c r="H53" s="776">
        <f t="shared" si="28"/>
        <v>0</v>
      </c>
      <c r="I53" s="777"/>
      <c r="J53" s="773"/>
      <c r="K53" s="773"/>
      <c r="L53" s="776">
        <f t="shared" si="29"/>
        <v>176.94052908505745</v>
      </c>
      <c r="M53" s="773"/>
      <c r="N53" s="773"/>
      <c r="O53" s="773"/>
      <c r="P53" s="773">
        <v>0</v>
      </c>
      <c r="Q53" s="773"/>
      <c r="R53" s="773"/>
      <c r="S53" s="773"/>
      <c r="T53" s="773"/>
      <c r="U53" s="773">
        <v>176.94052908505745</v>
      </c>
      <c r="V53" s="773"/>
      <c r="W53" s="775"/>
      <c r="X53" s="775"/>
      <c r="Y53" s="775"/>
      <c r="Z53" s="773"/>
      <c r="AA53" s="755"/>
      <c r="AB53" s="778">
        <f t="shared" si="30"/>
        <v>7.5577223843887342</v>
      </c>
      <c r="AC53" s="779"/>
      <c r="AD53" s="773"/>
      <c r="AE53" s="773"/>
      <c r="AF53" s="773"/>
      <c r="AG53" s="773"/>
      <c r="AH53" s="773"/>
      <c r="AI53" s="614">
        <v>7.5577223843887342</v>
      </c>
      <c r="AJ53" s="614">
        <v>0</v>
      </c>
      <c r="AK53" s="773"/>
      <c r="AL53" s="773"/>
      <c r="AM53" s="773"/>
      <c r="AN53" s="755"/>
      <c r="AO53" s="617"/>
      <c r="AP53" s="778"/>
      <c r="AQ53" s="780">
        <f t="shared" si="13"/>
        <v>184.49825146944619</v>
      </c>
      <c r="AS53" s="4"/>
    </row>
    <row r="54" spans="1:45" s="3" customFormat="1" ht="12.75" customHeight="1">
      <c r="A54" s="606" t="s">
        <v>181</v>
      </c>
      <c r="B54" s="607"/>
      <c r="C54" s="774">
        <f t="shared" si="27"/>
        <v>0</v>
      </c>
      <c r="D54" s="777"/>
      <c r="E54" s="773"/>
      <c r="F54" s="775"/>
      <c r="G54" s="775"/>
      <c r="H54" s="776">
        <f t="shared" si="28"/>
        <v>0</v>
      </c>
      <c r="I54" s="777"/>
      <c r="J54" s="773"/>
      <c r="K54" s="773"/>
      <c r="L54" s="776">
        <f t="shared" si="29"/>
        <v>83.913724293678101</v>
      </c>
      <c r="M54" s="773"/>
      <c r="N54" s="773"/>
      <c r="O54" s="773"/>
      <c r="P54" s="773"/>
      <c r="Q54" s="773"/>
      <c r="R54" s="773"/>
      <c r="S54" s="773"/>
      <c r="T54" s="773"/>
      <c r="U54" s="773">
        <v>83.913724293678101</v>
      </c>
      <c r="V54" s="773"/>
      <c r="W54" s="775"/>
      <c r="X54" s="775"/>
      <c r="Y54" s="775"/>
      <c r="Z54" s="773"/>
      <c r="AA54" s="713"/>
      <c r="AB54" s="778">
        <f t="shared" si="30"/>
        <v>0</v>
      </c>
      <c r="AC54" s="779"/>
      <c r="AD54" s="773"/>
      <c r="AE54" s="773"/>
      <c r="AF54" s="773"/>
      <c r="AG54" s="773"/>
      <c r="AH54" s="773"/>
      <c r="AI54" s="773"/>
      <c r="AJ54" s="773"/>
      <c r="AK54" s="773"/>
      <c r="AL54" s="773"/>
      <c r="AM54" s="773"/>
      <c r="AN54" s="713"/>
      <c r="AO54" s="755"/>
      <c r="AP54" s="778"/>
      <c r="AQ54" s="780">
        <f t="shared" si="13"/>
        <v>83.913724293678101</v>
      </c>
      <c r="AS54" s="4"/>
    </row>
    <row r="55" spans="1:45" s="3" customFormat="1" ht="12.75" customHeight="1">
      <c r="A55" s="665" t="s">
        <v>182</v>
      </c>
      <c r="B55" s="666"/>
      <c r="C55" s="667">
        <f t="shared" si="27"/>
        <v>0</v>
      </c>
      <c r="D55" s="781"/>
      <c r="E55" s="782"/>
      <c r="F55" s="670"/>
      <c r="G55" s="670"/>
      <c r="H55" s="671">
        <f t="shared" si="28"/>
        <v>0</v>
      </c>
      <c r="I55" s="668"/>
      <c r="J55" s="669"/>
      <c r="K55" s="669"/>
      <c r="L55" s="671">
        <f t="shared" si="29"/>
        <v>478.67565344603031</v>
      </c>
      <c r="M55" s="669"/>
      <c r="N55" s="669"/>
      <c r="O55" s="669"/>
      <c r="P55" s="669">
        <v>140.69069390787573</v>
      </c>
      <c r="Q55" s="669"/>
      <c r="R55" s="669"/>
      <c r="S55" s="669">
        <v>0</v>
      </c>
      <c r="T55" s="669"/>
      <c r="U55" s="669">
        <v>337.98495953815461</v>
      </c>
      <c r="V55" s="669"/>
      <c r="W55" s="670"/>
      <c r="X55" s="670"/>
      <c r="Y55" s="670"/>
      <c r="Z55" s="669"/>
      <c r="AA55" s="674">
        <v>22.531112229915806</v>
      </c>
      <c r="AB55" s="672">
        <f t="shared" si="30"/>
        <v>19.110879685596952</v>
      </c>
      <c r="AC55" s="673"/>
      <c r="AD55" s="669"/>
      <c r="AE55" s="669"/>
      <c r="AF55" s="669"/>
      <c r="AG55" s="669"/>
      <c r="AH55" s="669"/>
      <c r="AI55" s="669">
        <v>14.436469176941943</v>
      </c>
      <c r="AJ55" s="669">
        <v>4.6744105086550087</v>
      </c>
      <c r="AK55" s="668"/>
      <c r="AL55" s="670"/>
      <c r="AM55" s="669"/>
      <c r="AN55" s="671"/>
      <c r="AO55" s="674"/>
      <c r="AP55" s="672"/>
      <c r="AQ55" s="675">
        <f t="shared" si="13"/>
        <v>520.3176453615431</v>
      </c>
      <c r="AS55" s="4"/>
    </row>
    <row r="56" spans="1:45" s="31" customFormat="1" ht="12.75" customHeight="1">
      <c r="A56" s="86" t="s">
        <v>1</v>
      </c>
      <c r="B56" s="784"/>
      <c r="C56" s="785">
        <f t="shared" si="27"/>
        <v>245.30288163122782</v>
      </c>
      <c r="D56" s="786">
        <v>84.19758326883435</v>
      </c>
      <c r="E56" s="610">
        <v>153.30941368399715</v>
      </c>
      <c r="F56" s="787"/>
      <c r="G56" s="787">
        <v>7.795884678396293</v>
      </c>
      <c r="H56" s="788">
        <f t="shared" si="28"/>
        <v>196.53880633</v>
      </c>
      <c r="I56" s="786"/>
      <c r="J56" s="685">
        <v>127.70399999999999</v>
      </c>
      <c r="K56" s="685">
        <v>68.834806329999992</v>
      </c>
      <c r="L56" s="788">
        <f t="shared" si="29"/>
        <v>1204.833103126648</v>
      </c>
      <c r="M56" s="685"/>
      <c r="N56" s="685"/>
      <c r="O56" s="685"/>
      <c r="P56" s="685">
        <v>0</v>
      </c>
      <c r="Q56" s="685">
        <v>863.40024232349867</v>
      </c>
      <c r="R56" s="685"/>
      <c r="S56" s="685">
        <v>0</v>
      </c>
      <c r="T56" s="685">
        <v>53.841522983216713</v>
      </c>
      <c r="U56" s="685">
        <v>284.08105108362315</v>
      </c>
      <c r="V56" s="685">
        <v>3.5102867363093639</v>
      </c>
      <c r="W56" s="787"/>
      <c r="X56" s="787"/>
      <c r="Y56" s="787"/>
      <c r="Z56" s="685"/>
      <c r="AA56" s="788">
        <v>604.09375845912712</v>
      </c>
      <c r="AB56" s="789">
        <f t="shared" si="30"/>
        <v>72.095627568998594</v>
      </c>
      <c r="AC56" s="790"/>
      <c r="AD56" s="685"/>
      <c r="AE56" s="685">
        <v>30.588864173321877</v>
      </c>
      <c r="AF56" s="685"/>
      <c r="AG56" s="685"/>
      <c r="AH56" s="685"/>
      <c r="AI56" s="685"/>
      <c r="AJ56" s="685"/>
      <c r="AK56" s="786"/>
      <c r="AL56" s="787">
        <v>13.379590942008413</v>
      </c>
      <c r="AM56" s="685">
        <v>28.127172453668308</v>
      </c>
      <c r="AN56" s="788"/>
      <c r="AO56" s="788">
        <v>702.94473599999992</v>
      </c>
      <c r="AP56" s="789"/>
      <c r="AQ56" s="686">
        <f t="shared" si="13"/>
        <v>3025.8089131160013</v>
      </c>
      <c r="AR56" s="29"/>
      <c r="AS56" s="30"/>
    </row>
    <row r="57" spans="1:45" s="6" customFormat="1" ht="12.75" customHeight="1">
      <c r="A57" s="783" t="s">
        <v>800</v>
      </c>
      <c r="B57" s="784"/>
      <c r="C57" s="785">
        <f>C58+C65</f>
        <v>0.53991879699248124</v>
      </c>
      <c r="D57" s="685">
        <f t="shared" ref="D57:AP57" si="31">D58+D65</f>
        <v>0.53991879699248124</v>
      </c>
      <c r="E57" s="685">
        <f t="shared" si="31"/>
        <v>0</v>
      </c>
      <c r="F57" s="787">
        <f t="shared" si="31"/>
        <v>0</v>
      </c>
      <c r="G57" s="787">
        <f t="shared" si="31"/>
        <v>0</v>
      </c>
      <c r="H57" s="788">
        <f t="shared" si="31"/>
        <v>0</v>
      </c>
      <c r="I57" s="786">
        <f t="shared" si="31"/>
        <v>0</v>
      </c>
      <c r="J57" s="786">
        <f t="shared" si="31"/>
        <v>0</v>
      </c>
      <c r="K57" s="786">
        <f t="shared" si="31"/>
        <v>0</v>
      </c>
      <c r="L57" s="788">
        <f t="shared" si="31"/>
        <v>263.55542937744985</v>
      </c>
      <c r="M57" s="685">
        <f t="shared" si="31"/>
        <v>0</v>
      </c>
      <c r="N57" s="685">
        <f t="shared" si="31"/>
        <v>0</v>
      </c>
      <c r="O57" s="685">
        <f t="shared" si="31"/>
        <v>0</v>
      </c>
      <c r="P57" s="685">
        <f t="shared" si="31"/>
        <v>0</v>
      </c>
      <c r="Q57" s="685">
        <f t="shared" si="31"/>
        <v>73.683977149948603</v>
      </c>
      <c r="R57" s="685">
        <f t="shared" si="31"/>
        <v>0</v>
      </c>
      <c r="S57" s="685">
        <f t="shared" si="31"/>
        <v>0.64284746861564912</v>
      </c>
      <c r="T57" s="685">
        <f t="shared" si="31"/>
        <v>69.72090857001308</v>
      </c>
      <c r="U57" s="685">
        <f t="shared" si="31"/>
        <v>119.50730406570531</v>
      </c>
      <c r="V57" s="685">
        <f t="shared" si="31"/>
        <v>3.9212316723240829E-4</v>
      </c>
      <c r="W57" s="787">
        <f t="shared" si="31"/>
        <v>0</v>
      </c>
      <c r="X57" s="787">
        <f t="shared" si="31"/>
        <v>0</v>
      </c>
      <c r="Y57" s="787">
        <f t="shared" si="31"/>
        <v>0</v>
      </c>
      <c r="Z57" s="786">
        <f t="shared" si="31"/>
        <v>0</v>
      </c>
      <c r="AA57" s="788">
        <f t="shared" si="31"/>
        <v>397.69184770224592</v>
      </c>
      <c r="AB57" s="789">
        <f t="shared" si="31"/>
        <v>41.379323582548558</v>
      </c>
      <c r="AC57" s="790">
        <f t="shared" si="31"/>
        <v>0</v>
      </c>
      <c r="AD57" s="685">
        <f t="shared" si="31"/>
        <v>0</v>
      </c>
      <c r="AE57" s="685">
        <f t="shared" si="31"/>
        <v>17.99312324724</v>
      </c>
      <c r="AF57" s="685">
        <f t="shared" si="31"/>
        <v>0</v>
      </c>
      <c r="AG57" s="685">
        <f t="shared" si="31"/>
        <v>0</v>
      </c>
      <c r="AH57" s="685">
        <f t="shared" si="31"/>
        <v>7.541555368675982</v>
      </c>
      <c r="AI57" s="685">
        <f t="shared" si="31"/>
        <v>0</v>
      </c>
      <c r="AJ57" s="685">
        <f t="shared" si="31"/>
        <v>0</v>
      </c>
      <c r="AK57" s="685">
        <f t="shared" si="31"/>
        <v>0</v>
      </c>
      <c r="AL57" s="685">
        <f t="shared" si="31"/>
        <v>0.16649466165720572</v>
      </c>
      <c r="AM57" s="786">
        <f t="shared" si="31"/>
        <v>15.678150304975372</v>
      </c>
      <c r="AN57" s="788">
        <f t="shared" si="31"/>
        <v>0</v>
      </c>
      <c r="AO57" s="788">
        <f t="shared" si="31"/>
        <v>1019.3925755397834</v>
      </c>
      <c r="AP57" s="789">
        <f t="shared" si="31"/>
        <v>0</v>
      </c>
      <c r="AQ57" s="791">
        <f t="shared" si="13"/>
        <v>1722.5590949990201</v>
      </c>
      <c r="AR57" s="3"/>
      <c r="AS57" s="27"/>
    </row>
    <row r="58" spans="1:45" s="3" customFormat="1" ht="12.75" customHeight="1">
      <c r="A58" s="86" t="s">
        <v>801</v>
      </c>
      <c r="B58" s="784"/>
      <c r="C58" s="785">
        <f t="shared" si="27"/>
        <v>0.53991879699248124</v>
      </c>
      <c r="D58" s="790">
        <v>0.53991879699248124</v>
      </c>
      <c r="E58" s="789">
        <v>0</v>
      </c>
      <c r="F58" s="789">
        <f>SUM(F59:F64)</f>
        <v>0</v>
      </c>
      <c r="G58" s="792">
        <v>0</v>
      </c>
      <c r="H58" s="788">
        <f t="shared" si="28"/>
        <v>0</v>
      </c>
      <c r="I58" s="786">
        <f>SUM(I59:I64)</f>
        <v>0</v>
      </c>
      <c r="J58" s="786">
        <f>SUM(J59:J64)</f>
        <v>0</v>
      </c>
      <c r="K58" s="786">
        <f>SUM(K59:K64)</f>
        <v>0</v>
      </c>
      <c r="L58" s="788">
        <f t="shared" si="29"/>
        <v>123.39297948584372</v>
      </c>
      <c r="M58" s="685">
        <f t="shared" ref="M58:AN58" si="32">SUM(M59:M64)</f>
        <v>0</v>
      </c>
      <c r="N58" s="787">
        <f t="shared" si="32"/>
        <v>0</v>
      </c>
      <c r="O58" s="787">
        <f t="shared" si="32"/>
        <v>0</v>
      </c>
      <c r="P58" s="789">
        <f t="shared" si="32"/>
        <v>0</v>
      </c>
      <c r="Q58" s="789">
        <v>25.817592108194308</v>
      </c>
      <c r="R58" s="789">
        <f t="shared" si="32"/>
        <v>0</v>
      </c>
      <c r="S58" s="789">
        <v>0</v>
      </c>
      <c r="T58" s="789">
        <v>53.639757659500326</v>
      </c>
      <c r="U58" s="789">
        <v>43.935237594981864</v>
      </c>
      <c r="V58" s="789">
        <f t="shared" si="32"/>
        <v>3.9212316723240829E-4</v>
      </c>
      <c r="W58" s="789">
        <f t="shared" si="32"/>
        <v>0</v>
      </c>
      <c r="X58" s="789">
        <f t="shared" si="32"/>
        <v>0</v>
      </c>
      <c r="Y58" s="787">
        <f t="shared" si="32"/>
        <v>0</v>
      </c>
      <c r="Z58" s="786">
        <f t="shared" si="32"/>
        <v>0</v>
      </c>
      <c r="AA58" s="788">
        <v>205.61511570855646</v>
      </c>
      <c r="AB58" s="789">
        <f t="shared" si="30"/>
        <v>23.586836774290585</v>
      </c>
      <c r="AC58" s="790">
        <f t="shared" si="32"/>
        <v>0</v>
      </c>
      <c r="AD58" s="685">
        <f t="shared" si="32"/>
        <v>0</v>
      </c>
      <c r="AE58" s="685">
        <f t="shared" si="32"/>
        <v>5.0179504193776099</v>
      </c>
      <c r="AF58" s="685"/>
      <c r="AG58" s="685">
        <f t="shared" si="32"/>
        <v>0</v>
      </c>
      <c r="AH58" s="685">
        <f t="shared" si="32"/>
        <v>2.7242413882803982</v>
      </c>
      <c r="AI58" s="685">
        <f t="shared" si="32"/>
        <v>0</v>
      </c>
      <c r="AJ58" s="685">
        <f t="shared" si="32"/>
        <v>0</v>
      </c>
      <c r="AK58" s="685"/>
      <c r="AL58" s="685">
        <v>0.16649466165720572</v>
      </c>
      <c r="AM58" s="787">
        <v>15.678150304975372</v>
      </c>
      <c r="AN58" s="788">
        <f t="shared" si="32"/>
        <v>0</v>
      </c>
      <c r="AO58" s="788">
        <v>684.51532146142654</v>
      </c>
      <c r="AP58" s="789">
        <f t="shared" ref="AP58" si="33">SUM(AP59:AP64)</f>
        <v>0</v>
      </c>
      <c r="AQ58" s="791">
        <f t="shared" si="13"/>
        <v>1037.6501722271098</v>
      </c>
      <c r="AS58" s="28"/>
    </row>
    <row r="59" spans="1:45" s="16" customFormat="1" ht="12.75" customHeight="1">
      <c r="A59" s="793" t="s">
        <v>802</v>
      </c>
      <c r="B59" s="794" t="s">
        <v>803</v>
      </c>
      <c r="C59" s="655">
        <f t="shared" si="27"/>
        <v>9.9984962406015031E-3</v>
      </c>
      <c r="D59" s="795">
        <v>9.9984962406015031E-3</v>
      </c>
      <c r="E59" s="660"/>
      <c r="F59" s="660"/>
      <c r="G59" s="701"/>
      <c r="H59" s="659">
        <f t="shared" si="28"/>
        <v>0</v>
      </c>
      <c r="I59" s="769"/>
      <c r="J59" s="769"/>
      <c r="K59" s="769"/>
      <c r="L59" s="659">
        <f t="shared" si="29"/>
        <v>32.327049654868127</v>
      </c>
      <c r="M59" s="703"/>
      <c r="N59" s="796"/>
      <c r="O59" s="796"/>
      <c r="P59" s="660"/>
      <c r="Q59" s="797">
        <v>8.0278057943609493</v>
      </c>
      <c r="R59" s="660"/>
      <c r="S59" s="797">
        <v>0</v>
      </c>
      <c r="T59" s="797">
        <v>15.105482293518097</v>
      </c>
      <c r="U59" s="797">
        <v>9.19376156698908</v>
      </c>
      <c r="V59" s="797">
        <v>0</v>
      </c>
      <c r="W59" s="660"/>
      <c r="X59" s="660"/>
      <c r="Y59" s="796"/>
      <c r="Z59" s="769"/>
      <c r="AA59" s="798">
        <v>57.532573159401849</v>
      </c>
      <c r="AB59" s="660">
        <f t="shared" si="30"/>
        <v>1.2773333532141125</v>
      </c>
      <c r="AC59" s="799"/>
      <c r="AD59" s="703"/>
      <c r="AE59" s="800">
        <v>1.2773333532141125</v>
      </c>
      <c r="AF59" s="800"/>
      <c r="AG59" s="800"/>
      <c r="AH59" s="800">
        <v>0</v>
      </c>
      <c r="AI59" s="800"/>
      <c r="AJ59" s="800"/>
      <c r="AK59" s="800"/>
      <c r="AL59" s="800">
        <v>0</v>
      </c>
      <c r="AM59" s="801">
        <v>0</v>
      </c>
      <c r="AN59" s="659"/>
      <c r="AO59" s="798">
        <v>227.43297899256885</v>
      </c>
      <c r="AP59" s="660"/>
      <c r="AQ59" s="802">
        <f t="shared" si="13"/>
        <v>318.57993365629352</v>
      </c>
      <c r="AS59" s="28"/>
    </row>
    <row r="60" spans="1:45" s="16" customFormat="1" ht="12.75" customHeight="1">
      <c r="A60" s="793" t="s">
        <v>804</v>
      </c>
      <c r="B60" s="794" t="s">
        <v>805</v>
      </c>
      <c r="C60" s="608">
        <f t="shared" si="27"/>
        <v>1.0998345864661654E-2</v>
      </c>
      <c r="D60" s="795">
        <v>1.0998345864661654E-2</v>
      </c>
      <c r="E60" s="615"/>
      <c r="F60" s="615"/>
      <c r="G60" s="803"/>
      <c r="H60" s="612">
        <f t="shared" si="28"/>
        <v>0</v>
      </c>
      <c r="I60" s="609"/>
      <c r="J60" s="609"/>
      <c r="K60" s="609"/>
      <c r="L60" s="612">
        <f t="shared" si="29"/>
        <v>24.137833390343388</v>
      </c>
      <c r="M60" s="619"/>
      <c r="N60" s="610"/>
      <c r="O60" s="610"/>
      <c r="P60" s="615"/>
      <c r="Q60" s="797">
        <v>5.3543303518790886</v>
      </c>
      <c r="R60" s="615"/>
      <c r="S60" s="797">
        <v>0</v>
      </c>
      <c r="T60" s="797">
        <v>5.393987425308894</v>
      </c>
      <c r="U60" s="797">
        <v>13.389515613155407</v>
      </c>
      <c r="V60" s="797">
        <v>0</v>
      </c>
      <c r="W60" s="615"/>
      <c r="X60" s="615"/>
      <c r="Y60" s="610"/>
      <c r="Z60" s="609"/>
      <c r="AA60" s="798">
        <v>17.076846566169994</v>
      </c>
      <c r="AB60" s="615">
        <f t="shared" si="30"/>
        <v>6.7770858417357749E-2</v>
      </c>
      <c r="AC60" s="804"/>
      <c r="AD60" s="619"/>
      <c r="AE60" s="805">
        <v>6.7770858417357749E-2</v>
      </c>
      <c r="AF60" s="805"/>
      <c r="AG60" s="805"/>
      <c r="AH60" s="805">
        <v>0</v>
      </c>
      <c r="AI60" s="805"/>
      <c r="AJ60" s="805"/>
      <c r="AK60" s="805"/>
      <c r="AL60" s="805">
        <v>0</v>
      </c>
      <c r="AM60" s="806">
        <v>0</v>
      </c>
      <c r="AN60" s="612"/>
      <c r="AO60" s="798">
        <v>69.841724309024471</v>
      </c>
      <c r="AP60" s="615"/>
      <c r="AQ60" s="807">
        <f t="shared" si="13"/>
        <v>111.13517346981988</v>
      </c>
      <c r="AS60" s="28"/>
    </row>
    <row r="61" spans="1:45" s="16" customFormat="1" ht="12.75" customHeight="1">
      <c r="A61" s="793" t="s">
        <v>806</v>
      </c>
      <c r="B61" s="794" t="s">
        <v>807</v>
      </c>
      <c r="C61" s="608">
        <f t="shared" si="27"/>
        <v>0.48392721804511274</v>
      </c>
      <c r="D61" s="795">
        <v>0.48392721804511274</v>
      </c>
      <c r="E61" s="615"/>
      <c r="F61" s="615"/>
      <c r="G61" s="803"/>
      <c r="H61" s="612">
        <f t="shared" si="28"/>
        <v>0</v>
      </c>
      <c r="I61" s="609"/>
      <c r="J61" s="609"/>
      <c r="K61" s="609"/>
      <c r="L61" s="612">
        <f t="shared" si="29"/>
        <v>31.333616383670492</v>
      </c>
      <c r="M61" s="619"/>
      <c r="N61" s="610"/>
      <c r="O61" s="610"/>
      <c r="P61" s="615"/>
      <c r="Q61" s="797">
        <v>4.9790317487546645</v>
      </c>
      <c r="R61" s="615"/>
      <c r="S61" s="797">
        <v>0</v>
      </c>
      <c r="T61" s="797">
        <v>19.202826984364982</v>
      </c>
      <c r="U61" s="797">
        <v>7.1517576505508451</v>
      </c>
      <c r="V61" s="797">
        <v>0</v>
      </c>
      <c r="W61" s="615"/>
      <c r="X61" s="615"/>
      <c r="Y61" s="610"/>
      <c r="Z61" s="609"/>
      <c r="AA61" s="798">
        <v>37.147190784142389</v>
      </c>
      <c r="AB61" s="615">
        <f t="shared" si="30"/>
        <v>2.1318354810851448</v>
      </c>
      <c r="AC61" s="804"/>
      <c r="AD61" s="619"/>
      <c r="AE61" s="805">
        <v>2.1318354810851448</v>
      </c>
      <c r="AF61" s="805"/>
      <c r="AG61" s="805"/>
      <c r="AH61" s="805">
        <v>0</v>
      </c>
      <c r="AI61" s="805"/>
      <c r="AJ61" s="805"/>
      <c r="AK61" s="805"/>
      <c r="AL61" s="805">
        <v>0</v>
      </c>
      <c r="AM61" s="806">
        <v>0</v>
      </c>
      <c r="AN61" s="612"/>
      <c r="AO61" s="798">
        <v>87.896378653102275</v>
      </c>
      <c r="AP61" s="615"/>
      <c r="AQ61" s="807">
        <f t="shared" si="13"/>
        <v>158.99294852004542</v>
      </c>
      <c r="AS61" s="28"/>
    </row>
    <row r="62" spans="1:45" s="16" customFormat="1" ht="12.75" customHeight="1">
      <c r="A62" s="793" t="s">
        <v>808</v>
      </c>
      <c r="B62" s="794" t="s">
        <v>809</v>
      </c>
      <c r="C62" s="608">
        <f t="shared" si="27"/>
        <v>0</v>
      </c>
      <c r="D62" s="795">
        <v>0</v>
      </c>
      <c r="E62" s="615"/>
      <c r="F62" s="615"/>
      <c r="G62" s="803"/>
      <c r="H62" s="612">
        <f t="shared" si="28"/>
        <v>0</v>
      </c>
      <c r="I62" s="609"/>
      <c r="J62" s="609"/>
      <c r="K62" s="609"/>
      <c r="L62" s="612">
        <f t="shared" si="29"/>
        <v>5.4379501694305112</v>
      </c>
      <c r="M62" s="619"/>
      <c r="N62" s="610"/>
      <c r="O62" s="610"/>
      <c r="P62" s="615"/>
      <c r="Q62" s="797">
        <v>1.5602301478206442</v>
      </c>
      <c r="R62" s="615"/>
      <c r="S62" s="797">
        <v>0</v>
      </c>
      <c r="T62" s="797">
        <v>1.6396331271347122</v>
      </c>
      <c r="U62" s="797">
        <v>2.2380868944751544</v>
      </c>
      <c r="V62" s="797">
        <v>0</v>
      </c>
      <c r="W62" s="615"/>
      <c r="X62" s="615"/>
      <c r="Y62" s="610"/>
      <c r="Z62" s="609"/>
      <c r="AA62" s="798">
        <v>9.7954001243574229</v>
      </c>
      <c r="AB62" s="615">
        <f t="shared" si="30"/>
        <v>3.8305267801115254E-2</v>
      </c>
      <c r="AC62" s="804"/>
      <c r="AD62" s="619"/>
      <c r="AE62" s="805">
        <v>3.8305267801115254E-2</v>
      </c>
      <c r="AF62" s="805"/>
      <c r="AG62" s="805"/>
      <c r="AH62" s="805">
        <v>0</v>
      </c>
      <c r="AI62" s="805"/>
      <c r="AJ62" s="805"/>
      <c r="AK62" s="805"/>
      <c r="AL62" s="805">
        <v>0</v>
      </c>
      <c r="AM62" s="806">
        <v>0</v>
      </c>
      <c r="AN62" s="612"/>
      <c r="AO62" s="798">
        <v>168.21982573047418</v>
      </c>
      <c r="AP62" s="615"/>
      <c r="AQ62" s="807">
        <f t="shared" si="13"/>
        <v>183.49148129206324</v>
      </c>
      <c r="AS62" s="28"/>
    </row>
    <row r="63" spans="1:45" s="16" customFormat="1" ht="12.75" customHeight="1">
      <c r="A63" s="793" t="s">
        <v>810</v>
      </c>
      <c r="B63" s="794" t="s">
        <v>811</v>
      </c>
      <c r="C63" s="608">
        <f t="shared" si="27"/>
        <v>3.4994736842105266E-2</v>
      </c>
      <c r="D63" s="808">
        <v>3.4994736842105266E-2</v>
      </c>
      <c r="E63" s="615"/>
      <c r="F63" s="615"/>
      <c r="G63" s="803"/>
      <c r="H63" s="612">
        <f t="shared" si="28"/>
        <v>0</v>
      </c>
      <c r="I63" s="609"/>
      <c r="J63" s="609"/>
      <c r="K63" s="609"/>
      <c r="L63" s="612">
        <f t="shared" si="29"/>
        <v>2.5994355613729017</v>
      </c>
      <c r="M63" s="619"/>
      <c r="N63" s="610"/>
      <c r="O63" s="610"/>
      <c r="P63" s="615"/>
      <c r="Q63" s="809">
        <v>0.92243336442098911</v>
      </c>
      <c r="R63" s="615"/>
      <c r="S63" s="809">
        <v>0</v>
      </c>
      <c r="T63" s="809">
        <v>0.18424146092891816</v>
      </c>
      <c r="U63" s="809">
        <v>1.4927607360229946</v>
      </c>
      <c r="V63" s="809">
        <v>0</v>
      </c>
      <c r="W63" s="615"/>
      <c r="X63" s="615"/>
      <c r="Y63" s="610"/>
      <c r="Z63" s="609"/>
      <c r="AA63" s="810">
        <v>15.333339022313094</v>
      </c>
      <c r="AB63" s="615">
        <f t="shared" si="30"/>
        <v>0</v>
      </c>
      <c r="AC63" s="804"/>
      <c r="AD63" s="619"/>
      <c r="AE63" s="805">
        <v>0</v>
      </c>
      <c r="AF63" s="805"/>
      <c r="AG63" s="805"/>
      <c r="AH63" s="805">
        <v>0</v>
      </c>
      <c r="AI63" s="805"/>
      <c r="AJ63" s="805"/>
      <c r="AK63" s="805"/>
      <c r="AL63" s="805">
        <v>0</v>
      </c>
      <c r="AM63" s="806">
        <v>0</v>
      </c>
      <c r="AN63" s="612"/>
      <c r="AO63" s="810">
        <v>37.594013086148287</v>
      </c>
      <c r="AP63" s="615"/>
      <c r="AQ63" s="807">
        <f t="shared" si="13"/>
        <v>55.561782406676386</v>
      </c>
      <c r="AS63" s="28"/>
    </row>
    <row r="64" spans="1:45" s="16" customFormat="1" ht="12.75" customHeight="1">
      <c r="A64" s="811" t="s">
        <v>812</v>
      </c>
      <c r="B64" s="812"/>
      <c r="C64" s="667">
        <f t="shared" si="27"/>
        <v>0</v>
      </c>
      <c r="D64" s="808">
        <v>0</v>
      </c>
      <c r="E64" s="672"/>
      <c r="F64" s="672"/>
      <c r="G64" s="813"/>
      <c r="H64" s="671">
        <f t="shared" si="28"/>
        <v>0</v>
      </c>
      <c r="I64" s="781"/>
      <c r="J64" s="781"/>
      <c r="K64" s="781"/>
      <c r="L64" s="671">
        <f t="shared" si="29"/>
        <v>27.557094326158314</v>
      </c>
      <c r="M64" s="782"/>
      <c r="N64" s="814"/>
      <c r="O64" s="814"/>
      <c r="P64" s="672"/>
      <c r="Q64" s="809">
        <v>4.9737607009579721</v>
      </c>
      <c r="R64" s="672"/>
      <c r="S64" s="809">
        <v>0</v>
      </c>
      <c r="T64" s="809">
        <v>12.11358636824472</v>
      </c>
      <c r="U64" s="809">
        <v>10.469355133788389</v>
      </c>
      <c r="V64" s="809">
        <v>3.9212316723240829E-4</v>
      </c>
      <c r="W64" s="672"/>
      <c r="X64" s="672"/>
      <c r="Y64" s="814"/>
      <c r="Z64" s="781"/>
      <c r="AA64" s="810">
        <v>68.729766052171726</v>
      </c>
      <c r="AB64" s="672">
        <f t="shared" si="30"/>
        <v>20.071591813772855</v>
      </c>
      <c r="AC64" s="815"/>
      <c r="AD64" s="782"/>
      <c r="AE64" s="816">
        <v>1.5027054588598796</v>
      </c>
      <c r="AF64" s="816"/>
      <c r="AG64" s="816"/>
      <c r="AH64" s="816">
        <v>2.7242413882803982</v>
      </c>
      <c r="AI64" s="816"/>
      <c r="AJ64" s="816"/>
      <c r="AK64" s="816"/>
      <c r="AL64" s="816">
        <v>0.16649466165720572</v>
      </c>
      <c r="AM64" s="817">
        <v>15.678150304975372</v>
      </c>
      <c r="AN64" s="671"/>
      <c r="AO64" s="810">
        <v>93.530400690108436</v>
      </c>
      <c r="AP64" s="672"/>
      <c r="AQ64" s="818">
        <f t="shared" si="13"/>
        <v>209.88885288221132</v>
      </c>
      <c r="AS64" s="28"/>
    </row>
    <row r="65" spans="1:45" s="3" customFormat="1" ht="12.75" customHeight="1">
      <c r="A65" s="86" t="s">
        <v>813</v>
      </c>
      <c r="B65" s="784"/>
      <c r="C65" s="667">
        <f>SUM(D65:G65)</f>
        <v>0</v>
      </c>
      <c r="D65" s="790">
        <f>SUM(D66:D69)</f>
        <v>0</v>
      </c>
      <c r="E65" s="758"/>
      <c r="F65" s="758"/>
      <c r="G65" s="759"/>
      <c r="H65" s="671">
        <f>SUM(I65:K65)</f>
        <v>0</v>
      </c>
      <c r="I65" s="668"/>
      <c r="J65" s="669">
        <v>0</v>
      </c>
      <c r="K65" s="669">
        <v>0</v>
      </c>
      <c r="L65" s="671">
        <f>SUM(M65:Z65)</f>
        <v>140.16244989160612</v>
      </c>
      <c r="M65" s="669"/>
      <c r="N65" s="670"/>
      <c r="O65" s="670"/>
      <c r="P65" s="758"/>
      <c r="Q65" s="789">
        <v>47.866385041754299</v>
      </c>
      <c r="R65" s="758"/>
      <c r="S65" s="789">
        <v>0.64284746861564912</v>
      </c>
      <c r="T65" s="789">
        <v>16.081150910512747</v>
      </c>
      <c r="U65" s="789">
        <v>75.572066470723442</v>
      </c>
      <c r="V65" s="789">
        <f>SUM(V66:V69)</f>
        <v>0</v>
      </c>
      <c r="W65" s="758"/>
      <c r="X65" s="758"/>
      <c r="Y65" s="670"/>
      <c r="Z65" s="669"/>
      <c r="AA65" s="788">
        <v>192.07673199368949</v>
      </c>
      <c r="AB65" s="672">
        <f>SUM(AC65:AM65)</f>
        <v>17.792486808257973</v>
      </c>
      <c r="AC65" s="673"/>
      <c r="AD65" s="669"/>
      <c r="AE65" s="669">
        <f>SUM(AE66:AE69)</f>
        <v>12.975172827862389</v>
      </c>
      <c r="AF65" s="669"/>
      <c r="AG65" s="669"/>
      <c r="AH65" s="669">
        <v>4.8173139803955838</v>
      </c>
      <c r="AI65" s="669"/>
      <c r="AJ65" s="669"/>
      <c r="AK65" s="669"/>
      <c r="AL65" s="669"/>
      <c r="AM65" s="670"/>
      <c r="AN65" s="671"/>
      <c r="AO65" s="788">
        <v>334.87725407835688</v>
      </c>
      <c r="AP65" s="672"/>
      <c r="AQ65" s="819">
        <f t="shared" si="13"/>
        <v>684.90892277191051</v>
      </c>
      <c r="AS65" s="28"/>
    </row>
    <row r="66" spans="1:45" s="16" customFormat="1" ht="12.75" customHeight="1">
      <c r="A66" s="820" t="s">
        <v>814</v>
      </c>
      <c r="B66" s="821" t="s">
        <v>815</v>
      </c>
      <c r="C66" s="655">
        <f t="shared" ref="C66:C69" si="34">SUM(D66:G66)</f>
        <v>0</v>
      </c>
      <c r="D66" s="822">
        <v>0</v>
      </c>
      <c r="E66" s="704"/>
      <c r="F66" s="704"/>
      <c r="G66" s="823"/>
      <c r="H66" s="659">
        <f t="shared" ref="H66:H69" si="35">SUM(I66:K66)</f>
        <v>0</v>
      </c>
      <c r="I66" s="824"/>
      <c r="J66" s="657"/>
      <c r="K66" s="825"/>
      <c r="L66" s="659">
        <f t="shared" ref="L66:L69" si="36">SUM(M66:Z66)</f>
        <v>11.083842216367572</v>
      </c>
      <c r="M66" s="824"/>
      <c r="N66" s="704"/>
      <c r="O66" s="658"/>
      <c r="P66" s="704"/>
      <c r="Q66" s="826">
        <v>0.2530102942411856</v>
      </c>
      <c r="R66" s="704"/>
      <c r="S66" s="826">
        <v>0.3129380842779857</v>
      </c>
      <c r="T66" s="826">
        <v>1.0521462045500485</v>
      </c>
      <c r="U66" s="826">
        <v>9.4657476332983528</v>
      </c>
      <c r="V66" s="826">
        <v>0</v>
      </c>
      <c r="W66" s="704"/>
      <c r="X66" s="704"/>
      <c r="Y66" s="658"/>
      <c r="Z66" s="657"/>
      <c r="AA66" s="827">
        <v>8.4437848043838404</v>
      </c>
      <c r="AB66" s="660">
        <f t="shared" ref="AB66:AB69" si="37">SUM(AC66:AM66)</f>
        <v>5.4773432101994155</v>
      </c>
      <c r="AC66" s="661"/>
      <c r="AD66" s="657"/>
      <c r="AE66" s="657">
        <v>0.66002922980383205</v>
      </c>
      <c r="AF66" s="657"/>
      <c r="AG66" s="657"/>
      <c r="AH66" s="657">
        <v>4.8173139803955838</v>
      </c>
      <c r="AI66" s="657"/>
      <c r="AJ66" s="657"/>
      <c r="AK66" s="657"/>
      <c r="AL66" s="657"/>
      <c r="AM66" s="658"/>
      <c r="AN66" s="659"/>
      <c r="AO66" s="827">
        <v>55.850156928746095</v>
      </c>
      <c r="AP66" s="660"/>
      <c r="AQ66" s="687">
        <f t="shared" si="13"/>
        <v>80.85512715969692</v>
      </c>
      <c r="AS66" s="28"/>
    </row>
    <row r="67" spans="1:45" s="16" customFormat="1" ht="12.75" customHeight="1">
      <c r="A67" s="828" t="s">
        <v>816</v>
      </c>
      <c r="B67" s="829">
        <v>84</v>
      </c>
      <c r="C67" s="608">
        <f t="shared" si="34"/>
        <v>0</v>
      </c>
      <c r="D67" s="830">
        <v>0</v>
      </c>
      <c r="E67" s="752"/>
      <c r="F67" s="752"/>
      <c r="G67" s="753"/>
      <c r="H67" s="612">
        <f t="shared" si="35"/>
        <v>0</v>
      </c>
      <c r="I67" s="831"/>
      <c r="J67" s="614"/>
      <c r="K67" s="832"/>
      <c r="L67" s="612">
        <f t="shared" si="36"/>
        <v>59.95397707725251</v>
      </c>
      <c r="M67" s="831"/>
      <c r="N67" s="752"/>
      <c r="O67" s="611"/>
      <c r="P67" s="752"/>
      <c r="Q67" s="833">
        <v>11.981091641879475</v>
      </c>
      <c r="R67" s="752"/>
      <c r="S67" s="833">
        <v>0.20048339509750321</v>
      </c>
      <c r="T67" s="833">
        <v>7.85054023769447</v>
      </c>
      <c r="U67" s="833">
        <v>39.921861802581063</v>
      </c>
      <c r="V67" s="833">
        <v>0</v>
      </c>
      <c r="W67" s="752"/>
      <c r="X67" s="752"/>
      <c r="Y67" s="611"/>
      <c r="Z67" s="614"/>
      <c r="AA67" s="834">
        <v>66.187230278743982</v>
      </c>
      <c r="AB67" s="615">
        <f t="shared" si="37"/>
        <v>9.4672942649987188</v>
      </c>
      <c r="AC67" s="616"/>
      <c r="AD67" s="614"/>
      <c r="AE67" s="614">
        <v>9.4672942649987188</v>
      </c>
      <c r="AF67" s="614"/>
      <c r="AG67" s="614"/>
      <c r="AH67" s="614">
        <v>0</v>
      </c>
      <c r="AI67" s="614"/>
      <c r="AJ67" s="614"/>
      <c r="AK67" s="614"/>
      <c r="AL67" s="614"/>
      <c r="AM67" s="611"/>
      <c r="AN67" s="612"/>
      <c r="AO67" s="834">
        <v>154.30936641104071</v>
      </c>
      <c r="AP67" s="615"/>
      <c r="AQ67" s="618">
        <f t="shared" si="13"/>
        <v>289.91786803203593</v>
      </c>
      <c r="AS67" s="28"/>
    </row>
    <row r="68" spans="1:45" s="16" customFormat="1" ht="12.75" customHeight="1">
      <c r="A68" s="793" t="s">
        <v>817</v>
      </c>
      <c r="B68" s="794">
        <v>85</v>
      </c>
      <c r="C68" s="608">
        <f t="shared" si="34"/>
        <v>0</v>
      </c>
      <c r="D68" s="830">
        <v>0</v>
      </c>
      <c r="E68" s="752"/>
      <c r="F68" s="752"/>
      <c r="G68" s="753"/>
      <c r="H68" s="612">
        <f t="shared" si="35"/>
        <v>0</v>
      </c>
      <c r="I68" s="831"/>
      <c r="J68" s="614"/>
      <c r="K68" s="832"/>
      <c r="L68" s="612">
        <f t="shared" si="36"/>
        <v>42.831123161298109</v>
      </c>
      <c r="M68" s="831"/>
      <c r="N68" s="752"/>
      <c r="O68" s="611"/>
      <c r="P68" s="752"/>
      <c r="Q68" s="833">
        <v>21.281328374361724</v>
      </c>
      <c r="R68" s="752"/>
      <c r="S68" s="833">
        <v>3.2197887029108509E-2</v>
      </c>
      <c r="T68" s="833">
        <v>4.5585277188324795</v>
      </c>
      <c r="U68" s="833">
        <v>16.959069181074796</v>
      </c>
      <c r="V68" s="833">
        <v>0</v>
      </c>
      <c r="W68" s="752"/>
      <c r="X68" s="752"/>
      <c r="Y68" s="611"/>
      <c r="Z68" s="614"/>
      <c r="AA68" s="834">
        <v>53.929324235430926</v>
      </c>
      <c r="AB68" s="615">
        <f t="shared" si="37"/>
        <v>1.3804629203709615</v>
      </c>
      <c r="AC68" s="616"/>
      <c r="AD68" s="614"/>
      <c r="AE68" s="614">
        <v>1.3804629203709615</v>
      </c>
      <c r="AF68" s="614"/>
      <c r="AG68" s="614"/>
      <c r="AH68" s="614">
        <v>0</v>
      </c>
      <c r="AI68" s="614"/>
      <c r="AJ68" s="614"/>
      <c r="AK68" s="614"/>
      <c r="AL68" s="614"/>
      <c r="AM68" s="611"/>
      <c r="AN68" s="612"/>
      <c r="AO68" s="834">
        <v>74.178871141573552</v>
      </c>
      <c r="AP68" s="615"/>
      <c r="AQ68" s="618">
        <f t="shared" si="13"/>
        <v>172.31978145867356</v>
      </c>
      <c r="AS68" s="28"/>
    </row>
    <row r="69" spans="1:45" s="16" customFormat="1" ht="12.75" customHeight="1">
      <c r="A69" s="811" t="s">
        <v>818</v>
      </c>
      <c r="B69" s="812" t="s">
        <v>819</v>
      </c>
      <c r="C69" s="774">
        <f t="shared" si="34"/>
        <v>0</v>
      </c>
      <c r="D69" s="835">
        <v>0</v>
      </c>
      <c r="E69" s="758"/>
      <c r="F69" s="758"/>
      <c r="G69" s="759"/>
      <c r="H69" s="776">
        <f t="shared" si="35"/>
        <v>0</v>
      </c>
      <c r="I69" s="836"/>
      <c r="J69" s="669"/>
      <c r="K69" s="837"/>
      <c r="L69" s="776">
        <f t="shared" si="36"/>
        <v>26.293507436687939</v>
      </c>
      <c r="M69" s="836"/>
      <c r="N69" s="758"/>
      <c r="O69" s="670"/>
      <c r="P69" s="758"/>
      <c r="Q69" s="838">
        <v>14.35095473127191</v>
      </c>
      <c r="R69" s="758"/>
      <c r="S69" s="838">
        <v>9.7228102211051784E-2</v>
      </c>
      <c r="T69" s="838">
        <v>2.6199367494357482</v>
      </c>
      <c r="U69" s="838">
        <v>9.2253878537692273</v>
      </c>
      <c r="V69" s="838">
        <v>0</v>
      </c>
      <c r="W69" s="758"/>
      <c r="X69" s="758"/>
      <c r="Y69" s="670"/>
      <c r="Z69" s="669"/>
      <c r="AA69" s="839">
        <v>63.51639267513076</v>
      </c>
      <c r="AB69" s="778">
        <f t="shared" si="37"/>
        <v>1.4673864126888767</v>
      </c>
      <c r="AC69" s="779"/>
      <c r="AD69" s="773"/>
      <c r="AE69" s="773">
        <v>1.4673864126888767</v>
      </c>
      <c r="AF69" s="773"/>
      <c r="AG69" s="773"/>
      <c r="AH69" s="773">
        <v>0</v>
      </c>
      <c r="AI69" s="773"/>
      <c r="AJ69" s="773"/>
      <c r="AK69" s="773"/>
      <c r="AL69" s="773"/>
      <c r="AM69" s="775"/>
      <c r="AN69" s="776"/>
      <c r="AO69" s="839">
        <v>50.538859596996531</v>
      </c>
      <c r="AP69" s="778"/>
      <c r="AQ69" s="780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90"/>
      <c r="C70" s="691">
        <f>SUM(D70:G70)</f>
        <v>0</v>
      </c>
      <c r="D70" s="840">
        <v>0</v>
      </c>
      <c r="E70" s="841"/>
      <c r="F70" s="842"/>
      <c r="G70" s="842"/>
      <c r="H70" s="695">
        <f>SUM(I70:K70)</f>
        <v>0</v>
      </c>
      <c r="I70" s="840"/>
      <c r="J70" s="841"/>
      <c r="K70" s="841"/>
      <c r="L70" s="695">
        <f>SUM(M70:Z70)</f>
        <v>175.46549158593075</v>
      </c>
      <c r="M70" s="841"/>
      <c r="N70" s="841"/>
      <c r="O70" s="841"/>
      <c r="P70" s="841">
        <v>0</v>
      </c>
      <c r="Q70" s="841">
        <v>0</v>
      </c>
      <c r="R70" s="841"/>
      <c r="S70" s="841"/>
      <c r="T70" s="843">
        <v>0</v>
      </c>
      <c r="U70" s="841">
        <v>175.46549158593075</v>
      </c>
      <c r="V70" s="657"/>
      <c r="W70" s="842"/>
      <c r="X70" s="842"/>
      <c r="Y70" s="842"/>
      <c r="Z70" s="841"/>
      <c r="AA70" s="695">
        <v>0</v>
      </c>
      <c r="AB70" s="696">
        <f>SUM(AC70:AM70)</f>
        <v>0</v>
      </c>
      <c r="AC70" s="844"/>
      <c r="AD70" s="841"/>
      <c r="AE70" s="841"/>
      <c r="AF70" s="841"/>
      <c r="AG70" s="841"/>
      <c r="AH70" s="841"/>
      <c r="AI70" s="841"/>
      <c r="AJ70" s="841"/>
      <c r="AK70" s="840"/>
      <c r="AL70" s="842"/>
      <c r="AM70" s="841"/>
      <c r="AN70" s="695"/>
      <c r="AO70" s="695">
        <v>47.988</v>
      </c>
      <c r="AP70" s="696"/>
      <c r="AQ70" s="686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66"/>
      <c r="C71" s="667">
        <f>SUM(D71:G71)</f>
        <v>0</v>
      </c>
      <c r="D71" s="668"/>
      <c r="E71" s="669"/>
      <c r="F71" s="670"/>
      <c r="G71" s="670"/>
      <c r="H71" s="671">
        <f>SUM(I71:K71)</f>
        <v>0</v>
      </c>
      <c r="I71" s="668"/>
      <c r="J71" s="669"/>
      <c r="K71" s="669"/>
      <c r="L71" s="671">
        <f>SUM(M71:Z71)</f>
        <v>27.249865733664667</v>
      </c>
      <c r="M71" s="669"/>
      <c r="N71" s="669"/>
      <c r="O71" s="669"/>
      <c r="P71" s="669"/>
      <c r="Q71" s="669"/>
      <c r="R71" s="669"/>
      <c r="S71" s="669"/>
      <c r="T71" s="669"/>
      <c r="U71" s="782">
        <v>27.249865733664667</v>
      </c>
      <c r="V71" s="669"/>
      <c r="W71" s="670"/>
      <c r="X71" s="670"/>
      <c r="Y71" s="670"/>
      <c r="Z71" s="669"/>
      <c r="AA71" s="671"/>
      <c r="AB71" s="672">
        <f>SUM(AC71:AM71)</f>
        <v>0</v>
      </c>
      <c r="AC71" s="673"/>
      <c r="AD71" s="669"/>
      <c r="AE71" s="669"/>
      <c r="AF71" s="669"/>
      <c r="AG71" s="669"/>
      <c r="AH71" s="669"/>
      <c r="AI71" s="669"/>
      <c r="AJ71" s="669"/>
      <c r="AK71" s="668"/>
      <c r="AL71" s="670"/>
      <c r="AM71" s="669"/>
      <c r="AN71" s="671"/>
      <c r="AO71" s="674"/>
      <c r="AP71" s="672"/>
      <c r="AQ71" s="845">
        <f t="shared" si="13"/>
        <v>27.249865733664667</v>
      </c>
      <c r="AR71" s="3"/>
      <c r="AS71" s="5"/>
    </row>
    <row r="72" spans="1:45" s="6" customFormat="1" ht="12.75" customHeight="1" thickBot="1">
      <c r="A72" s="718" t="s">
        <v>185</v>
      </c>
      <c r="B72" s="719"/>
      <c r="C72" s="720">
        <f t="shared" ref="C72:AP72" si="38">C26-C27-C29</f>
        <v>-2.719924399165734</v>
      </c>
      <c r="D72" s="721">
        <f t="shared" si="38"/>
        <v>0.18184486786384468</v>
      </c>
      <c r="E72" s="722">
        <f t="shared" si="38"/>
        <v>-3.4486883993195647</v>
      </c>
      <c r="F72" s="725">
        <f t="shared" si="38"/>
        <v>0</v>
      </c>
      <c r="G72" s="725">
        <f t="shared" si="38"/>
        <v>0.6924657422902083</v>
      </c>
      <c r="H72" s="723">
        <f t="shared" si="38"/>
        <v>1.9457250152908045</v>
      </c>
      <c r="I72" s="721">
        <f t="shared" si="38"/>
        <v>-0.45741265470912973</v>
      </c>
      <c r="J72" s="722">
        <f t="shared" si="38"/>
        <v>0</v>
      </c>
      <c r="K72" s="722">
        <f t="shared" si="38"/>
        <v>2.4031376700000067</v>
      </c>
      <c r="L72" s="723">
        <f t="shared" si="38"/>
        <v>-0.17452026544560795</v>
      </c>
      <c r="M72" s="722">
        <f t="shared" si="38"/>
        <v>0</v>
      </c>
      <c r="N72" s="722">
        <f t="shared" si="38"/>
        <v>-0.14794174855289199</v>
      </c>
      <c r="O72" s="722">
        <f t="shared" si="38"/>
        <v>-5.2567080980734033</v>
      </c>
      <c r="P72" s="722">
        <f t="shared" si="38"/>
        <v>-22.015945821971172</v>
      </c>
      <c r="Q72" s="722">
        <f t="shared" si="38"/>
        <v>15.370413414720133</v>
      </c>
      <c r="R72" s="722">
        <f t="shared" si="38"/>
        <v>-6.7103906044801533</v>
      </c>
      <c r="S72" s="722">
        <f t="shared" si="38"/>
        <v>8.1718040718781069</v>
      </c>
      <c r="T72" s="722">
        <f t="shared" si="38"/>
        <v>6.5570336698137623</v>
      </c>
      <c r="U72" s="722">
        <f t="shared" si="38"/>
        <v>-4.4746269624060915</v>
      </c>
      <c r="V72" s="722">
        <f t="shared" si="38"/>
        <v>0.82532907951213019</v>
      </c>
      <c r="W72" s="725">
        <f t="shared" si="38"/>
        <v>7.506512734116022</v>
      </c>
      <c r="X72" s="725">
        <f t="shared" si="38"/>
        <v>0</v>
      </c>
      <c r="Y72" s="725">
        <f t="shared" si="38"/>
        <v>0</v>
      </c>
      <c r="Z72" s="722">
        <f t="shared" si="38"/>
        <v>0</v>
      </c>
      <c r="AA72" s="723">
        <f t="shared" si="38"/>
        <v>-40.274710307198575</v>
      </c>
      <c r="AB72" s="724">
        <f t="shared" si="38"/>
        <v>-8.1303135021793764</v>
      </c>
      <c r="AC72" s="846">
        <f t="shared" si="38"/>
        <v>0</v>
      </c>
      <c r="AD72" s="722">
        <f t="shared" si="38"/>
        <v>0</v>
      </c>
      <c r="AE72" s="722">
        <f t="shared" si="38"/>
        <v>-5.8327477785794315</v>
      </c>
      <c r="AF72" s="722">
        <f t="shared" si="38"/>
        <v>0</v>
      </c>
      <c r="AG72" s="722">
        <f t="shared" si="38"/>
        <v>0</v>
      </c>
      <c r="AH72" s="722">
        <f t="shared" si="38"/>
        <v>0</v>
      </c>
      <c r="AI72" s="722">
        <f t="shared" si="38"/>
        <v>-2.9556858672000175</v>
      </c>
      <c r="AJ72" s="722">
        <f t="shared" si="38"/>
        <v>0.65812014360000148</v>
      </c>
      <c r="AK72" s="721">
        <f t="shared" si="38"/>
        <v>0</v>
      </c>
      <c r="AL72" s="725">
        <f t="shared" si="38"/>
        <v>0</v>
      </c>
      <c r="AM72" s="722">
        <f t="shared" si="38"/>
        <v>0</v>
      </c>
      <c r="AN72" s="723">
        <f t="shared" si="38"/>
        <v>0</v>
      </c>
      <c r="AO72" s="723">
        <f t="shared" si="38"/>
        <v>-36.15143685982639</v>
      </c>
      <c r="AP72" s="724">
        <f t="shared" si="38"/>
        <v>0</v>
      </c>
      <c r="AQ72" s="726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5" t="s">
        <v>820</v>
      </c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13"/>
      <c r="M74" s="683"/>
      <c r="N74" s="683"/>
      <c r="Q74" s="683"/>
      <c r="R74" s="683"/>
      <c r="S74" s="683"/>
      <c r="T74" s="683"/>
      <c r="U74" s="683"/>
      <c r="V74" s="683"/>
      <c r="W74" s="676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S74" s="5"/>
    </row>
    <row r="75" spans="1:45" ht="12.75" customHeight="1">
      <c r="A75" s="847" t="s">
        <v>821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48" t="s">
        <v>186</v>
      </c>
      <c r="B76" s="849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0" t="s">
        <v>187</v>
      </c>
      <c r="B77" s="84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4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1" t="s">
        <v>189</v>
      </c>
      <c r="B79" s="15"/>
      <c r="C79" s="15"/>
      <c r="D79" s="15"/>
      <c r="E79" s="852"/>
      <c r="F79" s="853"/>
      <c r="G79" s="853"/>
      <c r="H79" s="854"/>
      <c r="I79" s="853"/>
      <c r="J79" s="853"/>
      <c r="K79" s="853"/>
      <c r="L79" s="854"/>
      <c r="M79" s="853"/>
      <c r="N79" s="853"/>
      <c r="O79" s="853"/>
      <c r="P79" s="853"/>
      <c r="Q79" s="853"/>
      <c r="R79" s="853"/>
      <c r="S79" s="855"/>
      <c r="T79" s="467"/>
      <c r="U79" s="855"/>
      <c r="V79" s="855"/>
      <c r="W79" s="853"/>
      <c r="X79" s="853"/>
      <c r="Y79" s="853"/>
      <c r="Z79" s="853"/>
      <c r="AA79" s="854"/>
      <c r="AB79" s="856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4"/>
      <c r="AP79" s="856"/>
      <c r="AQ79" s="853"/>
    </row>
    <row r="80" spans="1:45" ht="12.75" customHeight="1">
      <c r="A80" s="851" t="s">
        <v>190</v>
      </c>
      <c r="B80" s="15"/>
      <c r="C80" s="15"/>
      <c r="D80" s="15"/>
      <c r="E80" s="852"/>
      <c r="F80" s="853"/>
      <c r="G80" s="853"/>
      <c r="H80" s="854"/>
      <c r="I80" s="853"/>
      <c r="J80" s="853"/>
      <c r="K80" s="853"/>
      <c r="L80" s="854"/>
      <c r="M80" s="853"/>
      <c r="N80" s="853"/>
      <c r="O80" s="853"/>
      <c r="P80" s="853"/>
      <c r="Q80" s="853"/>
      <c r="R80" s="853"/>
      <c r="S80" s="855"/>
      <c r="T80" s="467"/>
      <c r="U80" s="855"/>
      <c r="V80" s="855"/>
      <c r="W80" s="853"/>
      <c r="X80" s="853"/>
      <c r="Y80" s="853"/>
      <c r="Z80" s="853"/>
      <c r="AA80" s="854"/>
      <c r="AB80" s="856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4"/>
      <c r="AP80" s="856"/>
      <c r="AQ80" s="853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45" t="s">
        <v>651</v>
      </c>
      <c r="G1" s="945"/>
      <c r="H1" s="945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096" t="s">
        <v>635</v>
      </c>
      <c r="G2" s="1097"/>
      <c r="H2" s="502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098" t="s">
        <v>494</v>
      </c>
      <c r="G3" s="1099"/>
      <c r="H3" s="946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100" t="s">
        <v>209</v>
      </c>
      <c r="G4" s="1101"/>
      <c r="H4" s="503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102" t="s">
        <v>502</v>
      </c>
      <c r="G5" s="1103"/>
      <c r="H5" s="501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847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848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47"/>
      <c r="F7" s="948" t="s">
        <v>219</v>
      </c>
      <c r="G7" s="949"/>
      <c r="H7" s="950"/>
      <c r="I7" s="1093" t="s">
        <v>220</v>
      </c>
      <c r="J7" s="1094"/>
      <c r="K7" s="1095"/>
      <c r="L7" s="1093" t="s">
        <v>221</v>
      </c>
      <c r="M7" s="1094"/>
      <c r="N7" s="1095"/>
      <c r="O7" s="1093" t="s">
        <v>222</v>
      </c>
      <c r="P7" s="1094"/>
      <c r="Q7" s="1095"/>
      <c r="R7" s="1091" t="s">
        <v>223</v>
      </c>
      <c r="S7" s="1093" t="s">
        <v>650</v>
      </c>
      <c r="T7" s="1094"/>
      <c r="U7" s="1094"/>
      <c r="V7" s="1094"/>
      <c r="W7" s="1094"/>
      <c r="X7" s="1095"/>
      <c r="Y7" s="1089" t="s">
        <v>713</v>
      </c>
      <c r="Z7" s="1089" t="s">
        <v>503</v>
      </c>
      <c r="AA7" s="1087" t="s">
        <v>772</v>
      </c>
      <c r="AB7" s="80"/>
      <c r="AC7" s="80"/>
      <c r="AD7" s="1085" t="s">
        <v>844</v>
      </c>
      <c r="AE7" s="1087" t="s">
        <v>845</v>
      </c>
      <c r="AF7" s="80"/>
      <c r="AG7" s="80"/>
      <c r="AH7" s="80"/>
      <c r="AI7" s="80" t="s">
        <v>719</v>
      </c>
      <c r="AK7" s="80"/>
      <c r="AL7" s="80"/>
      <c r="AM7" s="80"/>
      <c r="AN7" s="80" t="s">
        <v>849</v>
      </c>
      <c r="AO7" s="80">
        <v>1.75</v>
      </c>
      <c r="AP7" s="80"/>
      <c r="AQ7" s="80" t="s">
        <v>852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65"/>
      <c r="F8" s="966" t="s">
        <v>42</v>
      </c>
      <c r="G8" s="967" t="s">
        <v>44</v>
      </c>
      <c r="H8" s="968" t="s">
        <v>46</v>
      </c>
      <c r="I8" s="969" t="s">
        <v>42</v>
      </c>
      <c r="J8" s="970" t="s">
        <v>44</v>
      </c>
      <c r="K8" s="971" t="s">
        <v>46</v>
      </c>
      <c r="L8" s="972" t="s">
        <v>42</v>
      </c>
      <c r="M8" s="970" t="s">
        <v>44</v>
      </c>
      <c r="N8" s="971" t="s">
        <v>46</v>
      </c>
      <c r="O8" s="969" t="s">
        <v>42</v>
      </c>
      <c r="P8" s="970" t="s">
        <v>44</v>
      </c>
      <c r="Q8" s="971" t="s">
        <v>46</v>
      </c>
      <c r="R8" s="1092"/>
      <c r="S8" s="973" t="s">
        <v>224</v>
      </c>
      <c r="T8" s="973" t="s">
        <v>225</v>
      </c>
      <c r="U8" s="973" t="s">
        <v>226</v>
      </c>
      <c r="V8" s="973" t="s">
        <v>227</v>
      </c>
      <c r="W8" s="973" t="s">
        <v>229</v>
      </c>
      <c r="X8" s="974" t="s">
        <v>228</v>
      </c>
      <c r="Y8" s="1090"/>
      <c r="Z8" s="1090"/>
      <c r="AA8" s="1088" t="s">
        <v>659</v>
      </c>
      <c r="AD8" s="1086"/>
      <c r="AE8" s="1088" t="s">
        <v>659</v>
      </c>
      <c r="AI8" s="941" t="s">
        <v>853</v>
      </c>
      <c r="AJ8" s="940">
        <v>1.1516522859674401</v>
      </c>
      <c r="AN8" s="80" t="s">
        <v>850</v>
      </c>
      <c r="AO8" s="80">
        <v>2.73</v>
      </c>
      <c r="AQ8" s="80" t="s">
        <v>776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51" t="s">
        <v>635</v>
      </c>
      <c r="F9" s="952">
        <f>'SHWLP-Apt'!$AC$7+'SHWLP-Apt'!AC20</f>
        <v>0.16544583186899126</v>
      </c>
      <c r="G9" s="953">
        <f>'SHWLP-Att'!$AC$7+'SHWLP-Att'!$AC$20</f>
        <v>5.0532253541375196</v>
      </c>
      <c r="H9" s="954">
        <f>'SHWLP-Det'!$AC$7+'SHWLP-Det'!$AC$20</f>
        <v>4.441302847516865</v>
      </c>
      <c r="I9" s="952">
        <f>'SHWLP-Apt'!$AC$33+'SHWLP-Apt'!$AC$46</f>
        <v>7.0051234757231694E-3</v>
      </c>
      <c r="J9" s="953">
        <f>'SHWLP-Att'!$AC$33+'SHWLP-Att'!$AC$46</f>
        <v>0.4110810304299109</v>
      </c>
      <c r="K9" s="954">
        <f>'SHWLP-Det'!$AC$33+'SHWLP-Det'!$AC$46</f>
        <v>0.19272609338861538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59">
        <f>SUM(F9:X9)</f>
        <v>10.270786280817624</v>
      </c>
      <c r="Z9" s="960">
        <f>C9</f>
        <v>10.270341048136247</v>
      </c>
      <c r="AA9" s="396">
        <f>ABS(Z9-Y9)/Z9</f>
        <v>4.3351304429963564E-5</v>
      </c>
      <c r="AD9" s="80">
        <f>AJ9+AJ20</f>
        <v>10.269075645345431</v>
      </c>
      <c r="AE9" s="396">
        <f>ABS(AD9-Y9)/AD9</f>
        <v>1.6658125144579621E-4</v>
      </c>
      <c r="AI9" s="941" t="s">
        <v>855</v>
      </c>
      <c r="AJ9" s="940">
        <v>9.6599740335233797</v>
      </c>
      <c r="AN9" s="80" t="s">
        <v>851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8" t="s">
        <v>494</v>
      </c>
      <c r="F10" s="493">
        <f>'SHWLP-Apt'!$AC$18+'SHWLP-Apt'!$AC$21</f>
        <v>6.2811496129074898E-2</v>
      </c>
      <c r="G10" s="492">
        <f>'SHWLP-Att'!$AC$18+'SHWLP-Att'!$AC$21</f>
        <v>1.9799670923286381</v>
      </c>
      <c r="H10" s="494">
        <f>'SHWLP-Det'!$AC$18+'SHWLP-Det'!$AC$21</f>
        <v>5.3541915074111817</v>
      </c>
      <c r="I10" s="493">
        <f>'SHWLP-Apt'!$AC$44+'SHWLP-Apt'!$AC$47</f>
        <v>6.887642101817814E-3</v>
      </c>
      <c r="J10" s="492">
        <f>'SHWLP-Att'!$AC$44+'SHWLP-Att'!$AC$47</f>
        <v>0.38603250857605881</v>
      </c>
      <c r="K10" s="494">
        <f>'SHWLP-Det'!$AC$44+'SHWLP-Det'!$AC$47</f>
        <v>0.41240503232004544</v>
      </c>
      <c r="L10" s="493"/>
      <c r="M10" s="492"/>
      <c r="N10" s="494"/>
      <c r="O10" s="493"/>
      <c r="P10" s="492"/>
      <c r="Q10" s="494"/>
      <c r="R10" s="486"/>
      <c r="S10" s="495"/>
      <c r="T10" s="492"/>
      <c r="U10" s="492"/>
      <c r="V10" s="492"/>
      <c r="W10" s="492"/>
      <c r="X10" s="494"/>
      <c r="Y10" s="489">
        <f>SUM(F10:X10)</f>
        <v>8.2022952788668171</v>
      </c>
      <c r="Z10" s="456">
        <f t="shared" ref="Z10:Z27" si="0">C10</f>
        <v>8.22868674342444</v>
      </c>
      <c r="AA10" s="396">
        <f>ABS(Z10-Y10)/Z10</f>
        <v>3.2072510937073088E-3</v>
      </c>
      <c r="AD10" s="80">
        <f>AJ14+AJ27</f>
        <v>8.1954076367650153</v>
      </c>
      <c r="AE10" s="396">
        <f t="shared" ref="AE10" si="1">ABS(AD10-Y10)/AD10</f>
        <v>8.404270302435603E-4</v>
      </c>
      <c r="AI10" s="941" t="s">
        <v>411</v>
      </c>
      <c r="AJ10" s="940">
        <v>4.4337733997372402</v>
      </c>
      <c r="AN10" s="80" t="s">
        <v>848</v>
      </c>
      <c r="AO10" s="80">
        <v>7.0000000000000007E-2</v>
      </c>
    </row>
    <row r="11" spans="1:45" s="80" customFormat="1" ht="12" customHeight="1">
      <c r="A11" s="282" t="s">
        <v>776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51" t="s">
        <v>201</v>
      </c>
      <c r="F11" s="952">
        <f>'SHWLP-Apt'!$AC$10</f>
        <v>8.3646700905797663E-2</v>
      </c>
      <c r="G11" s="953">
        <f>'SHWLP-Att'!$AC$10</f>
        <v>0.32798315311906001</v>
      </c>
      <c r="H11" s="954">
        <f>'SHWLP-Det'!$AC$10</f>
        <v>1.2958570775015474</v>
      </c>
      <c r="I11" s="952">
        <f>'SHWLP-Apt'!$AC$36</f>
        <v>4.1520615164251887E-2</v>
      </c>
      <c r="J11" s="953">
        <f>'SHWLP-Att'!$AC$36</f>
        <v>0.14970582220157677</v>
      </c>
      <c r="K11" s="954">
        <f>'SHWLP-Det'!$AC$36</f>
        <v>0.31593985850262613</v>
      </c>
      <c r="L11" s="952"/>
      <c r="M11" s="953"/>
      <c r="N11" s="954"/>
      <c r="O11" s="952"/>
      <c r="P11" s="953"/>
      <c r="Q11" s="954"/>
      <c r="R11" s="961">
        <v>3.9492406345735545E-2</v>
      </c>
      <c r="S11" s="952"/>
      <c r="T11" s="953"/>
      <c r="U11" s="953"/>
      <c r="V11" s="953"/>
      <c r="W11" s="953"/>
      <c r="X11" s="954"/>
      <c r="Y11" s="959">
        <f t="shared" ref="Y11:Y25" si="2">SUM(F11:X11)</f>
        <v>2.2541456337405954</v>
      </c>
      <c r="Z11" s="960">
        <f t="shared" si="0"/>
        <v>2.2542368842613176</v>
      </c>
      <c r="AA11" s="396">
        <f>ABS(Z11-Y11)/Z11</f>
        <v>4.0479561557760514E-5</v>
      </c>
      <c r="AD11" s="80">
        <f>AJ13+AJ26+AR8</f>
        <v>2.1294859113248128</v>
      </c>
      <c r="AE11" s="396">
        <f>ABS(AD11-Y11)/AD11</f>
        <v>5.8539820222726101E-2</v>
      </c>
      <c r="AI11" s="941" t="s">
        <v>857</v>
      </c>
      <c r="AJ11" s="940">
        <v>16.539193232500899</v>
      </c>
      <c r="AN11" s="80" t="s">
        <v>849</v>
      </c>
      <c r="AO11" s="80">
        <v>0.49</v>
      </c>
    </row>
    <row r="12" spans="1:45" s="80" customFormat="1" ht="12" customHeight="1">
      <c r="A12" s="283" t="s">
        <v>775</v>
      </c>
      <c r="B12" s="289" t="str">
        <f>'EB2018'!P1</f>
        <v xml:space="preserve"> Gasoline</v>
      </c>
      <c r="C12" s="289">
        <f>'EB2018'!P56*B4</f>
        <v>0</v>
      </c>
      <c r="D12" s="63"/>
      <c r="E12" s="962" t="s">
        <v>202</v>
      </c>
      <c r="F12" s="493"/>
      <c r="G12" s="492"/>
      <c r="H12" s="494"/>
      <c r="I12" s="493"/>
      <c r="J12" s="492"/>
      <c r="K12" s="494"/>
      <c r="L12" s="493"/>
      <c r="M12" s="492"/>
      <c r="N12" s="494"/>
      <c r="O12" s="493"/>
      <c r="P12" s="492"/>
      <c r="Q12" s="494"/>
      <c r="R12" s="486"/>
      <c r="S12" s="495"/>
      <c r="T12" s="492"/>
      <c r="U12" s="492"/>
      <c r="V12" s="492"/>
      <c r="W12" s="492"/>
      <c r="X12" s="494"/>
      <c r="Y12" s="489">
        <f t="shared" si="2"/>
        <v>0</v>
      </c>
      <c r="Z12" s="456">
        <f t="shared" si="0"/>
        <v>0</v>
      </c>
      <c r="AA12" s="396"/>
      <c r="AD12" s="54"/>
      <c r="AE12" s="396"/>
      <c r="AI12" s="941" t="s">
        <v>858</v>
      </c>
      <c r="AJ12" s="940">
        <v>33.821000958649797</v>
      </c>
      <c r="AN12" s="80" t="s">
        <v>850</v>
      </c>
      <c r="AO12" s="80">
        <v>0.56999999999999995</v>
      </c>
    </row>
    <row r="13" spans="1:45" s="80" customFormat="1" ht="12" customHeight="1">
      <c r="A13" s="282" t="s">
        <v>777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51" t="s">
        <v>203</v>
      </c>
      <c r="F13" s="952">
        <f>'SHWLP-Apt'!$AC$14</f>
        <v>0.27753795733809883</v>
      </c>
      <c r="G13" s="953">
        <f>'SHWLP-Att'!$AC$14</f>
        <v>7.9486580069891355</v>
      </c>
      <c r="H13" s="954">
        <f>'SHWLP-Det'!$AC$14</f>
        <v>28.537520952350732</v>
      </c>
      <c r="I13" s="952">
        <f>'SHWLP-Apt'!$AC$40</f>
        <v>7.2978353960760328E-2</v>
      </c>
      <c r="J13" s="953">
        <f>'SHWLP-Att'!$AC$40</f>
        <v>3.0651314405454286</v>
      </c>
      <c r="K13" s="954">
        <f>'SHWLP-Det'!$AC$40</f>
        <v>8.2893668982745474</v>
      </c>
      <c r="L13" s="952"/>
      <c r="M13" s="953"/>
      <c r="N13" s="954"/>
      <c r="O13" s="952"/>
      <c r="P13" s="953"/>
      <c r="Q13" s="954"/>
      <c r="R13" s="961"/>
      <c r="S13" s="952"/>
      <c r="T13" s="953"/>
      <c r="U13" s="953"/>
      <c r="V13" s="953"/>
      <c r="W13" s="953"/>
      <c r="X13" s="954"/>
      <c r="Y13" s="490">
        <f t="shared" si="2"/>
        <v>48.191193609458708</v>
      </c>
      <c r="Z13" s="484">
        <f t="shared" si="0"/>
        <v>36.148841345600246</v>
      </c>
      <c r="AA13" s="396">
        <f>ABS(Z13+Z14+Z16-Y13)/(Z13+Z14+Z16)</f>
        <v>3.0673184078375199E-5</v>
      </c>
      <c r="AD13" s="80">
        <f>AJ12+AJ25</f>
        <v>43.727300517765926</v>
      </c>
      <c r="AE13" s="396">
        <f>ABS(AD13-Y13)/AD13</f>
        <v>0.10208480831967093</v>
      </c>
      <c r="AI13" s="941" t="s">
        <v>859</v>
      </c>
      <c r="AJ13" s="940">
        <v>1.6238402306206099</v>
      </c>
    </row>
    <row r="14" spans="1:45" s="80" customFormat="1" ht="12" customHeight="1">
      <c r="A14" s="283" t="s">
        <v>778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62" t="s">
        <v>204</v>
      </c>
      <c r="F14" s="493"/>
      <c r="G14" s="492"/>
      <c r="H14" s="494"/>
      <c r="I14" s="493"/>
      <c r="J14" s="492"/>
      <c r="K14" s="494"/>
      <c r="L14" s="493"/>
      <c r="M14" s="492"/>
      <c r="N14" s="494"/>
      <c r="O14" s="493"/>
      <c r="P14" s="492"/>
      <c r="Q14" s="494"/>
      <c r="R14" s="486"/>
      <c r="S14" s="495"/>
      <c r="T14" s="492"/>
      <c r="U14" s="492"/>
      <c r="V14" s="492"/>
      <c r="W14" s="492"/>
      <c r="X14" s="494"/>
      <c r="Y14" s="491">
        <f t="shared" si="2"/>
        <v>0</v>
      </c>
      <c r="Z14" s="485">
        <f t="shared" si="0"/>
        <v>11.893905446769136</v>
      </c>
      <c r="AA14" s="396">
        <f>ABS(Z13+Z14+Z16-Y13)/(Z13+Z14+Z16)</f>
        <v>3.0673184078375199E-5</v>
      </c>
      <c r="AI14" s="941" t="s">
        <v>412</v>
      </c>
      <c r="AJ14" s="940">
        <v>7.3969700958689097</v>
      </c>
    </row>
    <row r="15" spans="1:45" s="80" customFormat="1" ht="12" customHeight="1">
      <c r="A15" s="282" t="s">
        <v>779</v>
      </c>
      <c r="B15" s="288" t="str">
        <f>'EB2018'!S1</f>
        <v xml:space="preserve"> Fueloil</v>
      </c>
      <c r="C15" s="288">
        <f>'EB2018'!S56*RSD_Balance!B4</f>
        <v>0</v>
      </c>
      <c r="D15" s="63"/>
      <c r="E15" s="963" t="s">
        <v>205</v>
      </c>
      <c r="F15" s="952"/>
      <c r="G15" s="953"/>
      <c r="H15" s="954"/>
      <c r="I15" s="952"/>
      <c r="J15" s="953"/>
      <c r="K15" s="954"/>
      <c r="L15" s="952"/>
      <c r="M15" s="953"/>
      <c r="N15" s="954"/>
      <c r="O15" s="952"/>
      <c r="P15" s="953"/>
      <c r="Q15" s="954"/>
      <c r="R15" s="961"/>
      <c r="S15" s="952"/>
      <c r="T15" s="953"/>
      <c r="U15" s="953"/>
      <c r="V15" s="953"/>
      <c r="W15" s="953"/>
      <c r="X15" s="954"/>
      <c r="Y15" s="490">
        <f t="shared" si="2"/>
        <v>0</v>
      </c>
      <c r="Z15" s="485">
        <f t="shared" si="0"/>
        <v>0</v>
      </c>
      <c r="AA15" s="396">
        <f>ABS(Z13+Z14+Z16-Y13)/(Z13+Z14+Z16)</f>
        <v>3.0673184078375199E-5</v>
      </c>
      <c r="AI15" s="941" t="s">
        <v>861</v>
      </c>
      <c r="AJ15" s="940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780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62" t="s">
        <v>206</v>
      </c>
      <c r="F16" s="493"/>
      <c r="G16" s="492"/>
      <c r="H16" s="494"/>
      <c r="I16" s="493"/>
      <c r="J16" s="492"/>
      <c r="K16" s="494"/>
      <c r="L16" s="493"/>
      <c r="M16" s="492"/>
      <c r="N16" s="494"/>
      <c r="O16" s="493"/>
      <c r="P16" s="492"/>
      <c r="Q16" s="494"/>
      <c r="R16" s="486"/>
      <c r="S16" s="495"/>
      <c r="T16" s="492"/>
      <c r="U16" s="492"/>
      <c r="V16" s="492"/>
      <c r="W16" s="492"/>
      <c r="X16" s="494"/>
      <c r="Y16" s="491">
        <f t="shared" si="2"/>
        <v>0</v>
      </c>
      <c r="Z16" s="485">
        <f t="shared" si="0"/>
        <v>0.14696868507580046</v>
      </c>
      <c r="AA16" s="396">
        <f>ABS(Z13+Z14+Z16-Y13)/(Z13+Z14+Z16)</f>
        <v>3.0673184078375199E-5</v>
      </c>
      <c r="AQ16" s="80" t="s">
        <v>726</v>
      </c>
      <c r="AR16" s="80">
        <v>1.1000000000000001</v>
      </c>
    </row>
    <row r="17" spans="1:45" s="80" customFormat="1" ht="12" customHeight="1">
      <c r="A17" s="282" t="s">
        <v>781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51" t="s">
        <v>207</v>
      </c>
      <c r="F17" s="952">
        <f>'SHWLP-Apt'!$AC$16</f>
        <v>1.2330602547738085</v>
      </c>
      <c r="G17" s="953">
        <f>'SHWLP-Att'!$AC$16</f>
        <v>11.252890681411458</v>
      </c>
      <c r="H17" s="954">
        <f>'SHWLP-Det'!$AC$16</f>
        <v>5.0887959066492119</v>
      </c>
      <c r="I17" s="952">
        <f>'SHWLP-Apt'!$AC$42</f>
        <v>0.73352387446611567</v>
      </c>
      <c r="J17" s="953">
        <f>'SHWLP-Att'!$AC$42</f>
        <v>4.6877267184596745</v>
      </c>
      <c r="K17" s="954">
        <f>'SHWLP-Det'!$AC$42</f>
        <v>1.6258142323829905</v>
      </c>
      <c r="L17" s="952"/>
      <c r="M17" s="953"/>
      <c r="N17" s="954"/>
      <c r="O17" s="952"/>
      <c r="P17" s="953"/>
      <c r="Q17" s="954"/>
      <c r="R17" s="961">
        <v>0.66992893469234771</v>
      </c>
      <c r="S17" s="952"/>
      <c r="T17" s="953"/>
      <c r="U17" s="953"/>
      <c r="V17" s="953"/>
      <c r="W17" s="953"/>
      <c r="X17" s="954"/>
      <c r="Y17" s="959">
        <f t="shared" si="2"/>
        <v>25.291740602835606</v>
      </c>
      <c r="Z17" s="960">
        <f t="shared" si="0"/>
        <v>25.292197479166735</v>
      </c>
      <c r="AA17" s="396">
        <f>ABS(Z17-Y17)/Z17</f>
        <v>1.8063923923758402E-5</v>
      </c>
      <c r="AD17" s="80">
        <f>AJ11+AJ23+AR7</f>
        <v>23.52273418334358</v>
      </c>
      <c r="AE17" s="396">
        <f t="shared" ref="AE17:AE26" si="3">ABS(AD17-Y17)/AD17</f>
        <v>7.5204115546425615E-2</v>
      </c>
      <c r="AI17" s="80" t="s">
        <v>721</v>
      </c>
      <c r="AQ17" s="80" t="s">
        <v>727</v>
      </c>
      <c r="AR17" s="80">
        <v>1.19</v>
      </c>
    </row>
    <row r="18" spans="1:45" s="80" customFormat="1" ht="12" customHeight="1">
      <c r="A18" s="283" t="s">
        <v>782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64" t="s">
        <v>208</v>
      </c>
      <c r="F18" s="493"/>
      <c r="G18" s="492"/>
      <c r="H18" s="494"/>
      <c r="I18" s="493">
        <f>($C$18*0.05)</f>
        <v>2.8008835678000416E-2</v>
      </c>
      <c r="J18" s="492">
        <f>($C$18*0.475)</f>
        <v>0.26608393894100396</v>
      </c>
      <c r="K18" s="494">
        <f>($C$18*0.475)</f>
        <v>0.26608393894100396</v>
      </c>
      <c r="L18" s="493"/>
      <c r="M18" s="492"/>
      <c r="N18" s="494"/>
      <c r="O18" s="493"/>
      <c r="P18" s="492"/>
      <c r="Q18" s="494"/>
      <c r="R18" s="486"/>
      <c r="S18" s="495"/>
      <c r="T18" s="492"/>
      <c r="U18" s="492"/>
      <c r="V18" s="492"/>
      <c r="W18" s="492"/>
      <c r="X18" s="494"/>
      <c r="Y18" s="489">
        <f t="shared" si="2"/>
        <v>0.56017671356000842</v>
      </c>
      <c r="Z18" s="456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43" t="s">
        <v>846</v>
      </c>
      <c r="AJ18" s="942">
        <v>1.0513799860672901</v>
      </c>
      <c r="AQ18" s="80" t="s">
        <v>728</v>
      </c>
      <c r="AR18" s="80">
        <v>10.84</v>
      </c>
    </row>
    <row r="19" spans="1:45" s="80" customFormat="1" ht="12" customHeight="1">
      <c r="A19" s="282" t="s">
        <v>783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51" t="s">
        <v>209</v>
      </c>
      <c r="F19" s="952">
        <f>'SHWLP-Apt'!$AC$22+'SHWLP-Apt'!$AC$23</f>
        <v>1.2337526201974791E-2</v>
      </c>
      <c r="G19" s="953">
        <f>'SHWLP-Att'!$AC$22+'SHWLP-Att'!$AC$23</f>
        <v>0.2523797052534526</v>
      </c>
      <c r="H19" s="954">
        <f>'SHWLP-Det'!$AC$22+'SHWLP-Det'!$AC$23</f>
        <v>0.86485444630425223</v>
      </c>
      <c r="I19" s="952">
        <f>'SHWLP-Apt'!$AC$49+'SHWLP-Apt'!$AC$48</f>
        <v>4.416887565271861E-3</v>
      </c>
      <c r="J19" s="953">
        <f>'SHWLP-Att'!$AC$49+'SHWLP-Att'!$AC$48</f>
        <v>4.409576410996377E-2</v>
      </c>
      <c r="K19" s="954">
        <f>'SHWLP-Det'!$AC$49+'SHWLP-Det'!$AC$48</f>
        <v>0.10265054358596062</v>
      </c>
      <c r="L19" s="952"/>
      <c r="M19" s="953"/>
      <c r="N19" s="954"/>
      <c r="O19" s="952"/>
      <c r="P19" s="953"/>
      <c r="Q19" s="954"/>
      <c r="R19" s="961"/>
      <c r="S19" s="952"/>
      <c r="T19" s="953"/>
      <c r="U19" s="953"/>
      <c r="V19" s="953"/>
      <c r="W19" s="953"/>
      <c r="X19" s="954"/>
      <c r="Y19" s="959">
        <f>SUM(F19:X19)</f>
        <v>1.2807348730208759</v>
      </c>
      <c r="Z19" s="960">
        <f t="shared" si="0"/>
        <v>1.2806945652086403</v>
      </c>
      <c r="AA19" s="396">
        <f>ABS(Z19-Y19)/Z19</f>
        <v>3.1473399927289963E-5</v>
      </c>
      <c r="AD19" s="80">
        <f>AJ29+AJ15</f>
        <v>1.2689594898892349</v>
      </c>
      <c r="AE19" s="396">
        <f t="shared" si="3"/>
        <v>9.2795579571013729E-3</v>
      </c>
      <c r="AI19" s="943" t="s">
        <v>854</v>
      </c>
      <c r="AJ19" s="942">
        <v>7.8153182244299698E-5</v>
      </c>
      <c r="AQ19" s="80" t="s">
        <v>724</v>
      </c>
      <c r="AR19" s="80">
        <v>1.41</v>
      </c>
    </row>
    <row r="20" spans="1:45" s="80" customFormat="1" ht="12" customHeight="1">
      <c r="A20" s="283" t="s">
        <v>784</v>
      </c>
      <c r="B20" s="289" t="str">
        <f>'EB2018'!AH1</f>
        <v xml:space="preserve"> Biogas</v>
      </c>
      <c r="C20" s="289">
        <f>'EB2018'!AH56*RSD_Balance!B4</f>
        <v>0</v>
      </c>
      <c r="D20" s="63"/>
      <c r="E20" s="962" t="s">
        <v>210</v>
      </c>
      <c r="F20" s="493"/>
      <c r="G20" s="492"/>
      <c r="H20" s="494"/>
      <c r="I20" s="493"/>
      <c r="J20" s="492"/>
      <c r="K20" s="494"/>
      <c r="L20" s="493"/>
      <c r="M20" s="492"/>
      <c r="N20" s="494"/>
      <c r="O20" s="493"/>
      <c r="P20" s="492"/>
      <c r="Q20" s="494"/>
      <c r="R20" s="486"/>
      <c r="S20" s="495"/>
      <c r="T20" s="492"/>
      <c r="U20" s="492"/>
      <c r="V20" s="492"/>
      <c r="W20" s="492"/>
      <c r="X20" s="494"/>
      <c r="Y20" s="489">
        <f t="shared" si="2"/>
        <v>0</v>
      </c>
      <c r="Z20" s="456">
        <f t="shared" si="0"/>
        <v>0</v>
      </c>
      <c r="AI20" s="943" t="s">
        <v>855</v>
      </c>
      <c r="AJ20" s="942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51" t="s">
        <v>211</v>
      </c>
      <c r="F21" s="952"/>
      <c r="G21" s="953"/>
      <c r="H21" s="954"/>
      <c r="I21" s="952"/>
      <c r="J21" s="953"/>
      <c r="K21" s="954"/>
      <c r="L21" s="952"/>
      <c r="M21" s="953"/>
      <c r="N21" s="954"/>
      <c r="O21" s="952"/>
      <c r="P21" s="953"/>
      <c r="Q21" s="954"/>
      <c r="R21" s="961"/>
      <c r="S21" s="952"/>
      <c r="T21" s="953"/>
      <c r="U21" s="953"/>
      <c r="V21" s="953"/>
      <c r="W21" s="953"/>
      <c r="X21" s="954"/>
      <c r="Y21" s="959">
        <f t="shared" si="2"/>
        <v>0</v>
      </c>
      <c r="Z21" s="960">
        <f t="shared" si="0"/>
        <v>0</v>
      </c>
      <c r="AI21" s="943" t="s">
        <v>411</v>
      </c>
      <c r="AJ21" s="942">
        <v>2.3626993757787398</v>
      </c>
    </row>
    <row r="22" spans="1:45" s="80" customFormat="1" ht="12" customHeight="1">
      <c r="A22" s="283" t="s">
        <v>829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64" t="s">
        <v>836</v>
      </c>
      <c r="F22" s="493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2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4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3">
        <f>('SHWLP-Apt'!$AC$38/('SHWLP-Apt'!$AC$12+'SHWLP-Att'!$AC$12+'SHWLP-Det'!$AC$12+'SHWLP-Apt'!$AC$38+'SHWLP-Att'!$AC$38+'SHWLP-Det'!$AC$38+'SHWLP-Apt'!AC50))</f>
        <v>0.30865202858270147</v>
      </c>
      <c r="J22" s="492">
        <f>('SHWLP-Att'!$AC$38/('SHWLP-Apt'!$AC$12+'SHWLP-Att'!$AC$12+'SHWLP-Det'!$AC$12+'SHWLP-Apt'!$AC$38+'SHWLP-Att'!$AC$38+'SHWLP-Det'!$AC$38+'SHWLP-Att'!AC50))</f>
        <v>0.14724077582745962</v>
      </c>
      <c r="K22" s="494">
        <f>('SHWLP-Det'!$AC$38/('SHWLP-Apt'!$AC$12+'SHWLP-Att'!$AC$12+'SHWLP-Det'!$AC$12+'SHWLP-Apt'!$AC$38+'SHWLP-Att'!$AC$38+'SHWLP-Det'!$AC$38+'SHWLP-Det'!AC50))</f>
        <v>8.7721246646459097E-2</v>
      </c>
      <c r="L22" s="493"/>
      <c r="M22" s="492"/>
      <c r="N22" s="494"/>
      <c r="O22" s="493"/>
      <c r="P22" s="492"/>
      <c r="Q22" s="494"/>
      <c r="R22" s="486"/>
      <c r="S22" s="495"/>
      <c r="T22" s="492"/>
      <c r="U22" s="492"/>
      <c r="V22" s="492"/>
      <c r="W22" s="492"/>
      <c r="X22" s="494"/>
      <c r="Y22" s="496">
        <f>SUM(F22:X22)</f>
        <v>0.93251301761267114</v>
      </c>
      <c r="Z22" s="497">
        <f t="shared" si="0"/>
        <v>1.1776284562901849</v>
      </c>
      <c r="AA22" s="922">
        <f>ABS(Z22+Z27-Y22-Y27)/(Z22+Z27)</f>
        <v>1.4975926174810547E-5</v>
      </c>
      <c r="AD22" s="80">
        <f>AJ8+AJ18+AJ24</f>
        <v>2.2054176010201956</v>
      </c>
      <c r="AE22" s="396">
        <f>ABS(AD22-Y22)/SUM(AD22+AD27)</f>
        <v>0.57717168069153735</v>
      </c>
      <c r="AI22" s="943" t="s">
        <v>856</v>
      </c>
      <c r="AJ22" s="942">
        <v>2.1879412797081899E-5</v>
      </c>
    </row>
    <row r="23" spans="1:45" s="80" customFormat="1" ht="12" customHeight="1">
      <c r="A23" s="282" t="s">
        <v>785</v>
      </c>
      <c r="B23" s="288" t="s">
        <v>213</v>
      </c>
      <c r="C23" s="288">
        <f>'EB2018'!AI56*RSD_Balance!B4*0.5</f>
        <v>0</v>
      </c>
      <c r="D23" s="63"/>
      <c r="E23" s="951" t="s">
        <v>212</v>
      </c>
      <c r="F23" s="952">
        <f>'SHWLP-Apt'!$AC$9</f>
        <v>1.6411258099618979E-8</v>
      </c>
      <c r="G23" s="953">
        <f>'SHWLP-Att'!$AC$9</f>
        <v>0</v>
      </c>
      <c r="H23" s="954">
        <f>'SHWLP-Det'!$AC$9</f>
        <v>0</v>
      </c>
      <c r="I23" s="952">
        <f>'SHWLP-Apt'!$AC$35</f>
        <v>4.395559180299348E-5</v>
      </c>
      <c r="J23" s="953">
        <f>'SHWLP-Att'!$AC$35</f>
        <v>2.1879412797081848E-5</v>
      </c>
      <c r="K23" s="954">
        <f>'SHWLP-Det'!$AC$35</f>
        <v>7.4096000727488155E-5</v>
      </c>
      <c r="L23" s="952"/>
      <c r="M23" s="953"/>
      <c r="N23" s="954"/>
      <c r="O23" s="952"/>
      <c r="P23" s="953"/>
      <c r="Q23" s="954"/>
      <c r="R23" s="961"/>
      <c r="S23" s="952"/>
      <c r="T23" s="953"/>
      <c r="U23" s="953"/>
      <c r="V23" s="953"/>
      <c r="W23" s="953"/>
      <c r="X23" s="954"/>
      <c r="Y23" s="959">
        <f t="shared" si="2"/>
        <v>1.3994741658566312E-4</v>
      </c>
      <c r="Z23" s="960">
        <f t="shared" si="0"/>
        <v>0</v>
      </c>
      <c r="AA23" s="54"/>
      <c r="AI23" s="943" t="s">
        <v>857</v>
      </c>
      <c r="AJ23" s="942">
        <v>6.3135409508426799</v>
      </c>
    </row>
    <row r="24" spans="1:45" s="80" customFormat="1" ht="12" customHeight="1">
      <c r="A24" s="283" t="s">
        <v>786</v>
      </c>
      <c r="B24" s="289" t="s">
        <v>215</v>
      </c>
      <c r="C24" s="289">
        <f>'EB2018'!AI56*RSD_Balance!B4*0.5</f>
        <v>0</v>
      </c>
      <c r="D24" s="63"/>
      <c r="E24" s="962" t="s">
        <v>214</v>
      </c>
      <c r="F24" s="493">
        <f>'SHWLP-Apt'!$AC$8</f>
        <v>2.2877293790868852E-5</v>
      </c>
      <c r="G24" s="492">
        <f>'SHWLP-Att'!$AC$8</f>
        <v>2.872353931024329E-5</v>
      </c>
      <c r="H24" s="494">
        <f>'SHWLP-Det'!$AC$8</f>
        <v>0</v>
      </c>
      <c r="I24" s="493">
        <f>'SHWLP-Apt'!$AC$34</f>
        <v>4.8644706191773872E-5</v>
      </c>
      <c r="J24" s="492">
        <f>'SHWLP-Att'!$AC$34</f>
        <v>7.8153182244299725E-5</v>
      </c>
      <c r="K24" s="494">
        <f>'SHWLP-Det'!$AC$34</f>
        <v>6.5413263264443806E-5</v>
      </c>
      <c r="L24" s="493"/>
      <c r="M24" s="492"/>
      <c r="N24" s="494"/>
      <c r="O24" s="493"/>
      <c r="P24" s="492"/>
      <c r="Q24" s="494"/>
      <c r="R24" s="486"/>
      <c r="S24" s="495"/>
      <c r="T24" s="492"/>
      <c r="U24" s="492"/>
      <c r="V24" s="492"/>
      <c r="W24" s="492"/>
      <c r="X24" s="494"/>
      <c r="Y24" s="489">
        <f t="shared" si="2"/>
        <v>2.4381198480162954E-4</v>
      </c>
      <c r="Z24" s="456">
        <f t="shared" si="0"/>
        <v>0</v>
      </c>
      <c r="AA24" s="54"/>
      <c r="AI24" s="943" t="s">
        <v>409</v>
      </c>
      <c r="AJ24" s="942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63" t="s">
        <v>216</v>
      </c>
      <c r="F25" s="952"/>
      <c r="G25" s="953"/>
      <c r="H25" s="954"/>
      <c r="I25" s="952"/>
      <c r="J25" s="953"/>
      <c r="K25" s="954"/>
      <c r="L25" s="952"/>
      <c r="M25" s="953"/>
      <c r="N25" s="954"/>
      <c r="O25" s="952"/>
      <c r="P25" s="953"/>
      <c r="Q25" s="954"/>
      <c r="R25" s="961"/>
      <c r="S25" s="952"/>
      <c r="T25" s="953"/>
      <c r="U25" s="953"/>
      <c r="V25" s="953"/>
      <c r="W25" s="953"/>
      <c r="X25" s="954"/>
      <c r="Y25" s="959">
        <f t="shared" si="2"/>
        <v>0</v>
      </c>
      <c r="Z25" s="960">
        <f t="shared" si="0"/>
        <v>0</v>
      </c>
      <c r="AA25" s="54"/>
      <c r="AI25" s="943" t="s">
        <v>858</v>
      </c>
      <c r="AJ25" s="942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8" t="s">
        <v>613</v>
      </c>
      <c r="F26" s="493">
        <f>'SHWLP-Apt'!$AC$11+'SHWLP-Apt'!$AC$13</f>
        <v>0.72642840655037644</v>
      </c>
      <c r="G26" s="492">
        <f>'SHWLP-Att'!$AC$11+'SHWLP-Att'!$AC$13</f>
        <v>1.0928322552739964</v>
      </c>
      <c r="H26" s="494">
        <f>'SHWLP-Det'!$AC$11+'SHWLP-Det'!$AC$13</f>
        <v>1.5966848527454152</v>
      </c>
      <c r="I26" s="493">
        <f>'SHWLP-Apt'!$AC$37+'SHWLP-Apt'!$AC$39</f>
        <v>0.71770036884193256</v>
      </c>
      <c r="J26" s="492">
        <f>'SHWLP-Att'!$AC$37+'SHWLP-Att'!$AC$39</f>
        <v>0.57128023117993987</v>
      </c>
      <c r="K26" s="494">
        <f>'SHWLP-Det'!$AC$37+'SHWLP-Det'!$AC$39</f>
        <v>0.47934820777932857</v>
      </c>
      <c r="L26" s="493">
        <f>'SHWLP-Apt'!$AC$59</f>
        <v>0.33428946583697744</v>
      </c>
      <c r="M26" s="492">
        <f>'SHWLP-Att'!$AC$59</f>
        <v>1.7527820568537191</v>
      </c>
      <c r="N26" s="494">
        <f>'SHWLP-Det'!$AC$59</f>
        <v>2.7292596494240944</v>
      </c>
      <c r="O26" s="493">
        <f>'SHWLP-Apt'!$AC$60</f>
        <v>6.888328247855402E-2</v>
      </c>
      <c r="P26" s="492">
        <f>'SHWLP-Att'!$AC$60</f>
        <v>0.48537443842897676</v>
      </c>
      <c r="Q26" s="494">
        <f>'SHWLP-Det'!$AC$60</f>
        <v>0.56807842105210182</v>
      </c>
      <c r="R26" s="486">
        <v>2.051734110329881</v>
      </c>
      <c r="S26" s="495">
        <f>(T38*0.0000000036)*(DwellingStocks!L28*RSD_Balance!U38)</f>
        <v>1.4117078065859998</v>
      </c>
      <c r="T26" s="492">
        <f>(T36*0.0000000036)*(DwellingStocks!L28*RSD_Balance!U36)</f>
        <v>1.1023237905322498</v>
      </c>
      <c r="U26" s="492">
        <f>(T37*0.0000000036)*(DwellingStocks!L28*RSD_Balance!U37)</f>
        <v>1.7147299705763039</v>
      </c>
      <c r="V26" s="492">
        <f>(T39*0.0000000036)*(DwellingStocks!L28*RSD_Balance!U39)</f>
        <v>1.1862012348845998</v>
      </c>
      <c r="W26" s="492">
        <v>10.843443600154002</v>
      </c>
      <c r="X26" s="494">
        <v>0</v>
      </c>
      <c r="Y26" s="489">
        <f>SUM(F26:X26)</f>
        <v>29.433082149508451</v>
      </c>
      <c r="Z26" s="456">
        <f t="shared" si="0"/>
        <v>29.430890206847998</v>
      </c>
      <c r="AA26" s="396">
        <f>ABS(Z26-Y26)/Z26</f>
        <v>7.44776201143456E-5</v>
      </c>
      <c r="AD26" s="54">
        <f>AJ10+AJ21+AO6+AO7+AO8+AO10+AO11+AO12+AR6+AR15+AR16+AR17+AR18+AR19</f>
        <v>31.036472775515985</v>
      </c>
      <c r="AE26" s="396">
        <f t="shared" si="3"/>
        <v>5.1661496382166716E-2</v>
      </c>
      <c r="AI26" s="943" t="s">
        <v>859</v>
      </c>
      <c r="AJ26" s="942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51" t="s">
        <v>217</v>
      </c>
      <c r="F27" s="952">
        <f>'SHWLP-Apt'!$AC$24</f>
        <v>3.751289270479366E-2</v>
      </c>
      <c r="G27" s="953">
        <f>'SHWLP-Att'!$AC$24</f>
        <v>4.4456193579378724E-2</v>
      </c>
      <c r="H27" s="954">
        <f>'SHWLP-Det'!$AC$24</f>
        <v>0.14955731044202938</v>
      </c>
      <c r="I27" s="952">
        <f>'SHWLP-Apt'!$AC$50</f>
        <v>1.0162354538216969E-2</v>
      </c>
      <c r="J27" s="953">
        <f>'SHWLP-Att'!$AC$50</f>
        <v>2.3853289854202531E-3</v>
      </c>
      <c r="K27" s="954">
        <f>'SHWLP-Det'!$AC$50</f>
        <v>1.0237223508519498E-3</v>
      </c>
      <c r="L27" s="952"/>
      <c r="M27" s="953"/>
      <c r="N27" s="954"/>
      <c r="O27" s="952"/>
      <c r="P27" s="953"/>
      <c r="Q27" s="954"/>
      <c r="R27" s="961"/>
      <c r="S27" s="952"/>
      <c r="T27" s="953"/>
      <c r="U27" s="953"/>
      <c r="V27" s="953"/>
      <c r="W27" s="953"/>
      <c r="X27" s="954"/>
      <c r="Y27" s="504">
        <f>SUM(F27:X27)</f>
        <v>0.24509780260069097</v>
      </c>
      <c r="Z27" s="498">
        <f t="shared" si="0"/>
        <v>0</v>
      </c>
      <c r="AA27" s="922">
        <f>ABS(Z22+Z27-Y22-Y27)/(Z22+Z27)</f>
        <v>1.4975926174810547E-5</v>
      </c>
      <c r="AI27" s="943" t="s">
        <v>412</v>
      </c>
      <c r="AJ27" s="942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80" t="s">
        <v>502</v>
      </c>
      <c r="F28" s="580">
        <f>SUM('SHWLP-Apt'!AC20:AC22)</f>
        <v>8.0306945735614532E-2</v>
      </c>
      <c r="G28" s="580">
        <f>SUM('SHWLP-Att'!AC20:AC22)</f>
        <v>2.5365387026370665</v>
      </c>
      <c r="H28" s="580">
        <f>SUM('SHWLP-Det'!AC20:AC22)</f>
        <v>6.7042583807020266</v>
      </c>
      <c r="I28" s="580">
        <f>SUM('SHWLP-Apt'!AC46:AC48)</f>
        <v>8.8177086195802782E-3</v>
      </c>
      <c r="J28" s="580">
        <f>SUM('SHWLP-Att'!AC46:AC48)</f>
        <v>0.48732257014454378</v>
      </c>
      <c r="K28" s="580">
        <f>SUM('SHWLP-Det'!AC46:AC48)</f>
        <v>0.5222552925680668</v>
      </c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580"/>
      <c r="Y28" s="580">
        <f>SUM(F28:K28)</f>
        <v>10.339499600406898</v>
      </c>
      <c r="Z28" s="581"/>
      <c r="AA28" s="396"/>
      <c r="AD28" s="54"/>
      <c r="AI28" s="943" t="s">
        <v>860</v>
      </c>
      <c r="AJ28" s="942">
        <v>0.56017671356000898</v>
      </c>
    </row>
    <row r="29" spans="1:45" ht="13.5" thickBot="1">
      <c r="A29" s="54"/>
      <c r="B29" s="54"/>
      <c r="C29" s="54"/>
      <c r="D29" s="54"/>
      <c r="E29" s="54"/>
      <c r="F29" s="457">
        <f>SUM(F9:F27)</f>
        <v>2.7620518214592935</v>
      </c>
      <c r="G29" s="457">
        <f t="shared" ref="G29:K29" si="4">SUM(G9:G27)</f>
        <v>28.057733461536916</v>
      </c>
      <c r="H29" s="457">
        <f t="shared" si="4"/>
        <v>47.449103710290977</v>
      </c>
      <c r="I29" s="457">
        <f t="shared" si="4"/>
        <v>1.9309486846727868</v>
      </c>
      <c r="J29" s="457">
        <f t="shared" si="4"/>
        <v>9.7308635918514756</v>
      </c>
      <c r="K29" s="457">
        <f t="shared" si="4"/>
        <v>11.77321928343642</v>
      </c>
      <c r="L29" s="459">
        <f t="shared" ref="L29:X29" si="5">SUM(L9:L27)</f>
        <v>0.33428946583697744</v>
      </c>
      <c r="M29" s="459">
        <f t="shared" si="5"/>
        <v>1.7527820568537191</v>
      </c>
      <c r="N29" s="459">
        <f t="shared" si="5"/>
        <v>2.7292596494240944</v>
      </c>
      <c r="O29" s="459">
        <f t="shared" si="5"/>
        <v>6.888328247855402E-2</v>
      </c>
      <c r="P29" s="459">
        <f t="shared" si="5"/>
        <v>0.48537443842897676</v>
      </c>
      <c r="Q29" s="459">
        <f t="shared" si="5"/>
        <v>0.56807842105210182</v>
      </c>
      <c r="R29" s="583">
        <f t="shared" si="5"/>
        <v>2.7611554513679644</v>
      </c>
      <c r="S29" s="459">
        <f t="shared" si="5"/>
        <v>1.4117078065859998</v>
      </c>
      <c r="T29" s="459">
        <f t="shared" si="5"/>
        <v>1.1023237905322498</v>
      </c>
      <c r="U29" s="459">
        <f t="shared" si="5"/>
        <v>1.7147299705763039</v>
      </c>
      <c r="V29" s="459">
        <f t="shared" si="5"/>
        <v>1.1862012348845998</v>
      </c>
      <c r="W29" s="582">
        <f t="shared" si="5"/>
        <v>10.843443600154002</v>
      </c>
      <c r="X29" s="459">
        <f t="shared" si="5"/>
        <v>0</v>
      </c>
      <c r="Y29" s="902">
        <f>SUM(Y9:Y27)</f>
        <v>126.66214972142345</v>
      </c>
      <c r="Z29" s="901">
        <f>SUM(Z9:Z27)</f>
        <v>126.68456757434075</v>
      </c>
      <c r="AA29" s="396">
        <f>ABS(Z29-Y29)/Z29</f>
        <v>1.7695804111376911E-4</v>
      </c>
      <c r="AB29" s="80"/>
      <c r="AC29" s="80"/>
      <c r="AD29" s="901">
        <f>SUM(AD9:AD27)</f>
        <v>122.9150304745302</v>
      </c>
      <c r="AE29" s="80"/>
      <c r="AF29" s="80"/>
      <c r="AG29" s="80"/>
      <c r="AH29" s="80"/>
      <c r="AI29" s="943" t="s">
        <v>861</v>
      </c>
      <c r="AJ29" s="942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7">
        <f>SUM(F29:H29)</f>
        <v>78.268888993287192</v>
      </c>
      <c r="G30" s="458">
        <f>F30/$Y$29</f>
        <v>0.61793431712180158</v>
      </c>
      <c r="H30" s="340"/>
      <c r="I30" s="459">
        <f>SUM(I29:K29)</f>
        <v>23.435031559960684</v>
      </c>
      <c r="J30" s="458">
        <f>I30/$Y$29</f>
        <v>0.18502000488309192</v>
      </c>
      <c r="K30" s="340"/>
      <c r="L30" s="459">
        <f>SUM(L29:N29)</f>
        <v>4.8163311721147908</v>
      </c>
      <c r="M30" s="458">
        <f>L30/$Y$29</f>
        <v>3.8025023124174592E-2</v>
      </c>
      <c r="N30" s="340"/>
      <c r="O30" s="459">
        <f>SUM(O29:Q29)</f>
        <v>1.1223361419596327</v>
      </c>
      <c r="P30" s="458">
        <f>O30/$Y$29</f>
        <v>8.8608644684150858E-3</v>
      </c>
      <c r="Q30" s="340"/>
      <c r="R30" s="458">
        <f>R29/$Y$29</f>
        <v>2.1799373036386627E-2</v>
      </c>
      <c r="S30" s="459">
        <f>SUM(S29:X29)</f>
        <v>16.258406402733154</v>
      </c>
      <c r="T30" s="458">
        <f>S30/$Y$29</f>
        <v>0.12836041736612996</v>
      </c>
      <c r="U30" s="340"/>
      <c r="V30" s="340"/>
      <c r="W30" s="340"/>
      <c r="X30" s="340"/>
      <c r="Y30" s="460">
        <f>T30+R30+P30++M30+J30+G30</f>
        <v>0.99999999999999978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38"/>
      <c r="Z31" s="938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39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78.268888993287192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23.435031559960684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75"/>
      <c r="S35" s="976" t="s">
        <v>505</v>
      </c>
      <c r="T35" s="976" t="s">
        <v>504</v>
      </c>
      <c r="U35" s="977" t="s">
        <v>506</v>
      </c>
      <c r="V35" s="54"/>
      <c r="W35" s="54"/>
      <c r="X35" s="54"/>
      <c r="Y35" s="54" t="str">
        <f>O7</f>
        <v>Pumps &amp; Fans</v>
      </c>
      <c r="Z35" s="61">
        <f>O30</f>
        <v>1.1223361419596327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081" t="s">
        <v>225</v>
      </c>
      <c r="S36" s="1082"/>
      <c r="T36" s="59">
        <v>185</v>
      </c>
      <c r="U36" s="978">
        <v>0.97499999999999998</v>
      </c>
      <c r="V36" s="54"/>
      <c r="W36" s="54"/>
      <c r="X36" s="54"/>
      <c r="Y36" s="54" t="str">
        <f>L7</f>
        <v>Lighting</v>
      </c>
      <c r="Z36" s="61">
        <f>L30</f>
        <v>4.8163311721147908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081" t="s">
        <v>226</v>
      </c>
      <c r="S37" s="1082"/>
      <c r="T37" s="54">
        <v>433</v>
      </c>
      <c r="U37" s="978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081" t="s">
        <v>224</v>
      </c>
      <c r="S38" s="1082"/>
      <c r="T38" s="54">
        <v>231</v>
      </c>
      <c r="U38" s="978">
        <v>1</v>
      </c>
      <c r="V38" s="54"/>
      <c r="W38" s="54"/>
      <c r="X38" s="54"/>
      <c r="Y38" s="54" t="str">
        <f>S7</f>
        <v>Appliances</v>
      </c>
      <c r="Z38" s="61">
        <f>S30</f>
        <v>16.258406402733154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083" t="s">
        <v>227</v>
      </c>
      <c r="S39" s="1084"/>
      <c r="T39" s="979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105" t="s">
        <v>558</v>
      </c>
      <c r="C4" s="1106"/>
      <c r="D4" s="1106"/>
      <c r="E4" s="1106"/>
      <c r="F4" s="1106"/>
      <c r="G4" s="1106"/>
      <c r="H4" s="1106"/>
      <c r="I4" s="1106"/>
      <c r="J4" s="1106"/>
      <c r="K4" s="1106"/>
      <c r="L4" s="1106"/>
      <c r="M4" s="467"/>
      <c r="O4" s="1105" t="s">
        <v>560</v>
      </c>
      <c r="P4" s="1106"/>
      <c r="Q4" s="1106"/>
      <c r="R4" s="1106"/>
      <c r="S4" s="1106"/>
      <c r="T4" s="1106"/>
      <c r="U4" s="1106"/>
      <c r="V4" s="1106"/>
      <c r="W4" s="1106"/>
      <c r="X4" s="1106"/>
      <c r="Y4" s="1106"/>
      <c r="Z4" s="98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09" t="s">
        <v>567</v>
      </c>
      <c r="AZ18" s="1109"/>
      <c r="BA18" s="1109"/>
      <c r="BB18" s="1109"/>
      <c r="BC18" s="1109"/>
      <c r="BD18" s="1109"/>
      <c r="BE18" s="1109"/>
      <c r="BF18" s="1109"/>
      <c r="BG18" s="1109"/>
      <c r="BH18" s="1109"/>
      <c r="BI18" s="1109"/>
      <c r="BJ18" s="1109"/>
      <c r="BL18" s="1109" t="s">
        <v>877</v>
      </c>
      <c r="BM18" s="1109"/>
      <c r="BN18" s="1109"/>
      <c r="BO18" s="1109"/>
      <c r="BP18" s="1109"/>
      <c r="BQ18" s="1109"/>
      <c r="BR18" s="1109"/>
      <c r="BS18" s="1109"/>
      <c r="BT18" s="1109"/>
      <c r="BU18" s="1109"/>
      <c r="BV18" s="1109"/>
      <c r="BW18" s="1109"/>
      <c r="BX18" s="1109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5" t="s">
        <v>559</v>
      </c>
      <c r="C19" s="1106"/>
      <c r="D19" s="1106"/>
      <c r="E19" s="1106"/>
      <c r="F19" s="1106"/>
      <c r="G19" s="1106"/>
      <c r="H19" s="1106"/>
      <c r="I19" s="1106"/>
      <c r="J19" s="1106"/>
      <c r="K19" s="1106"/>
      <c r="L19" s="1106"/>
      <c r="M19" s="1106"/>
      <c r="O19" s="1105" t="s">
        <v>560</v>
      </c>
      <c r="P19" s="1106"/>
      <c r="Q19" s="1106"/>
      <c r="R19" s="1106"/>
      <c r="S19" s="1106"/>
      <c r="T19" s="1106"/>
      <c r="U19" s="1106"/>
      <c r="V19" s="1106"/>
      <c r="W19" s="1106"/>
      <c r="X19" s="1106"/>
      <c r="Y19" s="1106"/>
      <c r="Z19" s="1106"/>
      <c r="AB19" s="1105" t="s">
        <v>561</v>
      </c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N19" s="1107" t="s">
        <v>562</v>
      </c>
      <c r="AO19" s="1108"/>
      <c r="AP19" s="1108"/>
      <c r="AQ19" s="1108"/>
      <c r="AR19" s="1108"/>
      <c r="AS19" s="1108"/>
      <c r="AT19" s="1108"/>
      <c r="AU19" s="1108"/>
      <c r="AV19" s="1108"/>
      <c r="AW19" s="1108"/>
      <c r="AY19" s="1104" t="s">
        <v>563</v>
      </c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L19" s="1104" t="s">
        <v>568</v>
      </c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  <c r="BX19" s="1104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2" style="80" bestFit="1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72" t="s">
        <v>230</v>
      </c>
      <c r="D2" s="572"/>
      <c r="M2" s="572" t="s">
        <v>230</v>
      </c>
      <c r="N2" s="573"/>
    </row>
    <row r="3" spans="1:21" ht="15">
      <c r="C3" s="34" t="s">
        <v>765</v>
      </c>
      <c r="D3" s="34"/>
      <c r="E3" s="575"/>
      <c r="F3" s="575"/>
      <c r="G3" s="575"/>
      <c r="H3" s="575"/>
      <c r="I3" s="575"/>
      <c r="J3" s="575"/>
      <c r="K3" s="574"/>
      <c r="M3" s="34" t="s">
        <v>765</v>
      </c>
      <c r="N3" s="66"/>
      <c r="O3" s="66"/>
      <c r="P3" s="66"/>
      <c r="Q3" s="66"/>
      <c r="R3" s="66"/>
      <c r="S3" s="66"/>
      <c r="T3" s="66"/>
      <c r="U3" s="574"/>
    </row>
    <row r="4" spans="1:21" ht="15.75" thickBot="1">
      <c r="C4" s="35" t="s">
        <v>231</v>
      </c>
      <c r="D4" s="35" t="s">
        <v>766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766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767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767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827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827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827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273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_xlfn.TEXTJOIN("",TRUE,SETUP!B$3,SETUP!B$50,"_",SETUP!B$36)</f>
        <v>RSDSH_Apt</v>
      </c>
      <c r="P9" s="51" t="str">
        <f>_xlfn.TEXTJOIN(" ",TRUE,SETUP!C$3,SETUP!C$50,SETUP!C$36)</f>
        <v>Residential Space Heating Apartment</v>
      </c>
      <c r="Q9" s="273" t="s">
        <v>13</v>
      </c>
      <c r="R9" s="273"/>
      <c r="S9" s="273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_xlfn.TEXTJOIN("",TRUE,SETUP!B$3,SETUP!B$50,"_",SETUP!B$37)</f>
        <v>RSDSH_Att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_xlfn.TEXTJOIN("",TRUE,SETUP!B$3,SETUP!B$50,"_",SETUP!B$38)</f>
        <v>RSDSH_Det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_xlfn.TEXTJOIN("",TRUE,SETUP!B$3,SETUP!B$51,"_",SETUP!B$36)</f>
        <v>RSDSC_Apt</v>
      </c>
      <c r="P12" s="51" t="str">
        <f>_xlfn.TEXTJOIN(" ",TRUE,SETUP!C$3,SETUP!C$51,SETUP!C$36)</f>
        <v>Residential Space Cooling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_xlfn.TEXTJOIN("",TRUE,SETUP!B$3,SETUP!B$51,"_",SETUP!B$37)</f>
        <v>RSDSC_Att</v>
      </c>
      <c r="P13" s="51" t="str">
        <f>_xlfn.TEXTJOIN(" ",TRUE,SETUP!C$3,SETUP!C$51,SETUP!C$37)</f>
        <v>Residential Space Cooling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_xlfn.TEXTJOIN("",TRUE,SETUP!B$3,SETUP!B$51,"_",SETUP!B$38)</f>
        <v>RSDSC_Det</v>
      </c>
      <c r="P14" s="274" t="str">
        <f>_xlfn.TEXTJOIN(" ",TRUE,SETUP!C$3,SETUP!C$51,SETUP!C$38)</f>
        <v>Residential Space Cooling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_xlfn.TEXTJOIN("",TRUE,SETUP!B$3,SETUP!B$52,"_",SETUP!B$36)</f>
        <v>RSDWH_Apt</v>
      </c>
      <c r="P15" s="51" t="str">
        <f>_xlfn.TEXTJOIN(" ",TRUE,SETUP!C$3,SETUP!C$52,SETUP!C$36)</f>
        <v>Residential Water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_xlfn.TEXTJOIN("",TRUE,SETUP!B$3,SETUP!B$52,"_",SETUP!B$37)</f>
        <v>RSDWH_Att</v>
      </c>
      <c r="P16" s="51" t="str">
        <f>_xlfn.TEXTJOIN(" ",TRUE,SETUP!C$3,SETUP!C$52,SETUP!C$37)</f>
        <v>Residential Water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_xlfn.TEXTJOIN("",TRUE,SETUP!B$3,SETUP!B$52,"_",SETUP!B$38)</f>
        <v>RSDWH_Det</v>
      </c>
      <c r="P17" s="274" t="str">
        <f>_xlfn.TEXTJOIN(" ",TRUE,SETUP!C$3,SETUP!C$52,SETUP!C$38)</f>
        <v>Residential Water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_xlfn.TEXTJOIN("",TRUE,SETUP!B$3,SETUP!B$53,"_",SETUP!B$36)</f>
        <v>RSDLT_Apt</v>
      </c>
      <c r="P18" s="51" t="str">
        <f>_xlfn.TEXTJOIN(" ",TRUE,SETUP!C$3,SETUP!C$53,SETUP!C$36)</f>
        <v>Residential Lighting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_xlfn.TEXTJOIN("",TRUE,SETUP!B$3,SETUP!B$53,"_",SETUP!B$37)</f>
        <v>RSDLT_Att</v>
      </c>
      <c r="P19" s="51" t="str">
        <f>_xlfn.TEXTJOIN(" ",TRUE,SETUP!C$3,SETUP!C$53,SETUP!C$37)</f>
        <v>Residential Lighting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_xlfn.TEXTJOIN("",TRUE,SETUP!B$3,SETUP!B$53,"_",SETUP!B$38)</f>
        <v>RSDLT_Det</v>
      </c>
      <c r="P20" s="274" t="str">
        <f>_xlfn.TEXTJOIN(" ",TRUE,SETUP!C$3,SETUP!C$53,SETUP!C$38)</f>
        <v>Residential Lighting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_xlfn.TEXTJOIN("",TRUE,SETUP!B$3,SETUP!B$54,"_",SETUP!B$36)</f>
        <v>RSDPF_Apt</v>
      </c>
      <c r="P21" s="51" t="str">
        <f>_xlfn.TEXTJOIN(" ",TRUE,SETUP!C$3,SETUP!C$54,SETUP!C$36)</f>
        <v>Residential Pumps &amp; Fans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_xlfn.TEXTJOIN("",TRUE,SETUP!B$3,SETUP!B$54,"_",SETUP!B$37)</f>
        <v>RSDPF_Att</v>
      </c>
      <c r="P22" s="51" t="str">
        <f>_xlfn.TEXTJOIN(" ",TRUE,SETUP!C$3,SETUP!C$54,SETUP!C$37)</f>
        <v>Residential Pumps &amp; Fans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_xlfn.TEXTJOIN("",TRUE,SETUP!B$3,SETUP!B$54,"_",SETUP!B$38)</f>
        <v>RSDPF_Det</v>
      </c>
      <c r="P23" s="274" t="str">
        <f>_xlfn.TEXTJOIN(" ",TRUE,SETUP!C$3,SETUP!C$54,SETUP!C$38)</f>
        <v>Residential Pumps &amp; Fans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51"/>
      <c r="N24" s="51"/>
      <c r="O24" s="51"/>
      <c r="P24" s="51"/>
      <c r="Q24" s="51"/>
      <c r="R24" s="51"/>
      <c r="S24" s="51"/>
      <c r="T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828</v>
      </c>
      <c r="M25" s="51"/>
      <c r="N25" s="51"/>
      <c r="O25" s="51"/>
      <c r="P25" s="51"/>
      <c r="Q25" s="51"/>
      <c r="R25" s="51"/>
      <c r="S25" s="51"/>
      <c r="T25" s="51"/>
    </row>
    <row r="26" spans="1:2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51"/>
      <c r="N26" s="51"/>
      <c r="O26" s="51"/>
      <c r="P26" s="51"/>
      <c r="Q26" s="51"/>
      <c r="R26" s="51"/>
      <c r="S26" s="51"/>
      <c r="T26" s="51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</row>
    <row r="29" spans="1:2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</row>
    <row r="32" spans="1:2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</row>
    <row r="35" spans="3:2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1"/>
    </row>
    <row r="68" spans="11:21">
      <c r="K68" s="41"/>
      <c r="U68" s="51"/>
    </row>
    <row r="69" spans="11:21">
      <c r="K69" s="41"/>
      <c r="U69" s="51"/>
    </row>
    <row r="70" spans="11:21">
      <c r="K70" s="41"/>
      <c r="U70" s="51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766</v>
      </c>
      <c r="C5" s="320" t="s">
        <v>232</v>
      </c>
      <c r="D5" s="508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86" t="s">
        <v>252</v>
      </c>
      <c r="E6" s="986" t="s">
        <v>252</v>
      </c>
      <c r="F6" s="986" t="s">
        <v>252</v>
      </c>
      <c r="G6" s="986" t="s">
        <v>252</v>
      </c>
      <c r="H6" s="986" t="s">
        <v>252</v>
      </c>
      <c r="I6" s="986" t="s">
        <v>252</v>
      </c>
      <c r="J6" s="986" t="s">
        <v>252</v>
      </c>
      <c r="K6" s="986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81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87">
        <v>0</v>
      </c>
      <c r="M7" s="467"/>
      <c r="N7" s="467"/>
      <c r="O7" s="467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82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88">
        <v>0.01</v>
      </c>
      <c r="M8" s="467"/>
      <c r="N8" s="467"/>
      <c r="O8" s="467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83" t="str">
        <f>COMM!E28</f>
        <v>RSDN2O</v>
      </c>
      <c r="D9" s="989">
        <v>0</v>
      </c>
      <c r="E9" s="990"/>
      <c r="F9" s="991"/>
      <c r="G9" s="991"/>
      <c r="H9" s="990"/>
      <c r="I9" s="990"/>
      <c r="J9" s="990"/>
      <c r="K9" s="992"/>
      <c r="M9" s="467"/>
      <c r="N9" s="467"/>
      <c r="O9" s="467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84" t="str">
        <f>COMM!E29</f>
        <v>RSDSO2N</v>
      </c>
      <c r="D10" s="993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94">
        <v>5.9999999999999995E-4</v>
      </c>
      <c r="M10" s="467"/>
      <c r="N10" s="467"/>
      <c r="O10" s="467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83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95"/>
      <c r="M11" s="467"/>
      <c r="N11" s="467"/>
      <c r="O11" s="467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85" t="str">
        <f>COMM!E31</f>
        <v>RSDPM25</v>
      </c>
      <c r="D12" s="996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97"/>
      <c r="M12" s="467"/>
      <c r="N12" s="467"/>
      <c r="O12" s="467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7"/>
      <c r="N13" s="467"/>
      <c r="O13" s="467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24" sqref="B24"/>
    </sheetView>
  </sheetViews>
  <sheetFormatPr defaultColWidth="8.85546875" defaultRowHeight="12.75"/>
  <cols>
    <col min="1" max="1" width="3.28515625" style="467" customWidth="1"/>
    <col min="2" max="2" width="11.28515625" style="467" customWidth="1"/>
    <col min="3" max="3" width="15.85546875" style="467" bestFit="1" customWidth="1"/>
    <col min="4" max="4" width="24" style="467" bestFit="1" customWidth="1"/>
    <col min="5" max="5" width="12.85546875" style="467" bestFit="1" customWidth="1"/>
    <col min="6" max="6" width="7.85546875" style="467" bestFit="1" customWidth="1"/>
    <col min="7" max="7" width="13.28515625" style="467" bestFit="1" customWidth="1"/>
    <col min="8" max="8" width="3.7109375" style="467" customWidth="1"/>
    <col min="9" max="9" width="9.85546875" style="467" customWidth="1"/>
    <col min="10" max="10" width="10" style="467" bestFit="1" customWidth="1"/>
    <col min="11" max="11" width="15.7109375" style="467" bestFit="1" customWidth="1"/>
    <col min="12" max="12" width="44.85546875" style="467" bestFit="1" customWidth="1"/>
    <col min="13" max="13" width="6.140625" style="467" bestFit="1" customWidth="1"/>
    <col min="14" max="14" width="7" style="467" bestFit="1" customWidth="1"/>
    <col min="15" max="15" width="12.85546875" style="467" customWidth="1"/>
    <col min="16" max="16" width="13.28515625" style="467" customWidth="1"/>
    <col min="17" max="17" width="8" style="467" bestFit="1" customWidth="1"/>
    <col min="18" max="16384" width="8.85546875" style="467"/>
  </cols>
  <sheetData>
    <row r="2" spans="1:17">
      <c r="E2" s="468" t="s">
        <v>770</v>
      </c>
      <c r="F2" s="468"/>
      <c r="I2" s="469" t="s">
        <v>769</v>
      </c>
      <c r="J2" s="469"/>
      <c r="K2" s="470"/>
      <c r="L2" s="470"/>
      <c r="M2" s="470"/>
      <c r="N2" s="470"/>
      <c r="O2" s="470"/>
      <c r="P2" s="470"/>
      <c r="Q2" s="470"/>
    </row>
    <row r="3" spans="1:17">
      <c r="B3" s="471" t="s">
        <v>766</v>
      </c>
      <c r="C3" s="471" t="s">
        <v>255</v>
      </c>
      <c r="D3" s="472" t="s">
        <v>257</v>
      </c>
      <c r="E3" s="471" t="s">
        <v>258</v>
      </c>
      <c r="F3" s="471" t="s">
        <v>259</v>
      </c>
      <c r="G3" s="473" t="s">
        <v>695</v>
      </c>
      <c r="I3" s="474" t="s">
        <v>261</v>
      </c>
      <c r="J3" s="474" t="s">
        <v>766</v>
      </c>
      <c r="K3" s="474" t="s">
        <v>255</v>
      </c>
      <c r="L3" s="474" t="s">
        <v>256</v>
      </c>
      <c r="M3" s="474" t="s">
        <v>262</v>
      </c>
      <c r="N3" s="474" t="s">
        <v>263</v>
      </c>
      <c r="O3" s="474" t="s">
        <v>264</v>
      </c>
      <c r="P3" s="474" t="s">
        <v>265</v>
      </c>
      <c r="Q3" s="474" t="s">
        <v>696</v>
      </c>
    </row>
    <row r="4" spans="1:17" ht="34.5" thickBot="1">
      <c r="B4" s="475" t="s">
        <v>767</v>
      </c>
      <c r="C4" s="475" t="s">
        <v>271</v>
      </c>
      <c r="D4" s="475" t="s">
        <v>273</v>
      </c>
      <c r="E4" s="475" t="s">
        <v>274</v>
      </c>
      <c r="F4" s="475" t="s">
        <v>697</v>
      </c>
      <c r="G4" s="475" t="s">
        <v>698</v>
      </c>
      <c r="I4" s="476" t="s">
        <v>699</v>
      </c>
      <c r="J4" s="476" t="s">
        <v>767</v>
      </c>
      <c r="K4" s="476" t="s">
        <v>700</v>
      </c>
      <c r="L4" s="476" t="s">
        <v>272</v>
      </c>
      <c r="M4" s="476" t="s">
        <v>701</v>
      </c>
      <c r="N4" s="476" t="s">
        <v>702</v>
      </c>
      <c r="O4" s="476" t="s">
        <v>703</v>
      </c>
      <c r="P4" s="476" t="s">
        <v>704</v>
      </c>
      <c r="Q4" s="476" t="s">
        <v>705</v>
      </c>
    </row>
    <row r="5" spans="1:17" ht="13.5" thickBot="1">
      <c r="B5" s="475"/>
      <c r="C5" s="475" t="s">
        <v>493</v>
      </c>
      <c r="D5" s="477"/>
      <c r="E5" s="477"/>
      <c r="F5" s="477"/>
      <c r="G5" s="477" t="s">
        <v>13</v>
      </c>
      <c r="I5" s="476" t="s">
        <v>254</v>
      </c>
      <c r="J5" s="476"/>
      <c r="K5" s="478"/>
      <c r="L5" s="478"/>
      <c r="M5" s="478"/>
      <c r="N5" s="478"/>
      <c r="O5" s="478"/>
      <c r="P5" s="478"/>
      <c r="Q5" s="478"/>
    </row>
    <row r="6" spans="1:17" s="481" customFormat="1">
      <c r="A6" s="481" t="str">
        <f>COMM!A6</f>
        <v/>
      </c>
      <c r="B6" s="479" t="str">
        <f>_xlfn.TEXTJOIN(",",TRUE,IF(LEFT(Regions!$C$3,1)&lt;&gt;"*",Regions!$C$3,""),IF(LEFT(Regions!$D$3,1)&lt;&gt;"*",Regions!$D$3,""))</f>
        <v>IE,National</v>
      </c>
      <c r="C6" s="479" t="str">
        <f>_xlfn.TEXTJOIN("-",TRUE,SETUP!$B$4,COMM!E6)</f>
        <v>FT-RSDCOA</v>
      </c>
      <c r="D6" s="480" t="s">
        <v>707</v>
      </c>
      <c r="E6" s="479" t="str">
        <f>COMM!E6</f>
        <v>RSDCOA</v>
      </c>
      <c r="F6" s="481">
        <v>1</v>
      </c>
      <c r="G6" s="576"/>
      <c r="I6" s="479" t="s">
        <v>266</v>
      </c>
      <c r="J6" s="479" t="str">
        <f>_xlfn.TEXTJOIN(",",TRUE,IF(LEFT(Regions!$C$3,1)&lt;&gt;"*",Regions!$C$3,""),IF(LEFT(Regions!$D$3,1)&lt;&gt;"*",Regions!$D$3,""))</f>
        <v>IE,National</v>
      </c>
      <c r="K6" s="482" t="str">
        <f t="shared" ref="K6:K17" si="0">C6</f>
        <v>FT-RSDCOA</v>
      </c>
      <c r="L6" s="483" t="str">
        <f>_xlfn.TEXTJOIN(" ",TRUE,SETUP!$B$3,COMM!F6)</f>
        <v>RSD Coal to Residential</v>
      </c>
      <c r="M6" s="482" t="s">
        <v>13</v>
      </c>
      <c r="N6" s="482" t="s">
        <v>694</v>
      </c>
      <c r="O6" s="482"/>
      <c r="P6" s="482"/>
      <c r="Q6" s="482"/>
    </row>
    <row r="7" spans="1:17" s="481" customFormat="1">
      <c r="A7" s="481" t="str">
        <f>COMM!A7</f>
        <v/>
      </c>
      <c r="B7" s="479" t="str">
        <f>_xlfn.TEXTJOIN(",",TRUE,IF(LEFT(Regions!$C$3,1)&lt;&gt;"*",Regions!$C$3,""),IF(LEFT(Regions!$D$3,1)&lt;&gt;"*",Regions!$D$3,""))</f>
        <v>IE,National</v>
      </c>
      <c r="C7" s="479" t="str">
        <f>_xlfn.TEXTJOIN("-",TRUE,SETUP!$B$4,COMM!E7)</f>
        <v>FT-RSDPEA</v>
      </c>
      <c r="D7" s="480" t="s">
        <v>200</v>
      </c>
      <c r="E7" s="479" t="str">
        <f>COMM!E7</f>
        <v>RSDPEA</v>
      </c>
      <c r="F7" s="481">
        <v>1</v>
      </c>
      <c r="I7" s="479"/>
      <c r="J7" s="479" t="str">
        <f>_xlfn.TEXTJOIN(",",TRUE,IF(LEFT(Regions!$C$3,1)&lt;&gt;"*",Regions!$C$3,""),IF(LEFT(Regions!$D$3,1)&lt;&gt;"*",Regions!$D$3,""))</f>
        <v>IE,National</v>
      </c>
      <c r="K7" s="482" t="str">
        <f t="shared" si="0"/>
        <v>FT-RSDPEA</v>
      </c>
      <c r="L7" s="483" t="str">
        <f>_xlfn.TEXTJOIN(" ",TRUE,SETUP!$B$3,COMM!F7)</f>
        <v>RSD Peat to Residential</v>
      </c>
      <c r="M7" s="482" t="s">
        <v>13</v>
      </c>
      <c r="N7" s="482" t="s">
        <v>694</v>
      </c>
    </row>
    <row r="8" spans="1:17" s="481" customFormat="1">
      <c r="A8" s="481" t="str">
        <f>COMM!A8</f>
        <v/>
      </c>
      <c r="B8" s="479" t="str">
        <f>_xlfn.TEXTJOIN(",",TRUE,IF(LEFT(Regions!$C$3,1)&lt;&gt;"*",Regions!$C$3,""),IF(LEFT(Regions!$D$3,1)&lt;&gt;"*",Regions!$D$3,""))</f>
        <v>IE,National</v>
      </c>
      <c r="C8" s="479" t="str">
        <f>_xlfn.TEXTJOIN("-",TRUE,SETUP!$B$4,COMM!E8)</f>
        <v>FT-RSDLPG</v>
      </c>
      <c r="D8" s="480" t="s">
        <v>201</v>
      </c>
      <c r="E8" s="479" t="str">
        <f>COMM!E8</f>
        <v>RSDLPG</v>
      </c>
      <c r="F8" s="481">
        <v>1</v>
      </c>
      <c r="I8" s="479"/>
      <c r="J8" s="479" t="str">
        <f>_xlfn.TEXTJOIN(",",TRUE,IF(LEFT(Regions!$C$3,1)&lt;&gt;"*",Regions!$C$3,""),IF(LEFT(Regions!$D$3,1)&lt;&gt;"*",Regions!$D$3,""))</f>
        <v>IE,National</v>
      </c>
      <c r="K8" s="482" t="str">
        <f t="shared" si="0"/>
        <v>FT-RSDLPG</v>
      </c>
      <c r="L8" s="483" t="str">
        <f>_xlfn.TEXTJOIN(" ",TRUE,SETUP!$B$3,COMM!F8)</f>
        <v>RSD LPG to Residential</v>
      </c>
      <c r="M8" s="482" t="s">
        <v>13</v>
      </c>
      <c r="N8" s="482" t="s">
        <v>694</v>
      </c>
    </row>
    <row r="9" spans="1:17" s="481" customFormat="1">
      <c r="A9" s="481" t="str">
        <f>COMM!A10</f>
        <v/>
      </c>
      <c r="B9" s="479" t="str">
        <f>_xlfn.TEXTJOIN(",",TRUE,IF(LEFT(Regions!$C$3,1)&lt;&gt;"*",Regions!$C$3,""),IF(LEFT(Regions!$D$3,1)&lt;&gt;"*",Regions!$D$3,""))</f>
        <v>IE,National</v>
      </c>
      <c r="C9" s="479" t="str">
        <f>_xlfn.TEXTJOIN("-",TRUE,SETUP!$B$4,COMM!E10)</f>
        <v>FT-RSDKER</v>
      </c>
      <c r="D9" s="480" t="s">
        <v>203</v>
      </c>
      <c r="E9" s="479" t="str">
        <f>COMM!E10</f>
        <v>RSDKER</v>
      </c>
      <c r="F9" s="481">
        <v>1</v>
      </c>
      <c r="I9" s="479"/>
      <c r="J9" s="479" t="str">
        <f>_xlfn.TEXTJOIN(",",TRUE,IF(LEFT(Regions!$C$3,1)&lt;&gt;"*",Regions!$C$3,""),IF(LEFT(Regions!$D$3,1)&lt;&gt;"*",Regions!$D$3,""))</f>
        <v>IE,National</v>
      </c>
      <c r="K9" s="482" t="str">
        <f t="shared" si="0"/>
        <v>FT-RSDKER</v>
      </c>
      <c r="L9" s="483" t="str">
        <f>_xlfn.TEXTJOIN(" ",TRUE,SETUP!$B$3,COMM!F10)</f>
        <v>RSD Kerosene to Residential</v>
      </c>
      <c r="M9" s="482" t="s">
        <v>13</v>
      </c>
      <c r="N9" s="482" t="s">
        <v>694</v>
      </c>
    </row>
    <row r="10" spans="1:17" s="481" customFormat="1">
      <c r="A10" s="481" t="str">
        <f>COMM!A14</f>
        <v/>
      </c>
      <c r="B10" s="479" t="str">
        <f>_xlfn.TEXTJOIN(",",TRUE,IF(LEFT(Regions!$C$3,1)&lt;&gt;"*",Regions!$C$3,""),IF(LEFT(Regions!$D$3,1)&lt;&gt;"*",Regions!$D$3,""))</f>
        <v>IE,National</v>
      </c>
      <c r="C10" s="479" t="str">
        <f>_xlfn.TEXTJOIN("-",TRUE,SETUP!$B$4,COMM!E14)</f>
        <v>FT-RSDGAS</v>
      </c>
      <c r="D10" s="480" t="s">
        <v>207</v>
      </c>
      <c r="E10" s="479" t="str">
        <f>COMM!E14</f>
        <v>RSDGAS</v>
      </c>
      <c r="F10" s="481">
        <v>1</v>
      </c>
      <c r="I10" s="479"/>
      <c r="J10" s="479" t="str">
        <f>_xlfn.TEXTJOIN(",",TRUE,IF(LEFT(Regions!$C$3,1)&lt;&gt;"*",Regions!$C$3,""),IF(LEFT(Regions!$D$3,1)&lt;&gt;"*",Regions!$D$3,""))</f>
        <v>IE,National</v>
      </c>
      <c r="K10" s="482" t="str">
        <f t="shared" si="0"/>
        <v>FT-RSDGAS</v>
      </c>
      <c r="L10" s="483" t="str">
        <f>_xlfn.TEXTJOIN(" ",TRUE,SETUP!$B$3,COMM!F14)</f>
        <v>RSD Natural Gas to Residential</v>
      </c>
      <c r="M10" s="482" t="s">
        <v>13</v>
      </c>
      <c r="N10" s="482" t="s">
        <v>694</v>
      </c>
    </row>
    <row r="11" spans="1:17" s="481" customFormat="1">
      <c r="B11" s="479" t="str">
        <f>_xlfn.TEXTJOIN(",",TRUE,IF(LEFT(Regions!$C$3,1)&lt;&gt;"*",Regions!$C$3,""),IF(LEFT(Regions!$D$3,1)&lt;&gt;"*",Regions!$D$3,""))</f>
        <v>IE,National</v>
      </c>
      <c r="C11" s="479" t="str">
        <f>_xlfn.TEXTJOIN("-",TRUE,SETUP!$B$4,COMM!E15)</f>
        <v>FT-RSDSOL</v>
      </c>
      <c r="D11" s="480" t="s">
        <v>208</v>
      </c>
      <c r="E11" s="479" t="str">
        <f>COMM!E15</f>
        <v>RSDSOL</v>
      </c>
      <c r="F11" s="481">
        <v>1</v>
      </c>
      <c r="I11" s="479"/>
      <c r="J11" s="479" t="str">
        <f>_xlfn.TEXTJOIN(",",TRUE,IF(LEFT(Regions!$C$3,1)&lt;&gt;"*",Regions!$C$3,""),IF(LEFT(Regions!$D$3,1)&lt;&gt;"*",Regions!$D$3,""))</f>
        <v>IE,National</v>
      </c>
      <c r="K11" s="482" t="str">
        <f t="shared" ref="K11" si="1">C11</f>
        <v>FT-RSDSOL</v>
      </c>
      <c r="L11" s="483" t="str">
        <f>_xlfn.TEXTJOIN(" ",TRUE,SETUP!$B$3,COMM!F15)</f>
        <v>RSD Solar Thermal to Residential</v>
      </c>
      <c r="M11" s="482" t="s">
        <v>13</v>
      </c>
      <c r="N11" s="482" t="s">
        <v>694</v>
      </c>
    </row>
    <row r="12" spans="1:17" s="481" customFormat="1">
      <c r="A12" s="481" t="str">
        <f>COMM!A16</f>
        <v/>
      </c>
      <c r="B12" s="479" t="str">
        <f>_xlfn.TEXTJOIN(",",TRUE,IF(LEFT(Regions!$C$3,1)&lt;&gt;"*",Regions!$C$3,""),IF(LEFT(Regions!$D$3,1)&lt;&gt;"*",Regions!$D$3,""))</f>
        <v>IE,National</v>
      </c>
      <c r="C12" s="479" t="str">
        <f>_xlfn.TEXTJOIN("-",TRUE,SETUP!$B$4,COMM!E16)</f>
        <v>FT-RSDWOO</v>
      </c>
      <c r="D12" s="480" t="s">
        <v>823</v>
      </c>
      <c r="E12" s="479" t="str">
        <f>COMM!E16</f>
        <v>RSDWOO</v>
      </c>
      <c r="F12" s="481">
        <v>1</v>
      </c>
      <c r="J12" s="479" t="str">
        <f>_xlfn.TEXTJOIN(",",TRUE,IF(LEFT(Regions!$C$3,1)&lt;&gt;"*",Regions!$C$3,""),IF(LEFT(Regions!$D$3,1)&lt;&gt;"*",Regions!$D$3,""))</f>
        <v>IE,National</v>
      </c>
      <c r="K12" s="482" t="str">
        <f t="shared" si="0"/>
        <v>FT-RSDWOO</v>
      </c>
      <c r="L12" s="483" t="str">
        <f>_xlfn.TEXTJOIN(" ",TRUE,SETUP!$B$3,COMM!F16)</f>
        <v>RSD Biomass to Residential</v>
      </c>
      <c r="M12" s="482" t="s">
        <v>13</v>
      </c>
      <c r="N12" s="482" t="s">
        <v>694</v>
      </c>
    </row>
    <row r="13" spans="1:17" s="481" customFormat="1">
      <c r="B13" s="479" t="str">
        <f>_xlfn.TEXTJOIN(",",TRUE,IF(LEFT(Regions!$C$3,1)&lt;&gt;"*",Regions!$C$3,""),IF(LEFT(Regions!$D$3,1)&lt;&gt;"*",Regions!$D$3,""))</f>
        <v>IE,National</v>
      </c>
      <c r="C13" s="479" t="str">
        <f>_xlfn.TEXTJOIN("-",TRUE,SETUP!$B$4,COMM!E19)</f>
        <v>FT-RSDAHT</v>
      </c>
      <c r="D13" s="480" t="s">
        <v>836</v>
      </c>
      <c r="E13" s="479" t="str">
        <f>COMM!E19</f>
        <v>RSDAHT</v>
      </c>
      <c r="F13" s="481">
        <v>1</v>
      </c>
      <c r="J13" s="479" t="str">
        <f>_xlfn.TEXTJOIN(",",TRUE,IF(LEFT(Regions!$C$3,1)&lt;&gt;"*",Regions!$C$3,""),IF(LEFT(Regions!$D$3,1)&lt;&gt;"*",Regions!$D$3,""))</f>
        <v>IE,National</v>
      </c>
      <c r="K13" s="482" t="str">
        <f t="shared" ref="K13" si="2">C13</f>
        <v>FT-RSDAHT</v>
      </c>
      <c r="L13" s="483" t="str">
        <f>_xlfn.TEXTJOIN(" ",TRUE,SETUP!$B$3,COMM!F19)</f>
        <v>RSD Ambient Heat to Residential</v>
      </c>
      <c r="M13" s="482" t="s">
        <v>13</v>
      </c>
      <c r="N13" s="482" t="s">
        <v>694</v>
      </c>
    </row>
    <row r="14" spans="1:17">
      <c r="A14" s="481" t="str">
        <f>COMM!A20</f>
        <v/>
      </c>
      <c r="B14" s="479" t="str">
        <f>_xlfn.TEXTJOIN(",",TRUE,IF(LEFT(Regions!$C$3,1)&lt;&gt;"*",Regions!$C$3,""),IF(LEFT(Regions!$D$3,1)&lt;&gt;"*",Regions!$D$3,""))</f>
        <v>IE,National</v>
      </c>
      <c r="C14" s="479" t="str">
        <f>_xlfn.TEXTJOIN("-",TRUE,SETUP!$B$4,COMM!E20)</f>
        <v>FT-RSDETH</v>
      </c>
      <c r="D14" s="480" t="s">
        <v>708</v>
      </c>
      <c r="E14" s="479" t="str">
        <f>COMM!E20</f>
        <v>RSDETH</v>
      </c>
      <c r="F14" s="481">
        <v>1</v>
      </c>
      <c r="G14" s="481"/>
      <c r="J14" s="479" t="str">
        <f>_xlfn.TEXTJOIN(",",TRUE,IF(LEFT(Regions!$C$3,1)&lt;&gt;"*",Regions!$C$3,""),IF(LEFT(Regions!$D$3,1)&lt;&gt;"*",Regions!$D$3,""))</f>
        <v>IE,National</v>
      </c>
      <c r="K14" s="482" t="str">
        <f t="shared" si="0"/>
        <v>FT-RSDETH</v>
      </c>
      <c r="L14" s="483" t="str">
        <f>_xlfn.TEXTJOIN(" ",TRUE,SETUP!$B$3,COMM!F20)</f>
        <v>RSD Ethanol to Residential</v>
      </c>
      <c r="M14" s="482" t="s">
        <v>13</v>
      </c>
      <c r="N14" s="482" t="s">
        <v>694</v>
      </c>
    </row>
    <row r="15" spans="1:17">
      <c r="A15" s="481" t="str">
        <f>COMM!A21</f>
        <v/>
      </c>
      <c r="B15" s="479" t="str">
        <f>_xlfn.TEXTJOIN(",",TRUE,IF(LEFT(Regions!$C$3,1)&lt;&gt;"*",Regions!$C$3,""),IF(LEFT(Regions!$D$3,1)&lt;&gt;"*",Regions!$D$3,""))</f>
        <v>IE,National</v>
      </c>
      <c r="C15" s="479" t="str">
        <f>_xlfn.TEXTJOIN("-",TRUE,SETUP!$B$4,COMM!E21)</f>
        <v>FT-RSDBDL</v>
      </c>
      <c r="D15" s="480" t="s">
        <v>709</v>
      </c>
      <c r="E15" s="479" t="str">
        <f>COMM!E21</f>
        <v>RSDBDL</v>
      </c>
      <c r="F15" s="481">
        <v>1</v>
      </c>
      <c r="G15" s="481"/>
      <c r="J15" s="479" t="str">
        <f>_xlfn.TEXTJOIN(",",TRUE,IF(LEFT(Regions!$C$3,1)&lt;&gt;"*",Regions!$C$3,""),IF(LEFT(Regions!$D$3,1)&lt;&gt;"*",Regions!$D$3,""))</f>
        <v>IE,National</v>
      </c>
      <c r="K15" s="482" t="str">
        <f t="shared" si="0"/>
        <v>FT-RSDBDL</v>
      </c>
      <c r="L15" s="483" t="str">
        <f>_xlfn.TEXTJOIN(" ",TRUE,SETUP!$B$3,COMM!F21)</f>
        <v>RSD Biodiesel to Residential</v>
      </c>
      <c r="M15" s="482" t="s">
        <v>13</v>
      </c>
      <c r="N15" s="482" t="s">
        <v>694</v>
      </c>
    </row>
    <row r="16" spans="1:17">
      <c r="A16" s="481"/>
      <c r="B16" s="479" t="str">
        <f>_xlfn.TEXTJOIN(",",TRUE,IF(LEFT(Regions!$C$3,1)&lt;&gt;"*",Regions!$C$3,""),IF(LEFT(Regions!$D$3,1)&lt;&gt;"*",Regions!$D$3,""))</f>
        <v>IE,National</v>
      </c>
      <c r="C16" s="479" t="str">
        <f>_xlfn.TEXTJOIN("-",TRUE,SETUP!$B$4,COMM!E24)</f>
        <v>FT-RSDELC</v>
      </c>
      <c r="D16" s="480" t="s">
        <v>822</v>
      </c>
      <c r="E16" s="479" t="str">
        <f>COMM!E24</f>
        <v>RSDELC</v>
      </c>
      <c r="F16" s="481">
        <v>1</v>
      </c>
      <c r="G16" s="481"/>
      <c r="J16" s="479" t="str">
        <f>_xlfn.TEXTJOIN(",",TRUE,IF(LEFT(Regions!$C$3,1)&lt;&gt;"*",Regions!$C$3,""),IF(LEFT(Regions!$D$3,1)&lt;&gt;"*",Regions!$D$3,""))</f>
        <v>IE,National</v>
      </c>
      <c r="K16" s="482" t="str">
        <f t="shared" si="0"/>
        <v>FT-RSDELC</v>
      </c>
      <c r="L16" s="483" t="str">
        <f>_xlfn.TEXTJOIN(" ",TRUE,SETUP!$B$3,COMM!F24)</f>
        <v>RSD Electricity to Residential</v>
      </c>
      <c r="M16" s="482" t="s">
        <v>13</v>
      </c>
      <c r="N16" s="482" t="s">
        <v>694</v>
      </c>
      <c r="O16" s="467" t="s">
        <v>862</v>
      </c>
    </row>
    <row r="17" spans="1:15">
      <c r="A17" s="481"/>
      <c r="B17" s="479" t="str">
        <f>_xlfn.TEXTJOIN(",",TRUE,IF(LEFT(Regions!$C$3,1)&lt;&gt;"*",Regions!$C$3,""),IF(LEFT(Regions!$D$3,1)&lt;&gt;"*",Regions!$D$3,""))</f>
        <v>IE,National</v>
      </c>
      <c r="C17" s="479" t="str">
        <f>_xlfn.TEXTJOIN("-",TRUE,SETUP!$B$4,COMM!E25)</f>
        <v>FT-RSDHET</v>
      </c>
      <c r="D17" s="480" t="s">
        <v>824</v>
      </c>
      <c r="E17" s="479" t="str">
        <f>COMM!E25</f>
        <v>RSDHET</v>
      </c>
      <c r="F17" s="481">
        <v>1</v>
      </c>
      <c r="G17" s="481"/>
      <c r="J17" s="479" t="str">
        <f>_xlfn.TEXTJOIN(",",TRUE,IF(LEFT(Regions!$C$3,1)&lt;&gt;"*",Regions!$C$3,""),IF(LEFT(Regions!$D$3,1)&lt;&gt;"*",Regions!$D$3,""))</f>
        <v>IE,National</v>
      </c>
      <c r="K17" s="482" t="str">
        <f t="shared" si="0"/>
        <v>FT-RSDHET</v>
      </c>
      <c r="L17" s="483" t="str">
        <f>_xlfn.TEXTJOIN(" ",TRUE,SETUP!$B$3,COMM!F25)</f>
        <v>RSD Heat to Residential</v>
      </c>
      <c r="M17" s="482" t="s">
        <v>13</v>
      </c>
      <c r="N17" s="482" t="s">
        <v>694</v>
      </c>
      <c r="O17" s="467" t="s">
        <v>862</v>
      </c>
    </row>
    <row r="18" spans="1:15">
      <c r="A18" s="481"/>
      <c r="B18" s="479" t="str">
        <f>_xlfn.TEXTJOIN(",",TRUE,IF(LEFT(Regions!$C$3,1)&lt;&gt;"*",Regions!$C$3,""),IF(LEFT(Regions!$D$3,1)&lt;&gt;"*",Regions!$D$3,""))</f>
        <v>IE,National</v>
      </c>
      <c r="C18" s="479" t="str">
        <f>_xlfn.TEXTJOIN("-",TRUE,SETUP!$B$4,COMM!E17)</f>
        <v>FT-RSDBGS</v>
      </c>
      <c r="D18" s="480" t="s">
        <v>897</v>
      </c>
      <c r="E18" s="467" t="s">
        <v>896</v>
      </c>
      <c r="F18" s="481">
        <v>1</v>
      </c>
      <c r="J18" s="479" t="str">
        <f>_xlfn.TEXTJOIN(",",TRUE,IF(LEFT(Regions!$C$3,1)&lt;&gt;"*",Regions!$C$3,""),IF(LEFT(Regions!$D$3,1)&lt;&gt;"*",Regions!$D$3,""))</f>
        <v>IE,National</v>
      </c>
      <c r="K18" s="482" t="str">
        <f t="shared" ref="K18" si="3">C18</f>
        <v>FT-RSDBGS</v>
      </c>
      <c r="L18" s="483" t="str">
        <f>_xlfn.TEXTJOIN(" ",TRUE,SETUP!$B$3,COMM!F17)</f>
        <v>RSD Biogas to Residential</v>
      </c>
      <c r="M18" s="482" t="s">
        <v>13</v>
      </c>
      <c r="N18" s="482" t="s">
        <v>694</v>
      </c>
    </row>
    <row r="19" spans="1:15">
      <c r="A19" s="481"/>
      <c r="B19" s="481"/>
      <c r="C19" s="479"/>
    </row>
    <row r="20" spans="1:15">
      <c r="A20" s="481"/>
      <c r="B20" s="481"/>
      <c r="C20" s="479"/>
    </row>
    <row r="21" spans="1:15">
      <c r="A21" s="481"/>
      <c r="B21" s="481"/>
      <c r="C21" s="479"/>
    </row>
    <row r="22" spans="1:15">
      <c r="A22" s="481"/>
      <c r="B22" s="481"/>
      <c r="C22" s="479"/>
    </row>
    <row r="23" spans="1:15">
      <c r="A23" s="481"/>
      <c r="B23" s="481"/>
      <c r="C23" s="479"/>
    </row>
    <row r="24" spans="1:15">
      <c r="A24" s="481"/>
      <c r="B24" s="481" t="s">
        <v>917</v>
      </c>
      <c r="C24" s="479"/>
    </row>
    <row r="25" spans="1:15">
      <c r="A25" s="481"/>
      <c r="B25" s="481"/>
      <c r="C25" s="479"/>
    </row>
    <row r="26" spans="1:15" ht="15.75" thickBot="1">
      <c r="A26" s="481"/>
      <c r="B26" s="1061" t="s">
        <v>766</v>
      </c>
      <c r="C26" s="1061" t="s">
        <v>255</v>
      </c>
      <c r="D26" s="1061" t="s">
        <v>257</v>
      </c>
      <c r="E26" s="1061" t="s">
        <v>258</v>
      </c>
      <c r="F26" s="1061" t="s">
        <v>259</v>
      </c>
      <c r="G26" s="1061" t="s">
        <v>911</v>
      </c>
      <c r="H26" s="1061" t="s">
        <v>912</v>
      </c>
    </row>
    <row r="27" spans="1:15" ht="38.25">
      <c r="B27" s="1062" t="s">
        <v>913</v>
      </c>
      <c r="C27" s="1062" t="s">
        <v>913</v>
      </c>
      <c r="D27" s="1062" t="s">
        <v>914</v>
      </c>
      <c r="E27" s="1062" t="s">
        <v>915</v>
      </c>
      <c r="F27" s="1063" t="s">
        <v>697</v>
      </c>
      <c r="G27" s="1063" t="s">
        <v>916</v>
      </c>
      <c r="H27" s="1063" t="s">
        <v>712</v>
      </c>
    </row>
    <row r="28" spans="1:15">
      <c r="B28" s="479" t="str">
        <f>_xlfn.TEXTJOIN(",",TRUE,IF(LEFT(Regions!$C$3,1)&lt;&gt;"*",Regions!$C$3,""),IF(LEFT(Regions!$D$3,1)&lt;&gt;"*",Regions!$D$3,""))</f>
        <v>IE,National</v>
      </c>
      <c r="C28" s="479" t="str">
        <f>_xlfn.TEXTJOIN("-",TRUE,SETUP!$B$4,COMM!E14)</f>
        <v>FT-RSDGAS</v>
      </c>
      <c r="D28" s="480" t="s">
        <v>207</v>
      </c>
      <c r="E28" s="479" t="str">
        <f>COMM!E14</f>
        <v>RSDGAS</v>
      </c>
      <c r="F28" s="481">
        <v>1</v>
      </c>
      <c r="G28" s="1065">
        <v>0.8</v>
      </c>
      <c r="H28" s="467">
        <v>5</v>
      </c>
    </row>
    <row r="29" spans="1:15">
      <c r="B29" s="479" t="str">
        <f>_xlfn.TEXTJOIN(",",TRUE,IF(LEFT(Regions!$C$3,1)&lt;&gt;"*",Regions!$C$3,""),IF(LEFT(Regions!$D$3,1)&lt;&gt;"*",Regions!$D$3,""))</f>
        <v>IE,National</v>
      </c>
      <c r="C29" s="479"/>
      <c r="D29" s="480" t="s">
        <v>897</v>
      </c>
      <c r="F29" s="481">
        <v>1</v>
      </c>
      <c r="G29" s="1064">
        <v>0.2</v>
      </c>
      <c r="H29" s="467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A170"/>
  <sheetViews>
    <sheetView topLeftCell="A49" zoomScale="80" zoomScaleNormal="80" workbookViewId="0">
      <selection activeCell="L84" sqref="L84"/>
    </sheetView>
  </sheetViews>
  <sheetFormatPr defaultRowHeight="12.75"/>
  <cols>
    <col min="1" max="1" width="9.140625" style="467"/>
    <col min="2" max="2" width="10" style="467" bestFit="1" customWidth="1"/>
    <col min="3" max="3" width="15.140625" style="467" customWidth="1"/>
    <col min="4" max="4" width="30.85546875" style="467" customWidth="1"/>
    <col min="5" max="5" width="14.5703125" style="467" bestFit="1" customWidth="1"/>
    <col min="6" max="6" width="12.28515625" style="467" customWidth="1"/>
    <col min="7" max="7" width="11.28515625" style="467" bestFit="1" customWidth="1"/>
    <col min="8" max="8" width="14.140625" style="467" customWidth="1"/>
    <col min="9" max="9" width="8.7109375" style="467" bestFit="1" customWidth="1"/>
    <col min="10" max="10" width="16" style="467" customWidth="1"/>
    <col min="11" max="11" width="12.5703125" style="467" customWidth="1"/>
    <col min="12" max="12" width="11.28515625" style="467" bestFit="1" customWidth="1"/>
    <col min="13" max="13" width="10" style="467" bestFit="1" customWidth="1"/>
    <col min="14" max="14" width="10.42578125" style="467" bestFit="1" customWidth="1"/>
    <col min="15" max="15" width="29.28515625" style="467" bestFit="1" customWidth="1"/>
    <col min="16" max="16" width="14.85546875" style="467" customWidth="1"/>
    <col min="17" max="17" width="32.140625" style="467" customWidth="1"/>
    <col min="18" max="18" width="8.28515625" style="467" customWidth="1"/>
    <col min="19" max="19" width="10.42578125" style="467" bestFit="1" customWidth="1"/>
    <col min="20" max="22" width="10.42578125" style="467" customWidth="1"/>
    <col min="23" max="23" width="17.7109375" style="467" customWidth="1"/>
    <col min="24" max="24" width="10.42578125" style="467" customWidth="1"/>
    <col min="25" max="26" width="9" style="467" customWidth="1"/>
    <col min="27" max="27" width="13.85546875" style="467" customWidth="1"/>
    <col min="28" max="29" width="10.42578125" style="467" customWidth="1"/>
    <col min="30" max="30" width="16" style="467" customWidth="1"/>
    <col min="31" max="31" width="39.7109375" style="467" customWidth="1"/>
    <col min="32" max="32" width="13" style="467" customWidth="1"/>
    <col min="33" max="33" width="15.42578125" style="467" customWidth="1"/>
    <col min="34" max="34" width="9.140625" style="467"/>
    <col min="35" max="35" width="15" style="467" customWidth="1"/>
    <col min="36" max="36" width="12.42578125" style="467" customWidth="1"/>
    <col min="37" max="37" width="11.42578125" style="467" customWidth="1"/>
    <col min="38" max="45" width="9.140625" style="467"/>
    <col min="46" max="46" width="3.140625" style="467" customWidth="1"/>
    <col min="47" max="47" width="5.7109375" style="467" customWidth="1"/>
    <col min="48" max="62" width="9.140625" style="467"/>
    <col min="63" max="63" width="13.140625" style="467" customWidth="1"/>
    <col min="64" max="16384" width="9.140625" style="467"/>
  </cols>
  <sheetData>
    <row r="1" spans="2:79" ht="21">
      <c r="B1" s="69" t="s">
        <v>771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AI1" s="480"/>
      <c r="AO1" s="480"/>
      <c r="AP1" s="480"/>
      <c r="AQ1" s="480"/>
      <c r="AR1" s="480"/>
      <c r="AS1" s="480"/>
      <c r="AT1" s="480"/>
    </row>
    <row r="2" spans="2:79" ht="12" customHeight="1"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</row>
    <row r="3" spans="2:79" ht="21">
      <c r="B3" s="69" t="s">
        <v>661</v>
      </c>
      <c r="C3" s="69"/>
      <c r="D3" s="69"/>
      <c r="E3" s="69"/>
      <c r="F3" s="1040" t="s">
        <v>770</v>
      </c>
      <c r="G3" s="1040"/>
      <c r="H3" s="1040"/>
      <c r="I3" s="1040"/>
      <c r="J3" s="1040"/>
      <c r="K3" s="1040"/>
      <c r="L3" s="1040"/>
      <c r="N3" s="66" t="s">
        <v>769</v>
      </c>
      <c r="O3" s="66"/>
      <c r="P3" s="66"/>
      <c r="Q3" s="66"/>
      <c r="R3" s="66"/>
      <c r="S3" s="66"/>
      <c r="T3" s="66"/>
      <c r="U3" s="66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1041"/>
      <c r="AG3" s="1041"/>
      <c r="AH3" s="1041"/>
      <c r="AI3" s="1041"/>
      <c r="AJ3" s="1041"/>
      <c r="AK3" s="1041"/>
      <c r="AL3" s="1041"/>
      <c r="AM3" s="1041"/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/>
      <c r="BB3" s="1041"/>
      <c r="BC3" s="1041"/>
      <c r="BD3" s="1041"/>
      <c r="BE3" s="1041"/>
      <c r="BF3" s="1041"/>
      <c r="BG3" s="1041"/>
      <c r="BH3" s="1041"/>
      <c r="BI3" s="1041"/>
      <c r="BJ3" s="1041"/>
      <c r="BK3" s="1041"/>
      <c r="BL3" s="1041"/>
      <c r="BM3" s="1041"/>
      <c r="BN3" s="1041"/>
      <c r="BO3" s="1041"/>
      <c r="BP3" s="1041"/>
      <c r="BQ3" s="1041"/>
      <c r="BR3" s="1041"/>
      <c r="BS3" s="1041"/>
      <c r="BT3" s="1041"/>
      <c r="BU3" s="1041"/>
      <c r="BV3" s="1041"/>
      <c r="BW3" s="1041"/>
      <c r="BX3" s="1041"/>
      <c r="BY3" s="1041"/>
      <c r="BZ3" s="1041"/>
      <c r="CA3" s="1041"/>
    </row>
    <row r="4" spans="2:79" ht="12" customHeight="1">
      <c r="B4" s="36" t="s">
        <v>766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774</v>
      </c>
      <c r="I4" s="43" t="s">
        <v>825</v>
      </c>
      <c r="J4" s="43" t="s">
        <v>269</v>
      </c>
      <c r="K4" s="43" t="s">
        <v>270</v>
      </c>
      <c r="L4" s="43" t="s">
        <v>714</v>
      </c>
      <c r="N4" s="36" t="s">
        <v>261</v>
      </c>
      <c r="O4" s="36" t="s">
        <v>766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</row>
    <row r="5" spans="2:79" ht="26.25" thickBot="1">
      <c r="B5" s="924" t="s">
        <v>773</v>
      </c>
      <c r="C5" s="924" t="s">
        <v>271</v>
      </c>
      <c r="D5" s="924" t="s">
        <v>272</v>
      </c>
      <c r="E5" s="924" t="s">
        <v>273</v>
      </c>
      <c r="F5" s="924" t="s">
        <v>274</v>
      </c>
      <c r="G5" s="925" t="s">
        <v>275</v>
      </c>
      <c r="H5" s="925" t="s">
        <v>275</v>
      </c>
      <c r="I5" s="925"/>
      <c r="J5" s="926"/>
      <c r="K5" s="926"/>
      <c r="L5" s="926" t="s">
        <v>715</v>
      </c>
      <c r="N5" s="38" t="s">
        <v>254</v>
      </c>
      <c r="O5" s="38"/>
      <c r="P5" s="38"/>
      <c r="Q5" s="37"/>
      <c r="R5" s="38"/>
      <c r="S5" s="38"/>
      <c r="T5" s="38"/>
      <c r="U5" s="38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</row>
    <row r="6" spans="2:79" ht="15" customHeight="1" thickBot="1">
      <c r="B6" s="927" t="str">
        <f>_xlfn.TEXTJOIN(",",TRUE,IF(LEFT([1]Regions!$C$3,1)&lt;&gt;"*",[1]Regions!$C$3,""),IF(LEFT([1]Regions!$D$3,1)&lt;&gt;"*",[1]Regions!$D$3,""))</f>
        <v>IE,National</v>
      </c>
      <c r="C6" s="928" t="str">
        <f>P6</f>
        <v>R-BLD_Att_A</v>
      </c>
      <c r="D6" s="929" t="str">
        <f>Q6</f>
        <v>Residential Building Attached _ A</v>
      </c>
      <c r="E6" s="929" t="str">
        <f>[1]COMM!$O$7</f>
        <v>RSDSH_Att</v>
      </c>
      <c r="F6" s="929" t="str">
        <f>[1]COMM!$O$22</f>
        <v>RSD_Att</v>
      </c>
      <c r="G6" s="931">
        <f>Y8/1000</f>
        <v>15.47207372717674</v>
      </c>
      <c r="H6" s="931">
        <f>G6*$Y$26</f>
        <v>12.892879036856378</v>
      </c>
      <c r="I6" s="931">
        <v>1</v>
      </c>
      <c r="J6" s="929">
        <v>100</v>
      </c>
      <c r="K6" s="929">
        <v>1</v>
      </c>
      <c r="L6" s="1042">
        <f>AI48*0.796873981712218</f>
        <v>7.5784815901851145E-4</v>
      </c>
      <c r="N6" s="423" t="s">
        <v>276</v>
      </c>
      <c r="O6" s="423" t="str">
        <f>_xlfn.TEXTJOIN(",",TRUE,IF(LEFT([1]Regions!$C$3,1)&lt;&gt;"*",[1]Regions!$C$3,""),IF(LEFT([1]Regions!$D$3,1)&lt;&gt;"*",[1]Regions!$D$3,""))</f>
        <v>IE,National</v>
      </c>
      <c r="P6" s="423" t="str">
        <f>_xlfn.TEXTJOIN("",TRUE,LEFT([1]SETUP!B$3,1),"-",[1]SETUP!B$85,"_",[1]SETUP!B$37,"_",[1]SETUP!B40)</f>
        <v>R-BLD_Att_A</v>
      </c>
      <c r="Q6" s="423" t="str">
        <f>_xlfn.TEXTJOIN(" ",TRUE,[1]SETUP!C$3,[1]SETUP!C$85,[1]SETUP!C$37,"_",[1]SETUP!B40)</f>
        <v>Residential Building Attached _ A</v>
      </c>
      <c r="R6" s="423" t="s">
        <v>275</v>
      </c>
      <c r="S6" s="1043" t="s">
        <v>275</v>
      </c>
      <c r="T6" s="423"/>
      <c r="U6" s="423"/>
      <c r="V6" s="80"/>
      <c r="W6" s="1114" t="s">
        <v>572</v>
      </c>
      <c r="X6" s="1115"/>
      <c r="Y6" s="1115"/>
      <c r="Z6" s="1115"/>
      <c r="AA6" s="1116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</row>
    <row r="7" spans="2:79" ht="12" customHeight="1" thickBot="1">
      <c r="B7" s="932"/>
      <c r="C7" s="507"/>
      <c r="D7" s="506"/>
      <c r="E7" s="506" t="str">
        <f>[1]COMM!$O$10</f>
        <v>RSDSC_Att</v>
      </c>
      <c r="F7" s="506"/>
      <c r="G7" s="1044"/>
      <c r="H7" s="1044"/>
      <c r="I7" s="1044"/>
      <c r="J7" s="506"/>
      <c r="K7" s="506"/>
      <c r="L7" s="1045">
        <v>0</v>
      </c>
      <c r="N7" s="1046" t="s">
        <v>276</v>
      </c>
      <c r="O7" s="1046" t="str">
        <f>_xlfn.TEXTJOIN(",",TRUE,IF(LEFT([1]Regions!$C$3,1)&lt;&gt;"*",[1]Regions!$C$3,""),IF(LEFT([1]Regions!$D$3,1)&lt;&gt;"*",[1]Regions!$D$3,""))</f>
        <v>IE,National</v>
      </c>
      <c r="P7" s="1046" t="str">
        <f>_xlfn.TEXTJOIN("",TRUE,LEFT([1]SETUP!B$3,1),"-",[1]SETUP!B$85,"_",[1]SETUP!B$37,"_",[1]SETUP!B41)</f>
        <v>R-BLD_Att_B1</v>
      </c>
      <c r="Q7" s="1046" t="str">
        <f>_xlfn.TEXTJOIN(" ",TRUE,[1]SETUP!C$3,[1]SETUP!C$85,[1]SETUP!C$37,"_",[1]SETUP!B41)</f>
        <v>Residential Building Attached _ B1</v>
      </c>
      <c r="R7" s="1047" t="s">
        <v>275</v>
      </c>
      <c r="S7" s="1046" t="s">
        <v>275</v>
      </c>
      <c r="T7" s="1047"/>
      <c r="U7" s="1046"/>
      <c r="V7" s="80"/>
      <c r="W7" s="257" t="s">
        <v>287</v>
      </c>
      <c r="X7" s="258" t="s">
        <v>42</v>
      </c>
      <c r="Y7" s="258" t="s">
        <v>44</v>
      </c>
      <c r="Z7" s="258" t="s">
        <v>46</v>
      </c>
      <c r="AA7" s="259" t="s">
        <v>285</v>
      </c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</row>
    <row r="8" spans="2:79" ht="12" customHeight="1">
      <c r="B8" s="933"/>
      <c r="C8" s="331"/>
      <c r="D8" s="331"/>
      <c r="E8" s="331" t="str">
        <f>[1]COMM!$O$13</f>
        <v>RSDWH_Att</v>
      </c>
      <c r="F8" s="331"/>
      <c r="G8" s="1048"/>
      <c r="H8" s="1048"/>
      <c r="I8" s="1048"/>
      <c r="J8" s="331"/>
      <c r="K8" s="331"/>
      <c r="L8" s="1049">
        <f>AJ48*0.680373148422337</f>
        <v>6.1667922907240368E-3</v>
      </c>
      <c r="N8" s="423" t="s">
        <v>276</v>
      </c>
      <c r="O8" s="423" t="str">
        <f>_xlfn.TEXTJOIN(",",TRUE,IF(LEFT([1]Regions!$C$3,1)&lt;&gt;"*",[1]Regions!$C$3,""),IF(LEFT([1]Regions!$D$3,1)&lt;&gt;"*",[1]Regions!$D$3,""))</f>
        <v>IE,National</v>
      </c>
      <c r="P8" s="423" t="str">
        <f>_xlfn.TEXTJOIN("",TRUE,LEFT([1]SETUP!B$3,1),"-",[1]SETUP!B$85,"_",[1]SETUP!B$37,"_",[1]SETUP!B42)</f>
        <v>R-BLD_Att_B2</v>
      </c>
      <c r="Q8" s="423" t="str">
        <f>_xlfn.TEXTJOIN(" ",TRUE,[1]SETUP!C$3,[1]SETUP!C$85,[1]SETUP!C$37,"_",[1]SETUP!B42)</f>
        <v>Residential Building Attached _ B2</v>
      </c>
      <c r="R8" s="423" t="s">
        <v>275</v>
      </c>
      <c r="S8" s="1043" t="s">
        <v>275</v>
      </c>
      <c r="T8" s="423"/>
      <c r="U8" s="423"/>
      <c r="V8" s="80"/>
      <c r="W8" s="247" t="s">
        <v>48</v>
      </c>
      <c r="X8" s="1050">
        <v>9418.8988568067343</v>
      </c>
      <c r="Y8" s="1050">
        <v>15472.073727176739</v>
      </c>
      <c r="Z8" s="1050">
        <v>20378.706337556119</v>
      </c>
      <c r="AA8" s="349">
        <v>45269.678921539591</v>
      </c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</row>
    <row r="9" spans="2:79" ht="12" customHeight="1">
      <c r="B9" s="932"/>
      <c r="C9" s="507"/>
      <c r="D9" s="506"/>
      <c r="E9" s="506" t="str">
        <f>[1]COMM!$O$16</f>
        <v>RSDLT_Att</v>
      </c>
      <c r="F9" s="506"/>
      <c r="G9" s="1044"/>
      <c r="H9" s="1044"/>
      <c r="I9" s="1044"/>
      <c r="J9" s="506"/>
      <c r="K9" s="506"/>
      <c r="L9" s="1045">
        <f>AK48*0.356554867550228</f>
        <v>7.3612177725668258E-4</v>
      </c>
      <c r="N9" s="1046" t="s">
        <v>276</v>
      </c>
      <c r="O9" s="1046" t="str">
        <f>_xlfn.TEXTJOIN(",",TRUE,IF(LEFT([1]Regions!$C$3,1)&lt;&gt;"*",[1]Regions!$C$3,""),IF(LEFT([1]Regions!$D$3,1)&lt;&gt;"*",[1]Regions!$D$3,""))</f>
        <v>IE,National</v>
      </c>
      <c r="P9" s="1046" t="str">
        <f>_xlfn.TEXTJOIN("",TRUE,LEFT([1]SETUP!B$3,1),"-",[1]SETUP!B$85,"_",[1]SETUP!B$37,"_",[1]SETUP!B43)</f>
        <v>R-BLD_Att_B3</v>
      </c>
      <c r="Q9" s="1046" t="str">
        <f>_xlfn.TEXTJOIN(" ",TRUE,[1]SETUP!C$3,[1]SETUP!C$85,[1]SETUP!C$37,"_",[1]SETUP!B43)</f>
        <v>Residential Building Attached _ B3</v>
      </c>
      <c r="R9" s="1047" t="s">
        <v>275</v>
      </c>
      <c r="S9" s="1046" t="s">
        <v>275</v>
      </c>
      <c r="T9" s="1047"/>
      <c r="U9" s="1046"/>
      <c r="V9" s="80"/>
      <c r="W9" s="244" t="s">
        <v>50</v>
      </c>
      <c r="X9" s="1051">
        <v>7459.2913438514906</v>
      </c>
      <c r="Y9" s="1051">
        <v>9537.7783975583752</v>
      </c>
      <c r="Z9" s="1051">
        <v>9433.9012004747347</v>
      </c>
      <c r="AA9" s="351">
        <v>26430.9709418846</v>
      </c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</row>
    <row r="10" spans="2:79" ht="12" customHeight="1" thickBot="1">
      <c r="B10" s="934"/>
      <c r="C10" s="935"/>
      <c r="D10" s="935"/>
      <c r="E10" s="935" t="str">
        <f>[1]COMM!$O$19</f>
        <v>RSDPF_Att</v>
      </c>
      <c r="F10" s="935"/>
      <c r="G10" s="937"/>
      <c r="H10" s="937"/>
      <c r="I10" s="937"/>
      <c r="J10" s="935"/>
      <c r="K10" s="935"/>
      <c r="L10" s="1052">
        <f>AL48*0.419920234349212</f>
        <v>5.2407143773435417E-4</v>
      </c>
      <c r="N10" s="423" t="s">
        <v>276</v>
      </c>
      <c r="O10" s="423" t="str">
        <f>_xlfn.TEXTJOIN(",",TRUE,IF(LEFT([1]Regions!$C$3,1)&lt;&gt;"*",[1]Regions!$C$3,""),IF(LEFT([1]Regions!$D$3,1)&lt;&gt;"*",[1]Regions!$D$3,""))</f>
        <v>IE,National</v>
      </c>
      <c r="P10" s="423" t="str">
        <f>_xlfn.TEXTJOIN("",TRUE,LEFT([1]SETUP!B$3,1),"-",[1]SETUP!B$85,"_",[1]SETUP!B$37,"_",[1]SETUP!B44)</f>
        <v>R-BLD_Att_C</v>
      </c>
      <c r="Q10" s="423" t="str">
        <f>_xlfn.TEXTJOIN(" ",TRUE,[1]SETUP!C$3,[1]SETUP!C$85,[1]SETUP!C$37,"_",[1]SETUP!B44)</f>
        <v>Residential Building Attached _ C</v>
      </c>
      <c r="R10" s="423" t="s">
        <v>275</v>
      </c>
      <c r="S10" s="1043" t="s">
        <v>275</v>
      </c>
      <c r="T10" s="423"/>
      <c r="U10" s="423"/>
      <c r="V10" s="80"/>
      <c r="W10" s="248" t="s">
        <v>52</v>
      </c>
      <c r="X10" s="1053">
        <v>14041.847426430093</v>
      </c>
      <c r="Y10" s="1053">
        <v>17545.09295382088</v>
      </c>
      <c r="Z10" s="1053">
        <v>20090.949195825138</v>
      </c>
      <c r="AA10" s="353">
        <v>51677.889576076108</v>
      </c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</row>
    <row r="11" spans="2:79" ht="12" customHeight="1">
      <c r="B11" s="927" t="str">
        <f>_xlfn.TEXTJOIN(",",TRUE,IF(LEFT([1]Regions!$C$3,1)&lt;&gt;"*",[1]Regions!$C$3,""),IF(LEFT([1]Regions!$D$3,1)&lt;&gt;"*",[1]Regions!$D$3,""))</f>
        <v>IE,National</v>
      </c>
      <c r="C11" s="928" t="str">
        <f>P7</f>
        <v>R-BLD_Att_B1</v>
      </c>
      <c r="D11" s="929" t="str">
        <f>Q7</f>
        <v>Residential Building Attached _ B1</v>
      </c>
      <c r="E11" s="929" t="str">
        <f>[1]COMM!$O$7</f>
        <v>RSDSH_Att</v>
      </c>
      <c r="F11" s="929" t="str">
        <f>[1]COMM!$O$22</f>
        <v>RSD_Att</v>
      </c>
      <c r="G11" s="931">
        <f>Y9/1000</f>
        <v>9.537778397558375</v>
      </c>
      <c r="H11" s="931">
        <f>G11*$Y$26</f>
        <v>7.9478307386853944</v>
      </c>
      <c r="I11" s="931">
        <v>1</v>
      </c>
      <c r="J11" s="929">
        <v>100</v>
      </c>
      <c r="K11" s="929">
        <v>1</v>
      </c>
      <c r="L11" s="1042">
        <f>AI49*0.796873981712218</f>
        <v>8.1616769609736753E-3</v>
      </c>
      <c r="N11" s="1046" t="s">
        <v>276</v>
      </c>
      <c r="O11" s="1046" t="str">
        <f>_xlfn.TEXTJOIN(",",TRUE,IF(LEFT([1]Regions!$C$3,1)&lt;&gt;"*",[1]Regions!$C$3,""),IF(LEFT([1]Regions!$D$3,1)&lt;&gt;"*",[1]Regions!$D$3,""))</f>
        <v>IE,National</v>
      </c>
      <c r="P11" s="1046" t="str">
        <f>_xlfn.TEXTJOIN("",TRUE,LEFT([1]SETUP!B$3,1),"-",[1]SETUP!B$85,"_",[1]SETUP!B$37,"_",[1]SETUP!B45)</f>
        <v>R-BLD_Att_D</v>
      </c>
      <c r="Q11" s="1046" t="str">
        <f>_xlfn.TEXTJOIN(" ",TRUE,[1]SETUP!C$3,[1]SETUP!C$85,[1]SETUP!C$37,"_",[1]SETUP!B45)</f>
        <v>Residential Building Attached _ D</v>
      </c>
      <c r="R11" s="1047" t="s">
        <v>275</v>
      </c>
      <c r="S11" s="1046" t="s">
        <v>275</v>
      </c>
      <c r="T11" s="1047"/>
      <c r="U11" s="1046"/>
      <c r="V11" s="80"/>
      <c r="W11" s="244" t="s">
        <v>54</v>
      </c>
      <c r="X11" s="1051">
        <v>19924.480375055824</v>
      </c>
      <c r="Y11" s="1051">
        <v>49768.849685929476</v>
      </c>
      <c r="Z11" s="1051">
        <v>53466.210043981671</v>
      </c>
      <c r="AA11" s="351">
        <v>123159.54010496697</v>
      </c>
      <c r="AB11" s="80"/>
      <c r="AC11" s="80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</row>
    <row r="12" spans="2:79" ht="12" customHeight="1">
      <c r="B12" s="932"/>
      <c r="C12" s="507"/>
      <c r="D12" s="506"/>
      <c r="E12" s="506" t="str">
        <f>[1]COMM!$O$10</f>
        <v>RSDSC_Att</v>
      </c>
      <c r="F12" s="506"/>
      <c r="G12" s="1044"/>
      <c r="H12" s="1044"/>
      <c r="I12" s="1044"/>
      <c r="J12" s="506"/>
      <c r="K12" s="506"/>
      <c r="L12" s="1045">
        <v>0</v>
      </c>
      <c r="N12" s="423" t="s">
        <v>276</v>
      </c>
      <c r="O12" s="423" t="str">
        <f>_xlfn.TEXTJOIN(",",TRUE,IF(LEFT([1]Regions!$C$3,1)&lt;&gt;"*",[1]Regions!$C$3,""),IF(LEFT([1]Regions!$D$3,1)&lt;&gt;"*",[1]Regions!$D$3,""))</f>
        <v>IE,National</v>
      </c>
      <c r="P12" s="423" t="str">
        <f>_xlfn.TEXTJOIN("",TRUE,LEFT([1]SETUP!B$3,1),"-",[1]SETUP!B$85,"_",[1]SETUP!B$37,"_",[1]SETUP!B46)</f>
        <v>R-BLD_Att_E</v>
      </c>
      <c r="Q12" s="423" t="str">
        <f>_xlfn.TEXTJOIN(" ",TRUE,[1]SETUP!C$3,[1]SETUP!C$85,[1]SETUP!C$37,"_",[1]SETUP!B46)</f>
        <v>Residential Building Attached _ E</v>
      </c>
      <c r="R12" s="423" t="s">
        <v>275</v>
      </c>
      <c r="S12" s="1043" t="s">
        <v>275</v>
      </c>
      <c r="T12" s="423"/>
      <c r="U12" s="423"/>
      <c r="V12" s="80"/>
      <c r="W12" s="248" t="s">
        <v>56</v>
      </c>
      <c r="X12" s="1053">
        <v>58904.8034364337</v>
      </c>
      <c r="Y12" s="1053">
        <v>282151.52747564798</v>
      </c>
      <c r="Z12" s="1053">
        <v>251318.93361374349</v>
      </c>
      <c r="AA12" s="353">
        <v>592375.26452582516</v>
      </c>
      <c r="AB12" s="80"/>
      <c r="AC12" s="80"/>
      <c r="AD12" s="905"/>
      <c r="AE12" s="905"/>
      <c r="AF12" s="905"/>
      <c r="AG12" s="905"/>
      <c r="AH12" s="905"/>
      <c r="AI12" s="905"/>
      <c r="AJ12" s="905"/>
      <c r="AK12" s="905"/>
      <c r="AL12" s="905"/>
      <c r="AM12" s="905"/>
      <c r="AN12" s="905"/>
      <c r="AO12" s="905"/>
      <c r="AP12" s="905"/>
      <c r="AQ12" s="905"/>
      <c r="AR12" s="905"/>
      <c r="AS12" s="905"/>
      <c r="AT12" s="905"/>
      <c r="AU12" s="905"/>
      <c r="AV12" s="905"/>
      <c r="AW12" s="905"/>
      <c r="AX12" s="905"/>
      <c r="AY12" s="905"/>
      <c r="AZ12" s="905"/>
      <c r="BA12" s="905"/>
      <c r="BB12" s="905"/>
      <c r="BC12" s="905"/>
      <c r="BD12" s="905"/>
      <c r="BE12" s="905"/>
      <c r="BF12" s="905"/>
      <c r="BG12" s="905"/>
      <c r="BH12" s="905"/>
      <c r="BI12" s="905"/>
      <c r="BJ12" s="905"/>
      <c r="BK12" s="905"/>
      <c r="BL12" s="905"/>
      <c r="BM12" s="905"/>
      <c r="BN12" s="905"/>
      <c r="BO12" s="905"/>
      <c r="BP12" s="905"/>
      <c r="BQ12" s="905"/>
      <c r="BR12" s="905"/>
      <c r="BS12" s="905"/>
      <c r="BT12" s="905"/>
      <c r="BU12" s="905"/>
      <c r="BV12" s="905"/>
      <c r="BW12" s="905"/>
      <c r="BX12" s="905"/>
      <c r="BY12" s="905"/>
      <c r="BZ12" s="905"/>
      <c r="CA12" s="905"/>
    </row>
    <row r="13" spans="2:79" ht="12" customHeight="1">
      <c r="B13" s="933"/>
      <c r="C13" s="331"/>
      <c r="D13" s="331"/>
      <c r="E13" s="331" t="str">
        <f>[1]COMM!$O$13</f>
        <v>RSDWH_Att</v>
      </c>
      <c r="F13" s="331"/>
      <c r="G13" s="1048"/>
      <c r="H13" s="1048"/>
      <c r="I13" s="1048"/>
      <c r="J13" s="331"/>
      <c r="K13" s="331"/>
      <c r="L13" s="1049">
        <f>AJ49*0.680373148422337</f>
        <v>5.7572427079998984E-3</v>
      </c>
      <c r="N13" s="1046" t="s">
        <v>276</v>
      </c>
      <c r="O13" s="1046" t="str">
        <f>_xlfn.TEXTJOIN(",",TRUE,IF(LEFT([1]Regions!$C$3,1)&lt;&gt;"*",[1]Regions!$C$3,""),IF(LEFT([1]Regions!$D$3,1)&lt;&gt;"*",[1]Regions!$D$3,""))</f>
        <v>IE,National</v>
      </c>
      <c r="P13" s="1046" t="str">
        <f>_xlfn.TEXTJOIN("",TRUE,LEFT([1]SETUP!B$3,1),"-",[1]SETUP!B$85,"_",[1]SETUP!B$37,"_",[1]SETUP!B47)</f>
        <v>R-BLD_Att_F</v>
      </c>
      <c r="Q13" s="1046" t="str">
        <f>_xlfn.TEXTJOIN(" ",TRUE,[1]SETUP!C$3,[1]SETUP!C$85,[1]SETUP!C$37,"_",[1]SETUP!B47)</f>
        <v>Residential Building Attached _ F</v>
      </c>
      <c r="R13" s="1047" t="s">
        <v>275</v>
      </c>
      <c r="S13" s="1046" t="s">
        <v>275</v>
      </c>
      <c r="T13" s="1047"/>
      <c r="U13" s="1046"/>
      <c r="W13" s="244" t="s">
        <v>58</v>
      </c>
      <c r="X13" s="1051">
        <v>43739.341649106158</v>
      </c>
      <c r="Y13" s="1051">
        <v>187627.02237661046</v>
      </c>
      <c r="Z13" s="1051">
        <v>166667.79141279124</v>
      </c>
      <c r="AA13" s="351">
        <v>398034.15543850785</v>
      </c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</row>
    <row r="14" spans="2:79" ht="12" customHeight="1" thickBot="1">
      <c r="B14" s="932"/>
      <c r="C14" s="507"/>
      <c r="D14" s="506"/>
      <c r="E14" s="506" t="str">
        <f>[1]COMM!$O$16</f>
        <v>RSDLT_Att</v>
      </c>
      <c r="F14" s="506"/>
      <c r="G14" s="1044"/>
      <c r="H14" s="1044"/>
      <c r="I14" s="1044"/>
      <c r="J14" s="506"/>
      <c r="K14" s="506"/>
      <c r="L14" s="1045">
        <f>AK49*0.356554867550228</f>
        <v>7.7279675169794257E-4</v>
      </c>
      <c r="N14" s="1054" t="s">
        <v>276</v>
      </c>
      <c r="O14" s="1054" t="str">
        <f>_xlfn.TEXTJOIN(",",TRUE,IF(LEFT([1]Regions!$C$3,1)&lt;&gt;"*",[1]Regions!$C$3,""),IF(LEFT([1]Regions!$D$3,1)&lt;&gt;"*",[1]Regions!$D$3,""))</f>
        <v>IE,National</v>
      </c>
      <c r="P14" s="1054" t="str">
        <f>_xlfn.TEXTJOIN("",TRUE,LEFT([1]SETUP!B$3,1),"-",[1]SETUP!B$85,"_",[1]SETUP!B$37,"_",[1]SETUP!B48)</f>
        <v>R-BLD_Att_G</v>
      </c>
      <c r="Q14" s="1054" t="str">
        <f>_xlfn.TEXTJOIN(" ",TRUE,[1]SETUP!C$3,[1]SETUP!C$85,[1]SETUP!C$37,"_",[1]SETUP!B48)</f>
        <v>Residential Building Attached _ G</v>
      </c>
      <c r="R14" s="1054" t="s">
        <v>275</v>
      </c>
      <c r="S14" s="1055" t="s">
        <v>275</v>
      </c>
      <c r="T14" s="1054"/>
      <c r="U14" s="1054"/>
      <c r="V14" s="80"/>
      <c r="W14" s="248" t="s">
        <v>60</v>
      </c>
      <c r="X14" s="1053">
        <v>25767.876472761334</v>
      </c>
      <c r="Y14" s="1053">
        <v>101418.89596184672</v>
      </c>
      <c r="Z14" s="1053">
        <v>81396.697989555512</v>
      </c>
      <c r="AA14" s="353">
        <v>208583.47042416356</v>
      </c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</row>
    <row r="15" spans="2:79" ht="12" customHeight="1" thickBot="1">
      <c r="B15" s="934"/>
      <c r="C15" s="935"/>
      <c r="D15" s="935"/>
      <c r="E15" s="935" t="str">
        <f>[1]COMM!$O$19</f>
        <v>RSDPF_Att</v>
      </c>
      <c r="F15" s="935"/>
      <c r="G15" s="937"/>
      <c r="H15" s="937"/>
      <c r="I15" s="937"/>
      <c r="J15" s="935"/>
      <c r="K15" s="935"/>
      <c r="L15" s="1052">
        <f>AL48*0.419920234349212</f>
        <v>5.2407143773435417E-4</v>
      </c>
      <c r="N15" s="1046" t="s">
        <v>276</v>
      </c>
      <c r="O15" s="1046" t="str">
        <f>_xlfn.TEXTJOIN(",",TRUE,IF(LEFT([1]Regions!$C$3,1)&lt;&gt;"*",[1]Regions!$C$3,""),IF(LEFT([1]Regions!$D$3,1)&lt;&gt;"*",[1]Regions!$D$3,""))</f>
        <v>IE,National</v>
      </c>
      <c r="P15" s="1046" t="str">
        <f>_xlfn.TEXTJOIN("",TRUE,LEFT([1]SETUP!B$3,1),"-",[1]SETUP!B$85,"_",[1]SETUP!B$36,"_",[1]SETUP!B40)</f>
        <v>R-BLD_Apt_A</v>
      </c>
      <c r="Q15" s="1046" t="str">
        <f>_xlfn.TEXTJOIN(" ",TRUE,[1]SETUP!C$3,[1]SETUP!C$85,[1]SETUP!C$36,"_",[1]SETUP!B40)</f>
        <v>Residential Building Apartment _ A</v>
      </c>
      <c r="R15" s="1047" t="s">
        <v>275</v>
      </c>
      <c r="S15" s="1046" t="s">
        <v>275</v>
      </c>
      <c r="T15" s="1047"/>
      <c r="U15" s="1046"/>
      <c r="V15" s="80"/>
      <c r="W15" s="244" t="s">
        <v>62</v>
      </c>
      <c r="X15" s="1051">
        <v>12331.173226884033</v>
      </c>
      <c r="Y15" s="1051">
        <v>50123.806027321167</v>
      </c>
      <c r="Z15" s="1051">
        <v>43241.005762967114</v>
      </c>
      <c r="AA15" s="351">
        <v>105695.98501717232</v>
      </c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</row>
    <row r="16" spans="2:79" ht="12" customHeight="1" thickBot="1">
      <c r="B16" s="927" t="str">
        <f>_xlfn.TEXTJOIN(",",TRUE,IF(LEFT([1]Regions!$C$3,1)&lt;&gt;"*",[1]Regions!$C$3,""),IF(LEFT([1]Regions!$D$3,1)&lt;&gt;"*",[1]Regions!$D$3,""))</f>
        <v>IE,National</v>
      </c>
      <c r="C16" s="928" t="str">
        <f>P8</f>
        <v>R-BLD_Att_B2</v>
      </c>
      <c r="D16" s="929" t="str">
        <f>Q8</f>
        <v>Residential Building Attached _ B2</v>
      </c>
      <c r="E16" s="929" t="str">
        <f>[1]COMM!$O$7</f>
        <v>RSDSH_Att</v>
      </c>
      <c r="F16" s="929" t="str">
        <f>[1]COMM!$O$22</f>
        <v>RSD_Att</v>
      </c>
      <c r="G16" s="931">
        <f>Y10/1000</f>
        <v>17.54509295382088</v>
      </c>
      <c r="H16" s="931">
        <f>G16*$Y$26</f>
        <v>14.62032595841894</v>
      </c>
      <c r="I16" s="931">
        <v>1</v>
      </c>
      <c r="J16" s="929">
        <v>100</v>
      </c>
      <c r="K16" s="929">
        <v>1</v>
      </c>
      <c r="L16" s="1042">
        <f>AI50*0.796873981712218</f>
        <v>1.292725978656979E-2</v>
      </c>
      <c r="N16" s="423" t="s">
        <v>276</v>
      </c>
      <c r="O16" s="423" t="str">
        <f>_xlfn.TEXTJOIN(",",TRUE,IF(LEFT([1]Regions!$C$3,1)&lt;&gt;"*",[1]Regions!$C$3,""),IF(LEFT([1]Regions!$D$3,1)&lt;&gt;"*",[1]Regions!$D$3,""))</f>
        <v>IE,National</v>
      </c>
      <c r="P16" s="423" t="str">
        <f>_xlfn.TEXTJOIN("",TRUE,LEFT([1]SETUP!B$3,1),"-",[1]SETUP!B$85,"_",[1]SETUP!B$36,"_",[1]SETUP!B41)</f>
        <v>R-BLD_Apt_B1</v>
      </c>
      <c r="Q16" s="423" t="str">
        <f>_xlfn.TEXTJOIN(" ",TRUE,[1]SETUP!C$3,[1]SETUP!C$85,[1]SETUP!C$36,"_",[1]SETUP!B41)</f>
        <v>Residential Building Apartment _ B1</v>
      </c>
      <c r="R16" s="423" t="s">
        <v>275</v>
      </c>
      <c r="S16" s="1043" t="s">
        <v>275</v>
      </c>
      <c r="T16" s="423"/>
      <c r="U16" s="423"/>
      <c r="V16" s="80"/>
      <c r="W16" s="260" t="s">
        <v>64</v>
      </c>
      <c r="X16" s="1056">
        <v>15211.172212670604</v>
      </c>
      <c r="Y16" s="1056">
        <v>52706.674394088106</v>
      </c>
      <c r="Z16" s="1056">
        <v>78435.533443104825</v>
      </c>
      <c r="AA16" s="353">
        <v>146353.38004986354</v>
      </c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</row>
    <row r="17" spans="2:79" ht="12" customHeight="1" thickBot="1">
      <c r="B17" s="932"/>
      <c r="C17" s="507"/>
      <c r="D17" s="506"/>
      <c r="E17" s="506" t="str">
        <f>[1]COMM!$O$10</f>
        <v>RSDSC_Att</v>
      </c>
      <c r="F17" s="506"/>
      <c r="G17" s="1044"/>
      <c r="H17" s="1044"/>
      <c r="I17" s="1044"/>
      <c r="J17" s="506"/>
      <c r="K17" s="506"/>
      <c r="L17" s="1045">
        <v>0</v>
      </c>
      <c r="N17" s="1046" t="s">
        <v>276</v>
      </c>
      <c r="O17" s="1046" t="str">
        <f>_xlfn.TEXTJOIN(",",TRUE,IF(LEFT([1]Regions!$C$3,1)&lt;&gt;"*",[1]Regions!$C$3,""),IF(LEFT([1]Regions!$D$3,1)&lt;&gt;"*",[1]Regions!$D$3,""))</f>
        <v>IE,National</v>
      </c>
      <c r="P17" s="1046" t="str">
        <f>_xlfn.TEXTJOIN("",TRUE,LEFT([1]SETUP!B$3,1),"-",[1]SETUP!B$85,"_",[1]SETUP!B$36,"_",[1]SETUP!B42)</f>
        <v>R-BLD_Apt_B2</v>
      </c>
      <c r="Q17" s="1046" t="str">
        <f>_xlfn.TEXTJOIN(" ",TRUE,[1]SETUP!C$3,[1]SETUP!C$85,[1]SETUP!C$36,"_",[1]SETUP!B42)</f>
        <v>Residential Building Apartment _ B2</v>
      </c>
      <c r="R17" s="1047" t="s">
        <v>275</v>
      </c>
      <c r="S17" s="1046" t="s">
        <v>275</v>
      </c>
      <c r="T17" s="1047"/>
      <c r="U17" s="1046"/>
      <c r="V17" s="80"/>
      <c r="W17" s="261" t="s">
        <v>218</v>
      </c>
      <c r="X17" s="1057">
        <v>206798.88499999998</v>
      </c>
      <c r="Y17" s="1057">
        <v>766351.72099999979</v>
      </c>
      <c r="Z17" s="1057">
        <v>724429.72899999993</v>
      </c>
      <c r="AA17" s="356">
        <v>1697580.3349999997</v>
      </c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</row>
    <row r="18" spans="2:79" ht="12" customHeight="1" thickBot="1">
      <c r="B18" s="933"/>
      <c r="C18" s="331"/>
      <c r="D18" s="331"/>
      <c r="E18" s="331" t="str">
        <f>[1]COMM!$O$13</f>
        <v>RSDWH_Att</v>
      </c>
      <c r="F18" s="331"/>
      <c r="G18" s="1048"/>
      <c r="H18" s="1048"/>
      <c r="I18" s="1048"/>
      <c r="J18" s="331"/>
      <c r="K18" s="331"/>
      <c r="L18" s="1049">
        <f>AJ50*0.680373148422337</f>
        <v>8.5289295243806372E-3</v>
      </c>
      <c r="N18" s="423" t="s">
        <v>276</v>
      </c>
      <c r="O18" s="423" t="str">
        <f>_xlfn.TEXTJOIN(",",TRUE,IF(LEFT([1]Regions!$C$3,1)&lt;&gt;"*",[1]Regions!$C$3,""),IF(LEFT([1]Regions!$D$3,1)&lt;&gt;"*",[1]Regions!$D$3,""))</f>
        <v>IE,National</v>
      </c>
      <c r="P18" s="423" t="str">
        <f>_xlfn.TEXTJOIN("",TRUE,LEFT([1]SETUP!B$3,1),"-",[1]SETUP!B$85,"_",[1]SETUP!B$36,"_",[1]SETUP!B43)</f>
        <v>R-BLD_Apt_B3</v>
      </c>
      <c r="Q18" s="423" t="str">
        <f>_xlfn.TEXTJOIN(" ",TRUE,[1]SETUP!C$3,[1]SETUP!C$85,[1]SETUP!C$36,"_",[1]SETUP!B43)</f>
        <v>Residential Building Apartment _ B3</v>
      </c>
      <c r="R18" s="423" t="s">
        <v>275</v>
      </c>
      <c r="S18" s="1043" t="s">
        <v>275</v>
      </c>
      <c r="T18" s="423"/>
      <c r="U18" s="423"/>
      <c r="V18" s="80"/>
      <c r="W18" s="1058" t="s">
        <v>898</v>
      </c>
      <c r="X18" s="422">
        <v>0.74286208971025169</v>
      </c>
      <c r="Y18" s="422">
        <v>0.69963472197389465</v>
      </c>
      <c r="Z18" s="422">
        <v>0.71303848954914961</v>
      </c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</row>
    <row r="19" spans="2:79" ht="12" customHeight="1">
      <c r="B19" s="932"/>
      <c r="C19" s="507"/>
      <c r="D19" s="506"/>
      <c r="E19" s="506" t="str">
        <f>[1]COMM!$O$16</f>
        <v>RSDLT_Att</v>
      </c>
      <c r="F19" s="506"/>
      <c r="G19" s="1044"/>
      <c r="H19" s="1044"/>
      <c r="I19" s="1044"/>
      <c r="J19" s="506"/>
      <c r="K19" s="506"/>
      <c r="L19" s="1045">
        <f>AK50*0.356554867550228</f>
        <v>9.2695429950685531E-4</v>
      </c>
      <c r="N19" s="1046" t="s">
        <v>276</v>
      </c>
      <c r="O19" s="1046" t="str">
        <f>_xlfn.TEXTJOIN(",",TRUE,IF(LEFT([1]Regions!$C$3,1)&lt;&gt;"*",[1]Regions!$C$3,""),IF(LEFT([1]Regions!$D$3,1)&lt;&gt;"*",[1]Regions!$D$3,""))</f>
        <v>IE,National</v>
      </c>
      <c r="P19" s="1046" t="str">
        <f>_xlfn.TEXTJOIN("",TRUE,LEFT([1]SETUP!B$3,1),"-",[1]SETUP!B$85,"_",[1]SETUP!B$36,"_",[1]SETUP!B44)</f>
        <v>R-BLD_Apt_C</v>
      </c>
      <c r="Q19" s="1046" t="str">
        <f>_xlfn.TEXTJOIN(" ",TRUE,[1]SETUP!C$3,[1]SETUP!C$85,[1]SETUP!C$36,"_",[1]SETUP!B44)</f>
        <v>Residential Building Apartment _ C</v>
      </c>
      <c r="R19" s="1047" t="s">
        <v>275</v>
      </c>
      <c r="S19" s="1046" t="s">
        <v>275</v>
      </c>
      <c r="T19" s="1047"/>
      <c r="U19" s="1046"/>
      <c r="V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</row>
    <row r="20" spans="2:79" ht="12" customHeight="1" thickBot="1">
      <c r="B20" s="934"/>
      <c r="C20" s="935"/>
      <c r="D20" s="935"/>
      <c r="E20" s="935" t="str">
        <f>[1]COMM!$O$19</f>
        <v>RSDPF_Att</v>
      </c>
      <c r="F20" s="935"/>
      <c r="G20" s="937"/>
      <c r="H20" s="937"/>
      <c r="I20" s="937"/>
      <c r="J20" s="935"/>
      <c r="K20" s="935"/>
      <c r="L20" s="1052">
        <f>AL50*0.419920234349212</f>
        <v>3.0565675268707788E-4</v>
      </c>
      <c r="N20" s="423" t="s">
        <v>276</v>
      </c>
      <c r="O20" s="423" t="str">
        <f>_xlfn.TEXTJOIN(",",TRUE,IF(LEFT([1]Regions!$C$3,1)&lt;&gt;"*",[1]Regions!$C$3,""),IF(LEFT([1]Regions!$D$3,1)&lt;&gt;"*",[1]Regions!$D$3,""))</f>
        <v>IE,National</v>
      </c>
      <c r="P20" s="423" t="str">
        <f>_xlfn.TEXTJOIN("",TRUE,LEFT([1]SETUP!B$3,1),"-",[1]SETUP!B$85,"_",[1]SETUP!B$36,"_",[1]SETUP!B45)</f>
        <v>R-BLD_Apt_D</v>
      </c>
      <c r="Q20" s="423" t="str">
        <f>_xlfn.TEXTJOIN(" ",TRUE,[1]SETUP!C$3,[1]SETUP!C$85,[1]SETUP!C$36,"_",[1]SETUP!B45)</f>
        <v>Residential Building Apartment _ D</v>
      </c>
      <c r="R20" s="423" t="s">
        <v>275</v>
      </c>
      <c r="S20" s="1043" t="s">
        <v>275</v>
      </c>
      <c r="T20" s="423"/>
      <c r="U20" s="423"/>
      <c r="V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</row>
    <row r="21" spans="2:79" ht="12" customHeight="1">
      <c r="B21" s="927" t="str">
        <f>_xlfn.TEXTJOIN(",",TRUE,IF(LEFT([1]Regions!$C$3,1)&lt;&gt;"*",[1]Regions!$C$3,""),IF(LEFT([1]Regions!$D$3,1)&lt;&gt;"*",[1]Regions!$D$3,""))</f>
        <v>IE,National</v>
      </c>
      <c r="C21" s="928" t="str">
        <f>P9</f>
        <v>R-BLD_Att_B3</v>
      </c>
      <c r="D21" s="929" t="str">
        <f>Q9</f>
        <v>Residential Building Attached _ B3</v>
      </c>
      <c r="E21" s="929" t="str">
        <f>[1]COMM!$O$7</f>
        <v>RSDSH_Att</v>
      </c>
      <c r="F21" s="929" t="str">
        <f>[1]COMM!$O$22</f>
        <v>RSD_Att</v>
      </c>
      <c r="G21" s="931">
        <f>Y11/1000</f>
        <v>49.768849685929474</v>
      </c>
      <c r="H21" s="931">
        <f>G21*$Y$26</f>
        <v>41.472382443285035</v>
      </c>
      <c r="I21" s="931">
        <v>1</v>
      </c>
      <c r="J21" s="929">
        <v>100</v>
      </c>
      <c r="K21" s="929">
        <v>1</v>
      </c>
      <c r="L21" s="1042">
        <f>AI51*0.796873981712218</f>
        <v>1.5463955434686615E-2</v>
      </c>
      <c r="N21" s="1046" t="s">
        <v>276</v>
      </c>
      <c r="O21" s="1046" t="str">
        <f>_xlfn.TEXTJOIN(",",TRUE,IF(LEFT([1]Regions!$C$3,1)&lt;&gt;"*",[1]Regions!$C$3,""),IF(LEFT([1]Regions!$D$3,1)&lt;&gt;"*",[1]Regions!$D$3,""))</f>
        <v>IE,National</v>
      </c>
      <c r="P21" s="1046" t="str">
        <f>_xlfn.TEXTJOIN("",TRUE,LEFT([1]SETUP!B$3,1),"-",[1]SETUP!B$85,"_",[1]SETUP!B$36,"_",[1]SETUP!B46)</f>
        <v>R-BLD_Apt_E</v>
      </c>
      <c r="Q21" s="1046" t="str">
        <f>_xlfn.TEXTJOIN(" ",TRUE,[1]SETUP!C$3,[1]SETUP!C$85,[1]SETUP!C$36,"_",[1]SETUP!B46)</f>
        <v>Residential Building Apartment _ E</v>
      </c>
      <c r="R21" s="1047" t="s">
        <v>275</v>
      </c>
      <c r="S21" s="1046" t="s">
        <v>275</v>
      </c>
      <c r="T21" s="1047"/>
      <c r="U21" s="1046"/>
      <c r="V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</row>
    <row r="22" spans="2:79" ht="12" customHeight="1">
      <c r="B22" s="932"/>
      <c r="C22" s="507"/>
      <c r="D22" s="506"/>
      <c r="E22" s="506" t="str">
        <f>[1]COMM!$O$10</f>
        <v>RSDSC_Att</v>
      </c>
      <c r="F22" s="506"/>
      <c r="G22" s="1044"/>
      <c r="H22" s="1044"/>
      <c r="I22" s="1044"/>
      <c r="J22" s="506"/>
      <c r="K22" s="506"/>
      <c r="L22" s="1045">
        <v>0</v>
      </c>
      <c r="N22" s="423" t="s">
        <v>276</v>
      </c>
      <c r="O22" s="423" t="str">
        <f>_xlfn.TEXTJOIN(",",TRUE,IF(LEFT([1]Regions!$C$3,1)&lt;&gt;"*",[1]Regions!$C$3,""),IF(LEFT([1]Regions!$D$3,1)&lt;&gt;"*",[1]Regions!$D$3,""))</f>
        <v>IE,National</v>
      </c>
      <c r="P22" s="423" t="str">
        <f>_xlfn.TEXTJOIN("",TRUE,LEFT([1]SETUP!B$3,1),"-",[1]SETUP!B$85,"_",[1]SETUP!B$36,"_",[1]SETUP!B47)</f>
        <v>R-BLD_Apt_F</v>
      </c>
      <c r="Q22" s="423" t="str">
        <f>_xlfn.TEXTJOIN(" ",TRUE,[1]SETUP!C$3,[1]SETUP!C$85,[1]SETUP!C$36,"_",[1]SETUP!B47)</f>
        <v>Residential Building Apartment _ F</v>
      </c>
      <c r="R22" s="423" t="s">
        <v>275</v>
      </c>
      <c r="S22" s="1043" t="s">
        <v>275</v>
      </c>
      <c r="T22" s="423"/>
      <c r="U22" s="423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</row>
    <row r="23" spans="2:79" ht="12" customHeight="1" thickBot="1">
      <c r="B23" s="933"/>
      <c r="C23" s="331"/>
      <c r="D23" s="331"/>
      <c r="E23" s="331" t="str">
        <f>[1]COMM!$O$13</f>
        <v>RSDWH_Att</v>
      </c>
      <c r="F23" s="331"/>
      <c r="G23" s="1048"/>
      <c r="H23" s="1048"/>
      <c r="I23" s="1048"/>
      <c r="J23" s="331"/>
      <c r="K23" s="331"/>
      <c r="L23" s="1049">
        <f>AJ51*0.680373148422337</f>
        <v>9.4992252765824948E-3</v>
      </c>
      <c r="N23" s="1059" t="s">
        <v>276</v>
      </c>
      <c r="O23" s="1059" t="str">
        <f>_xlfn.TEXTJOIN(",",TRUE,IF(LEFT([1]Regions!$C$3,1)&lt;&gt;"*",[1]Regions!$C$3,""),IF(LEFT([1]Regions!$D$3,1)&lt;&gt;"*",[1]Regions!$D$3,""))</f>
        <v>IE,National</v>
      </c>
      <c r="P23" s="1059" t="str">
        <f>_xlfn.TEXTJOIN("",TRUE,LEFT([1]SETUP!B$3,1),"-",[1]SETUP!B$85,"_",[1]SETUP!B$36,"_",[1]SETUP!B48)</f>
        <v>R-BLD_Apt_G</v>
      </c>
      <c r="Q23" s="1059" t="str">
        <f>_xlfn.TEXTJOIN(" ",TRUE,[1]SETUP!C$3,[1]SETUP!C$85,[1]SETUP!C$36,"_",[1]SETUP!B48)</f>
        <v>Residential Building Apartment _ G</v>
      </c>
      <c r="R23" s="1060" t="s">
        <v>275</v>
      </c>
      <c r="S23" s="1059" t="s">
        <v>275</v>
      </c>
      <c r="T23" s="1060"/>
      <c r="U23" s="1059"/>
      <c r="V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</row>
    <row r="24" spans="2:79" ht="17.25" customHeight="1" thickBot="1">
      <c r="B24" s="932"/>
      <c r="C24" s="507"/>
      <c r="D24" s="506"/>
      <c r="E24" s="506" t="str">
        <f>[1]COMM!$O$16</f>
        <v>RSDLT_Att</v>
      </c>
      <c r="F24" s="506"/>
      <c r="G24" s="1044"/>
      <c r="H24" s="1044"/>
      <c r="I24" s="1044"/>
      <c r="J24" s="506"/>
      <c r="K24" s="506"/>
      <c r="L24" s="1045">
        <f>AK51*0.356554867550228</f>
        <v>9.5124350028840581E-4</v>
      </c>
      <c r="N24" s="423" t="s">
        <v>276</v>
      </c>
      <c r="O24" s="423" t="str">
        <f>_xlfn.TEXTJOIN(",",TRUE,IF(LEFT([1]Regions!$C$3,1)&lt;&gt;"*",[1]Regions!$C$3,""),IF(LEFT([1]Regions!$D$3,1)&lt;&gt;"*",[1]Regions!$D$3,""))</f>
        <v>IE,National</v>
      </c>
      <c r="P24" s="423" t="str">
        <f>_xlfn.TEXTJOIN("",TRUE,LEFT([1]SETUP!B$3,1),"-",[1]SETUP!B$85,"_",[1]SETUP!B$38,"_",[1]SETUP!B40)</f>
        <v>R-BLD_Det_A</v>
      </c>
      <c r="Q24" s="423" t="str">
        <f>_xlfn.TEXTJOIN(" ",TRUE,[1]SETUP!C$3,[1]SETUP!C$85,[1]SETUP!C$38,"_",[1]SETUP!B40)</f>
        <v>Residential Building Detached _ A</v>
      </c>
      <c r="R24" s="423" t="s">
        <v>275</v>
      </c>
      <c r="S24" s="1043" t="s">
        <v>275</v>
      </c>
      <c r="T24" s="423"/>
      <c r="U24" s="423"/>
      <c r="V24" s="80"/>
      <c r="W24" s="1114" t="s">
        <v>899</v>
      </c>
      <c r="X24" s="1115"/>
      <c r="Y24" s="1115"/>
      <c r="Z24" s="1115"/>
      <c r="AA24" s="1116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</row>
    <row r="25" spans="2:79" ht="15.75" thickBot="1">
      <c r="B25" s="934"/>
      <c r="C25" s="935"/>
      <c r="D25" s="935"/>
      <c r="E25" s="935" t="str">
        <f>[1]COMM!$O$19</f>
        <v>RSDPF_Att</v>
      </c>
      <c r="F25" s="935"/>
      <c r="G25" s="937"/>
      <c r="H25" s="937"/>
      <c r="I25" s="937"/>
      <c r="J25" s="935"/>
      <c r="K25" s="935"/>
      <c r="L25" s="1052">
        <f>AL51*0.419920234349212</f>
        <v>2.987081165389423E-4</v>
      </c>
      <c r="N25" s="1046" t="s">
        <v>276</v>
      </c>
      <c r="O25" s="1046" t="str">
        <f>_xlfn.TEXTJOIN(",",TRUE,IF(LEFT([1]Regions!$C$3,1)&lt;&gt;"*",[1]Regions!$C$3,""),IF(LEFT([1]Regions!$D$3,1)&lt;&gt;"*",[1]Regions!$D$3,""))</f>
        <v>IE,National</v>
      </c>
      <c r="P25" s="1046" t="str">
        <f>_xlfn.TEXTJOIN("",TRUE,LEFT([1]SETUP!B$3,1),"-",[1]SETUP!B$85,"_",[1]SETUP!B$38,"_",[1]SETUP!B41)</f>
        <v>R-BLD_Det_B1</v>
      </c>
      <c r="Q25" s="1046" t="str">
        <f>_xlfn.TEXTJOIN(" ",TRUE,[1]SETUP!C$3,[1]SETUP!C$85,[1]SETUP!C$38,"_",[1]SETUP!B41)</f>
        <v>Residential Building Detached _ B1</v>
      </c>
      <c r="R25" s="1047" t="s">
        <v>275</v>
      </c>
      <c r="S25" s="1046" t="s">
        <v>275</v>
      </c>
      <c r="T25" s="1047"/>
      <c r="U25" s="1046"/>
      <c r="V25" s="80"/>
      <c r="W25" s="1117" t="s">
        <v>900</v>
      </c>
      <c r="X25" s="1118"/>
      <c r="Y25" s="1117" t="s">
        <v>901</v>
      </c>
      <c r="Z25" s="1118"/>
      <c r="AA25" s="1119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</row>
    <row r="26" spans="2:79" ht="13.5" thickBot="1">
      <c r="B26" s="927" t="str">
        <f>_xlfn.TEXTJOIN(",",TRUE,IF(LEFT([1]Regions!$C$3,1)&lt;&gt;"*",[1]Regions!$C$3,""),IF(LEFT([1]Regions!$D$3,1)&lt;&gt;"*",[1]Regions!$D$3,""))</f>
        <v>IE,National</v>
      </c>
      <c r="C26" s="928" t="str">
        <f>P10</f>
        <v>R-BLD_Att_C</v>
      </c>
      <c r="D26" s="929" t="str">
        <f>Q10</f>
        <v>Residential Building Attached _ C</v>
      </c>
      <c r="E26" s="929" t="str">
        <f>[1]COMM!$O$7</f>
        <v>RSDSH_Att</v>
      </c>
      <c r="F26" s="929" t="str">
        <f>[1]COMM!$O$22</f>
        <v>RSD_Att</v>
      </c>
      <c r="G26" s="931">
        <f>Y12/1000</f>
        <v>282.15152747564798</v>
      </c>
      <c r="H26" s="931">
        <f>G26*$Y$26</f>
        <v>235.11686784545748</v>
      </c>
      <c r="I26" s="931">
        <v>1</v>
      </c>
      <c r="J26" s="929">
        <v>100</v>
      </c>
      <c r="K26" s="929">
        <v>1</v>
      </c>
      <c r="L26" s="1042">
        <f>AI52*0.796873981712218</f>
        <v>2.0611519426922773E-2</v>
      </c>
      <c r="N26" s="423" t="s">
        <v>276</v>
      </c>
      <c r="O26" s="423" t="str">
        <f>_xlfn.TEXTJOIN(",",TRUE,IF(LEFT([1]Regions!$C$3,1)&lt;&gt;"*",[1]Regions!$C$3,""),IF(LEFT([1]Regions!$D$3,1)&lt;&gt;"*",[1]Regions!$D$3,""))</f>
        <v>IE,National</v>
      </c>
      <c r="P26" s="423" t="str">
        <f>_xlfn.TEXTJOIN("",TRUE,LEFT([1]SETUP!B$3,1),"-",[1]SETUP!B$85,"_",[1]SETUP!B$38,"_",[1]SETUP!B42)</f>
        <v>R-BLD_Det_B2</v>
      </c>
      <c r="Q26" s="423" t="str">
        <f>_xlfn.TEXTJOIN(" ",TRUE,[1]SETUP!C$3,[1]SETUP!C$85,[1]SETUP!C$38,"_",[1]SETUP!B42)</f>
        <v>Residential Building Detached _ B2</v>
      </c>
      <c r="R26" s="423" t="s">
        <v>275</v>
      </c>
      <c r="S26" s="1043" t="s">
        <v>275</v>
      </c>
      <c r="T26" s="423"/>
      <c r="U26" s="423"/>
      <c r="W26" s="1120">
        <v>3.5000000000000001E-3</v>
      </c>
      <c r="X26" s="1121"/>
      <c r="Y26" s="1120">
        <v>0.83330000000000004</v>
      </c>
      <c r="Z26" s="1122"/>
      <c r="AA26" s="1123"/>
    </row>
    <row r="27" spans="2:79">
      <c r="B27" s="932"/>
      <c r="C27" s="507"/>
      <c r="D27" s="506"/>
      <c r="E27" s="506" t="str">
        <f>[1]COMM!$O$10</f>
        <v>RSDSC_Att</v>
      </c>
      <c r="F27" s="506"/>
      <c r="G27" s="1044"/>
      <c r="H27" s="1044"/>
      <c r="I27" s="1044"/>
      <c r="J27" s="506"/>
      <c r="K27" s="506"/>
      <c r="L27" s="1045">
        <v>0</v>
      </c>
      <c r="N27" s="1046" t="s">
        <v>276</v>
      </c>
      <c r="O27" s="1046" t="str">
        <f>_xlfn.TEXTJOIN(",",TRUE,IF(LEFT([1]Regions!$C$3,1)&lt;&gt;"*",[1]Regions!$C$3,""),IF(LEFT([1]Regions!$D$3,1)&lt;&gt;"*",[1]Regions!$D$3,""))</f>
        <v>IE,National</v>
      </c>
      <c r="P27" s="1046" t="str">
        <f>_xlfn.TEXTJOIN("",TRUE,LEFT([1]SETUP!B$3,1),"-",[1]SETUP!B$85,"_",[1]SETUP!B$38,"_",[1]SETUP!B43)</f>
        <v>R-BLD_Det_B3</v>
      </c>
      <c r="Q27" s="1046" t="str">
        <f>_xlfn.TEXTJOIN(" ",TRUE,[1]SETUP!C$3,[1]SETUP!C$85,[1]SETUP!C$38,"_",[1]SETUP!B43)</f>
        <v>Residential Building Detached _ B3</v>
      </c>
      <c r="R27" s="1047" t="s">
        <v>275</v>
      </c>
      <c r="S27" s="1046" t="s">
        <v>275</v>
      </c>
      <c r="T27" s="1047"/>
      <c r="U27" s="1046"/>
    </row>
    <row r="28" spans="2:79">
      <c r="B28" s="933"/>
      <c r="C28" s="331"/>
      <c r="D28" s="331"/>
      <c r="E28" s="331" t="str">
        <f>[1]COMM!$O$13</f>
        <v>RSDWH_Att</v>
      </c>
      <c r="F28" s="331"/>
      <c r="G28" s="1048"/>
      <c r="H28" s="1048"/>
      <c r="I28" s="1048"/>
      <c r="J28" s="331"/>
      <c r="K28" s="331"/>
      <c r="L28" s="1049">
        <f>AJ52*0.680373148422337</f>
        <v>1.0668715044221139E-2</v>
      </c>
      <c r="N28" s="423" t="s">
        <v>276</v>
      </c>
      <c r="O28" s="423" t="str">
        <f>_xlfn.TEXTJOIN(",",TRUE,IF(LEFT([1]Regions!$C$3,1)&lt;&gt;"*",[1]Regions!$C$3,""),IF(LEFT([1]Regions!$D$3,1)&lt;&gt;"*",[1]Regions!$D$3,""))</f>
        <v>IE,National</v>
      </c>
      <c r="P28" s="423" t="str">
        <f>_xlfn.TEXTJOIN("",TRUE,LEFT([1]SETUP!B$3,1),"-",[1]SETUP!B$85,"_",[1]SETUP!B$38,"_",[1]SETUP!B44)</f>
        <v>R-BLD_Det_C</v>
      </c>
      <c r="Q28" s="423" t="str">
        <f>_xlfn.TEXTJOIN(" ",TRUE,[1]SETUP!C$3,[1]SETUP!C$85,[1]SETUP!C$38,"_",[1]SETUP!B44)</f>
        <v>Residential Building Detached _ C</v>
      </c>
      <c r="R28" s="423" t="s">
        <v>275</v>
      </c>
      <c r="S28" s="1043" t="s">
        <v>275</v>
      </c>
      <c r="T28" s="423"/>
      <c r="U28" s="423"/>
    </row>
    <row r="29" spans="2:79">
      <c r="B29" s="932"/>
      <c r="C29" s="507"/>
      <c r="D29" s="506"/>
      <c r="E29" s="506" t="str">
        <f>[1]COMM!$O$16</f>
        <v>RSDLT_Att</v>
      </c>
      <c r="F29" s="506"/>
      <c r="G29" s="1044"/>
      <c r="H29" s="1044"/>
      <c r="I29" s="1044"/>
      <c r="J29" s="506"/>
      <c r="K29" s="506"/>
      <c r="L29" s="1045">
        <f>AK52*0.356554867550228</f>
        <v>9.4177710243898176E-4</v>
      </c>
      <c r="N29" s="1046" t="s">
        <v>276</v>
      </c>
      <c r="O29" s="1046" t="str">
        <f>_xlfn.TEXTJOIN(",",TRUE,IF(LEFT([1]Regions!$C$3,1)&lt;&gt;"*",[1]Regions!$C$3,""),IF(LEFT([1]Regions!$D$3,1)&lt;&gt;"*",[1]Regions!$D$3,""))</f>
        <v>IE,National</v>
      </c>
      <c r="P29" s="1046" t="str">
        <f>_xlfn.TEXTJOIN("",TRUE,LEFT([1]SETUP!B$3,1),"-",[1]SETUP!B$85,"_",[1]SETUP!B$38,"_",[1]SETUP!B45)</f>
        <v>R-BLD_Det_D</v>
      </c>
      <c r="Q29" s="1046" t="str">
        <f>_xlfn.TEXTJOIN(" ",TRUE,[1]SETUP!C$3,[1]SETUP!C$85,[1]SETUP!C$38,"_",[1]SETUP!B45)</f>
        <v>Residential Building Detached _ D</v>
      </c>
      <c r="R29" s="1047" t="s">
        <v>275</v>
      </c>
      <c r="S29" s="1046" t="s">
        <v>275</v>
      </c>
      <c r="T29" s="1047"/>
      <c r="U29" s="1046"/>
    </row>
    <row r="30" spans="2:79" ht="13.5" thickBot="1">
      <c r="B30" s="934"/>
      <c r="C30" s="935"/>
      <c r="D30" s="935"/>
      <c r="E30" s="935" t="str">
        <f>[1]COMM!$O$19</f>
        <v>RSDPF_Att</v>
      </c>
      <c r="F30" s="935"/>
      <c r="G30" s="937"/>
      <c r="H30" s="937"/>
      <c r="I30" s="937"/>
      <c r="J30" s="935"/>
      <c r="K30" s="935"/>
      <c r="L30" s="1052">
        <f>AL52*0.419920234349212</f>
        <v>2.9676586951770821E-4</v>
      </c>
      <c r="N30" s="423" t="s">
        <v>276</v>
      </c>
      <c r="O30" s="423" t="str">
        <f>_xlfn.TEXTJOIN(",",TRUE,IF(LEFT([1]Regions!$C$3,1)&lt;&gt;"*",[1]Regions!$C$3,""),IF(LEFT([1]Regions!$D$3,1)&lt;&gt;"*",[1]Regions!$D$3,""))</f>
        <v>IE,National</v>
      </c>
      <c r="P30" s="423" t="str">
        <f>_xlfn.TEXTJOIN("",TRUE,LEFT([1]SETUP!B$3,1),"-",[1]SETUP!B$85,"_",[1]SETUP!B$38,"_",[1]SETUP!B46)</f>
        <v>R-BLD_Det_E</v>
      </c>
      <c r="Q30" s="423" t="str">
        <f>_xlfn.TEXTJOIN(" ",TRUE,[1]SETUP!C$3,[1]SETUP!C$85,[1]SETUP!C$38,"_",[1]SETUP!B46)</f>
        <v>Residential Building Detached _ E</v>
      </c>
      <c r="R30" s="423" t="s">
        <v>275</v>
      </c>
      <c r="S30" s="1043" t="s">
        <v>275</v>
      </c>
      <c r="T30" s="423"/>
      <c r="U30" s="423"/>
    </row>
    <row r="31" spans="2:79">
      <c r="B31" s="927" t="str">
        <f>_xlfn.TEXTJOIN(",",TRUE,IF(LEFT([1]Regions!$C$3,1)&lt;&gt;"*",[1]Regions!$C$3,""),IF(LEFT([1]Regions!$D$3,1)&lt;&gt;"*",[1]Regions!$D$3,""))</f>
        <v>IE,National</v>
      </c>
      <c r="C31" s="928" t="str">
        <f>P11</f>
        <v>R-BLD_Att_D</v>
      </c>
      <c r="D31" s="929" t="str">
        <f>Q11</f>
        <v>Residential Building Attached _ D</v>
      </c>
      <c r="E31" s="929" t="str">
        <f>[1]COMM!$O$7</f>
        <v>RSDSH_Att</v>
      </c>
      <c r="F31" s="929" t="str">
        <f>[1]COMM!$O$22</f>
        <v>RSD_Att</v>
      </c>
      <c r="G31" s="931">
        <f>Y13/1000</f>
        <v>187.62702237661046</v>
      </c>
      <c r="H31" s="931">
        <f>G31*$Y$26</f>
        <v>156.34959774642951</v>
      </c>
      <c r="I31" s="931">
        <v>1</v>
      </c>
      <c r="J31" s="929">
        <v>100</v>
      </c>
      <c r="K31" s="929">
        <v>1</v>
      </c>
      <c r="L31" s="1042">
        <f>AI53*0.796873981712218</f>
        <v>2.8149565422005449E-2</v>
      </c>
      <c r="N31" s="1046" t="s">
        <v>276</v>
      </c>
      <c r="O31" s="1046" t="str">
        <f>_xlfn.TEXTJOIN(",",TRUE,IF(LEFT([1]Regions!$C$3,1)&lt;&gt;"*",[1]Regions!$C$3,""),IF(LEFT([1]Regions!$D$3,1)&lt;&gt;"*",[1]Regions!$D$3,""))</f>
        <v>IE,National</v>
      </c>
      <c r="P31" s="1046" t="str">
        <f>_xlfn.TEXTJOIN("",TRUE,LEFT([1]SETUP!B$3,1),"-",[1]SETUP!B$85,"_",[1]SETUP!B$38,"_",[1]SETUP!B47)</f>
        <v>R-BLD_Det_F</v>
      </c>
      <c r="Q31" s="1046" t="str">
        <f>_xlfn.TEXTJOIN(" ",TRUE,[1]SETUP!C$3,[1]SETUP!C$85,[1]SETUP!C$38,"_",[1]SETUP!B47)</f>
        <v>Residential Building Detached _ F</v>
      </c>
      <c r="R31" s="1047" t="s">
        <v>275</v>
      </c>
      <c r="S31" s="1046" t="s">
        <v>275</v>
      </c>
      <c r="T31" s="1047"/>
      <c r="U31" s="1046"/>
      <c r="V31" s="80"/>
      <c r="Y31" s="467" t="s">
        <v>297</v>
      </c>
      <c r="Z31" s="467" t="s">
        <v>297</v>
      </c>
      <c r="AA31" s="467" t="s">
        <v>297</v>
      </c>
      <c r="AB31" s="467" t="s">
        <v>297</v>
      </c>
      <c r="AC31" s="467" t="s">
        <v>297</v>
      </c>
      <c r="AD31" s="467" t="s">
        <v>297</v>
      </c>
      <c r="AE31" s="467" t="s">
        <v>297</v>
      </c>
      <c r="AF31" s="467" t="s">
        <v>297</v>
      </c>
      <c r="AG31" s="467" t="s">
        <v>297</v>
      </c>
      <c r="AH31" s="467" t="s">
        <v>297</v>
      </c>
      <c r="AI31" s="467" t="s">
        <v>219</v>
      </c>
      <c r="AJ31" s="480" t="s">
        <v>902</v>
      </c>
      <c r="AK31" s="480" t="s">
        <v>221</v>
      </c>
      <c r="AL31" s="467" t="s">
        <v>903</v>
      </c>
      <c r="AM31" s="467" t="s">
        <v>904</v>
      </c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</row>
    <row r="32" spans="2:79" ht="13.5" thickBot="1">
      <c r="B32" s="932"/>
      <c r="C32" s="507"/>
      <c r="D32" s="506"/>
      <c r="E32" s="506" t="str">
        <f>[1]COMM!$O$10</f>
        <v>RSDSC_Att</v>
      </c>
      <c r="F32" s="506"/>
      <c r="G32" s="1044"/>
      <c r="H32" s="1044"/>
      <c r="I32" s="1044"/>
      <c r="J32" s="506"/>
      <c r="K32" s="506"/>
      <c r="L32" s="1045">
        <v>0</v>
      </c>
      <c r="N32" s="423" t="s">
        <v>276</v>
      </c>
      <c r="O32" s="423" t="str">
        <f>_xlfn.TEXTJOIN(",",TRUE,IF(LEFT([1]Regions!$C$3,1)&lt;&gt;"*",[1]Regions!$C$3,""),IF(LEFT([1]Regions!$D$3,1)&lt;&gt;"*",[1]Regions!$D$3,""))</f>
        <v>IE,National</v>
      </c>
      <c r="P32" s="423" t="str">
        <f>_xlfn.TEXTJOIN("",TRUE,LEFT([1]SETUP!B$3,1),"-",[1]SETUP!B$85,"_",[1]SETUP!B$38,"_",[1]SETUP!B48)</f>
        <v>R-BLD_Det_G</v>
      </c>
      <c r="Q32" s="423" t="str">
        <f>_xlfn.TEXTJOIN(" ",TRUE,[1]SETUP!C$3,[1]SETUP!C$85,[1]SETUP!C$38,"_",[1]SETUP!B48)</f>
        <v>Residential Building Detached _ G</v>
      </c>
      <c r="R32" s="423" t="s">
        <v>275</v>
      </c>
      <c r="S32" s="1043" t="s">
        <v>275</v>
      </c>
      <c r="T32" s="423"/>
      <c r="U32" s="423"/>
      <c r="V32" s="80"/>
      <c r="X32" s="467" t="s">
        <v>288</v>
      </c>
      <c r="Y32" s="467" t="s">
        <v>398</v>
      </c>
      <c r="Z32" s="467" t="s">
        <v>399</v>
      </c>
      <c r="AA32" s="467" t="s">
        <v>905</v>
      </c>
      <c r="AB32" s="467" t="s">
        <v>906</v>
      </c>
      <c r="AC32" s="467" t="s">
        <v>907</v>
      </c>
      <c r="AD32" s="480" t="s">
        <v>417</v>
      </c>
      <c r="AE32" s="480" t="s">
        <v>903</v>
      </c>
      <c r="AF32" s="467" t="s">
        <v>908</v>
      </c>
      <c r="AG32" s="467" t="s">
        <v>909</v>
      </c>
      <c r="AH32" s="467" t="s">
        <v>218</v>
      </c>
      <c r="AI32" s="467" t="s">
        <v>910</v>
      </c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</row>
    <row r="33" spans="2:79" ht="15">
      <c r="B33" s="933"/>
      <c r="C33" s="331"/>
      <c r="D33" s="331"/>
      <c r="E33" s="331" t="str">
        <f>[1]COMM!$O$13</f>
        <v>RSDWH_Att</v>
      </c>
      <c r="F33" s="331"/>
      <c r="G33" s="1048"/>
      <c r="H33" s="1048"/>
      <c r="I33" s="1048"/>
      <c r="J33" s="331"/>
      <c r="K33" s="331"/>
      <c r="L33" s="1049">
        <f>AJ53*0.680373148422337</f>
        <v>1.132246536754539E-2</v>
      </c>
      <c r="N33" s="80"/>
      <c r="O33" s="80"/>
      <c r="P33" s="80"/>
      <c r="Q33" s="80"/>
      <c r="R33" s="80"/>
      <c r="S33" s="80"/>
      <c r="T33" s="80"/>
      <c r="U33" s="80"/>
      <c r="V33" s="80"/>
      <c r="W33" s="467" t="s">
        <v>48</v>
      </c>
      <c r="X33" s="223">
        <v>6419</v>
      </c>
      <c r="Y33" s="223">
        <v>535137</v>
      </c>
      <c r="Z33" s="467">
        <v>52</v>
      </c>
      <c r="AA33" s="223">
        <v>-505747</v>
      </c>
      <c r="AB33" s="223">
        <v>11249</v>
      </c>
      <c r="AC33" s="223">
        <v>2509515</v>
      </c>
      <c r="AD33" s="223">
        <v>1893006</v>
      </c>
      <c r="AE33" s="223">
        <v>5793778</v>
      </c>
      <c r="AF33" s="223">
        <v>31852</v>
      </c>
      <c r="AG33" s="223">
        <v>9733652</v>
      </c>
      <c r="AH33" s="1050">
        <v>9418.8988568067343</v>
      </c>
      <c r="AI33" s="467">
        <f t="shared" ref="AI33:AI41" si="0">((AH33/X33)*$X$18*(AA33+AB33)*0.0000000036)/(AH33/1000)</f>
        <v>-2.0601927769047266E-4</v>
      </c>
      <c r="AJ33" s="467">
        <f>((AH33/X33)*(AE33+AF33)*0.0000000036)/(AH33/1000)</f>
        <v>3.2672173235706492E-3</v>
      </c>
      <c r="AK33" s="467">
        <f>((AH33/X33)*(AC33)*0.0000000036)/(AH33/1000)</f>
        <v>1.4074238978033962E-3</v>
      </c>
      <c r="AL33" s="467">
        <f>((AH33/X33)*(AD33)*0.0000000036)/(AH33/1000)</f>
        <v>1.0616640598224022E-3</v>
      </c>
      <c r="AM33" s="467">
        <f>ABS(((AH33/X33)*$T$12*(AA33+AB33)*0.0000000036)/1000)</f>
        <v>0</v>
      </c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</row>
    <row r="34" spans="2:79" ht="15">
      <c r="B34" s="932"/>
      <c r="C34" s="507"/>
      <c r="D34" s="506"/>
      <c r="E34" s="506" t="str">
        <f>[1]COMM!$O$16</f>
        <v>RSDLT_Att</v>
      </c>
      <c r="F34" s="506"/>
      <c r="G34" s="1044"/>
      <c r="H34" s="1044"/>
      <c r="I34" s="1044"/>
      <c r="J34" s="506"/>
      <c r="K34" s="506"/>
      <c r="L34" s="1045">
        <f>AK53*0.356554867550228</f>
        <v>9.1924618858387755E-4</v>
      </c>
      <c r="U34" s="80"/>
      <c r="V34" s="80"/>
      <c r="W34" s="467" t="s">
        <v>50</v>
      </c>
      <c r="X34" s="223">
        <v>3209</v>
      </c>
      <c r="Y34" s="223">
        <v>264012</v>
      </c>
      <c r="Z34" s="467">
        <v>91</v>
      </c>
      <c r="AA34" s="223">
        <v>5149071</v>
      </c>
      <c r="AB34" s="223">
        <v>157450</v>
      </c>
      <c r="AC34" s="223">
        <v>1694468</v>
      </c>
      <c r="AD34" s="223">
        <v>638663</v>
      </c>
      <c r="AE34" s="223">
        <v>6968385</v>
      </c>
      <c r="AF34" s="223">
        <v>83330</v>
      </c>
      <c r="AG34" s="223">
        <v>14691367</v>
      </c>
      <c r="AH34" s="1051">
        <v>7459.2913438514906</v>
      </c>
      <c r="AI34" s="467">
        <f t="shared" si="0"/>
        <v>4.4223271439528837E-3</v>
      </c>
      <c r="AJ34" s="467">
        <f t="shared" ref="AJ34:AJ41" si="1">((AH34/X34)*(AE34+AF34)*0.0000000036)/(AH34/1000)</f>
        <v>7.9109298846992832E-3</v>
      </c>
      <c r="AK34" s="467">
        <f t="shared" ref="AK34:AK41" si="2">((AH34/X34)*(AC34)*0.0000000036)/(AH34/1000)</f>
        <v>1.90093013399813E-3</v>
      </c>
      <c r="AL34" s="467">
        <f t="shared" ref="AL34:AL41" si="3">((AH34/X34)*(AD34)*0.0000000036)/(AH34/1000)</f>
        <v>7.1648077282642571E-4</v>
      </c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</row>
    <row r="35" spans="2:79" ht="15.75" thickBot="1">
      <c r="B35" s="934"/>
      <c r="C35" s="935"/>
      <c r="D35" s="935"/>
      <c r="E35" s="935" t="str">
        <f>[1]COMM!$O$19</f>
        <v>RSDPF_Att</v>
      </c>
      <c r="F35" s="935"/>
      <c r="G35" s="937"/>
      <c r="H35" s="937"/>
      <c r="I35" s="937"/>
      <c r="J35" s="935"/>
      <c r="K35" s="935"/>
      <c r="L35" s="1052">
        <f>AL53*0.419920234349212</f>
        <v>2.7679043391901E-4</v>
      </c>
      <c r="U35" s="80"/>
      <c r="V35" s="80"/>
      <c r="W35" s="467" t="s">
        <v>52</v>
      </c>
      <c r="X35" s="223">
        <v>8665</v>
      </c>
      <c r="Y35" s="223">
        <v>712223</v>
      </c>
      <c r="Z35" s="467">
        <v>114</v>
      </c>
      <c r="AA35" s="223">
        <v>24443713</v>
      </c>
      <c r="AB35" s="223">
        <v>1103093</v>
      </c>
      <c r="AC35" s="223">
        <v>5068146</v>
      </c>
      <c r="AD35" s="223">
        <v>1589124</v>
      </c>
      <c r="AE35" s="223">
        <v>23824149</v>
      </c>
      <c r="AF35" s="223">
        <v>271620</v>
      </c>
      <c r="AG35" s="223">
        <v>56299844</v>
      </c>
      <c r="AH35" s="1053">
        <v>14041.847426430093</v>
      </c>
      <c r="AI35" s="467">
        <f t="shared" si="0"/>
        <v>7.8845831836233844E-3</v>
      </c>
      <c r="AJ35" s="467">
        <f t="shared" si="1"/>
        <v>1.00109369186382E-2</v>
      </c>
      <c r="AK35" s="467">
        <f t="shared" si="2"/>
        <v>2.1056348066935951E-3</v>
      </c>
      <c r="AL35" s="467">
        <f t="shared" si="3"/>
        <v>6.6022462781304097E-4</v>
      </c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</row>
    <row r="36" spans="2:79" ht="15">
      <c r="B36" s="927" t="str">
        <f>_xlfn.TEXTJOIN(",",TRUE,IF(LEFT([1]Regions!$C$3,1)&lt;&gt;"*",[1]Regions!$C$3,""),IF(LEFT([1]Regions!$D$3,1)&lt;&gt;"*",[1]Regions!$D$3,""))</f>
        <v>IE,National</v>
      </c>
      <c r="C36" s="928" t="str">
        <f>P12</f>
        <v>R-BLD_Att_E</v>
      </c>
      <c r="D36" s="929" t="str">
        <f>Q12</f>
        <v>Residential Building Attached _ E</v>
      </c>
      <c r="E36" s="929" t="str">
        <f>[1]COMM!$O$7</f>
        <v>RSDSH_Att</v>
      </c>
      <c r="F36" s="929" t="str">
        <f>[1]COMM!$O$22</f>
        <v>RSD_Att</v>
      </c>
      <c r="G36" s="931">
        <f>Y14/1000</f>
        <v>101.41889596184672</v>
      </c>
      <c r="H36" s="931">
        <f>G36*$Y$26</f>
        <v>84.512366005006868</v>
      </c>
      <c r="I36" s="931">
        <v>1</v>
      </c>
      <c r="J36" s="929">
        <v>100</v>
      </c>
      <c r="K36" s="929">
        <v>1</v>
      </c>
      <c r="L36" s="1042">
        <f>AI54*0.796873981712218</f>
        <v>3.7514000746358099E-2</v>
      </c>
      <c r="U36" s="80"/>
      <c r="V36" s="80"/>
      <c r="W36" s="467" t="s">
        <v>54</v>
      </c>
      <c r="X36" s="223">
        <v>13570</v>
      </c>
      <c r="Y36" s="223">
        <v>1073828</v>
      </c>
      <c r="Z36" s="467">
        <v>138</v>
      </c>
      <c r="AA36" s="223">
        <v>50858810</v>
      </c>
      <c r="AB36" s="223">
        <v>3129098</v>
      </c>
      <c r="AC36" s="223">
        <v>7944420</v>
      </c>
      <c r="AD36" s="223">
        <v>2305495</v>
      </c>
      <c r="AE36" s="223">
        <v>41205233</v>
      </c>
      <c r="AF36" s="223">
        <v>896605</v>
      </c>
      <c r="AG36" s="223">
        <v>106339660</v>
      </c>
      <c r="AH36" s="1051">
        <v>19924.480375055824</v>
      </c>
      <c r="AI36" s="467">
        <f>((AH36/X36)*$X$18*(AA36+AB36)*0.0000000036)/(AH36/1000)</f>
        <v>1.0639650151914025E-2</v>
      </c>
      <c r="AJ36" s="467">
        <f t="shared" si="1"/>
        <v>1.1169242210759026E-2</v>
      </c>
      <c r="AK36" s="467">
        <f t="shared" si="2"/>
        <v>2.1075837877671333E-3</v>
      </c>
      <c r="AL36" s="467">
        <f t="shared" si="3"/>
        <v>6.1162726602800291E-4</v>
      </c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</row>
    <row r="37" spans="2:79" ht="15">
      <c r="B37" s="932"/>
      <c r="C37" s="507"/>
      <c r="D37" s="506"/>
      <c r="E37" s="506" t="str">
        <f>[1]COMM!$O$10</f>
        <v>RSDSC_Att</v>
      </c>
      <c r="F37" s="506"/>
      <c r="G37" s="1044"/>
      <c r="H37" s="1044"/>
      <c r="I37" s="1044"/>
      <c r="J37" s="506"/>
      <c r="K37" s="506"/>
      <c r="L37" s="1045">
        <v>0</v>
      </c>
      <c r="U37" s="80"/>
      <c r="V37" s="80"/>
      <c r="W37" s="467" t="s">
        <v>56</v>
      </c>
      <c r="X37" s="223">
        <v>45566</v>
      </c>
      <c r="Y37" s="223">
        <v>3308771</v>
      </c>
      <c r="Z37" s="467">
        <v>187</v>
      </c>
      <c r="AA37" s="223">
        <v>191371995</v>
      </c>
      <c r="AB37" s="223">
        <v>20181333</v>
      </c>
      <c r="AC37" s="223">
        <v>24809831</v>
      </c>
      <c r="AD37" s="223">
        <v>5185837</v>
      </c>
      <c r="AE37" s="223">
        <v>135290780</v>
      </c>
      <c r="AF37" s="223">
        <v>5131131</v>
      </c>
      <c r="AG37" s="223">
        <v>381970906</v>
      </c>
      <c r="AH37" s="1053">
        <v>58904.8034364337</v>
      </c>
      <c r="AI37" s="467">
        <f t="shared" si="0"/>
        <v>1.2416227238810909E-2</v>
      </c>
      <c r="AJ37" s="467">
        <f t="shared" si="1"/>
        <v>1.1094212342536101E-2</v>
      </c>
      <c r="AK37" s="467">
        <f t="shared" si="2"/>
        <v>1.9601323706272223E-3</v>
      </c>
      <c r="AL37" s="467">
        <f t="shared" si="3"/>
        <v>4.097136724750911E-4</v>
      </c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</row>
    <row r="38" spans="2:79" ht="15.75" thickBot="1">
      <c r="B38" s="933"/>
      <c r="C38" s="331"/>
      <c r="D38" s="331"/>
      <c r="E38" s="331" t="str">
        <f>[1]COMM!$O$13</f>
        <v>RSDWH_Att</v>
      </c>
      <c r="F38" s="331"/>
      <c r="G38" s="1048"/>
      <c r="H38" s="1048"/>
      <c r="I38" s="1048"/>
      <c r="J38" s="331"/>
      <c r="K38" s="331"/>
      <c r="L38" s="1049">
        <f>AJ54*0.680373148422337</f>
        <v>1.1808458955467865E-2</v>
      </c>
      <c r="U38" s="80"/>
      <c r="V38" s="80"/>
      <c r="W38" s="467" t="s">
        <v>58</v>
      </c>
      <c r="X38" s="223">
        <v>30979</v>
      </c>
      <c r="Y38" s="223">
        <v>2017902</v>
      </c>
      <c r="Z38" s="467">
        <v>261</v>
      </c>
      <c r="AA38" s="223">
        <v>133224360</v>
      </c>
      <c r="AB38" s="223">
        <v>19396995</v>
      </c>
      <c r="AC38" s="223">
        <v>15123200</v>
      </c>
      <c r="AD38" s="223">
        <v>1533922</v>
      </c>
      <c r="AE38" s="223">
        <v>78676858</v>
      </c>
      <c r="AF38" s="223">
        <v>2505229</v>
      </c>
      <c r="AG38" s="223">
        <v>250460563</v>
      </c>
      <c r="AH38" s="1051">
        <v>43739.341649106158</v>
      </c>
      <c r="AI38" s="467">
        <f t="shared" si="0"/>
        <v>1.3175242175504588E-2</v>
      </c>
      <c r="AJ38" s="467">
        <f t="shared" si="1"/>
        <v>9.4339879660415103E-3</v>
      </c>
      <c r="AK38" s="467">
        <f t="shared" si="2"/>
        <v>1.7574330998418282E-3</v>
      </c>
      <c r="AL38" s="467">
        <f t="shared" si="3"/>
        <v>1.7825362987830464E-4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</row>
    <row r="39" spans="2:79" ht="16.5" thickBot="1">
      <c r="B39" s="932"/>
      <c r="C39" s="507"/>
      <c r="D39" s="506"/>
      <c r="E39" s="506" t="str">
        <f>[1]COMM!$O$16</f>
        <v>RSDLT_Att</v>
      </c>
      <c r="F39" s="506"/>
      <c r="G39" s="1044"/>
      <c r="H39" s="1044"/>
      <c r="I39" s="1044"/>
      <c r="J39" s="506"/>
      <c r="K39" s="506"/>
      <c r="L39" s="1045">
        <f>AK54*0.356554867550228</f>
        <v>8.9109282290019375E-4</v>
      </c>
      <c r="N39" s="80"/>
      <c r="O39" s="1110" t="s">
        <v>607</v>
      </c>
      <c r="P39" s="1111"/>
      <c r="Q39" s="1111"/>
      <c r="R39" s="1111"/>
      <c r="S39" s="1112"/>
      <c r="T39" s="80"/>
      <c r="V39" s="80"/>
      <c r="W39" s="467" t="s">
        <v>60</v>
      </c>
      <c r="X39" s="223">
        <v>15595</v>
      </c>
      <c r="Y39" s="223">
        <v>931541</v>
      </c>
      <c r="Z39" s="467">
        <v>337</v>
      </c>
      <c r="AA39" s="223">
        <v>83766308</v>
      </c>
      <c r="AB39" s="223">
        <v>16239436</v>
      </c>
      <c r="AC39" s="223">
        <v>7086953</v>
      </c>
      <c r="AD39" s="223">
        <v>575189</v>
      </c>
      <c r="AE39" s="223">
        <v>37375430</v>
      </c>
      <c r="AF39" s="223">
        <v>1099500</v>
      </c>
      <c r="AG39" s="223">
        <v>146142817</v>
      </c>
      <c r="AH39" s="1053">
        <v>25767.876472761334</v>
      </c>
      <c r="AI39" s="467">
        <f t="shared" si="0"/>
        <v>1.7149452612704487E-2</v>
      </c>
      <c r="AJ39" s="467">
        <f t="shared" si="1"/>
        <v>8.8816766912471947E-3</v>
      </c>
      <c r="AK39" s="467">
        <f t="shared" si="2"/>
        <v>1.6359750432831035E-3</v>
      </c>
      <c r="AL39" s="467">
        <f t="shared" si="3"/>
        <v>1.3277848028214173E-4</v>
      </c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</row>
    <row r="40" spans="2:79" ht="15.75" thickBot="1">
      <c r="B40" s="934"/>
      <c r="C40" s="935"/>
      <c r="D40" s="935"/>
      <c r="E40" s="935" t="str">
        <f>[1]COMM!$O$19</f>
        <v>RSDPF_Att</v>
      </c>
      <c r="F40" s="935"/>
      <c r="G40" s="937"/>
      <c r="H40" s="937"/>
      <c r="I40" s="937"/>
      <c r="J40" s="935"/>
      <c r="K40" s="935"/>
      <c r="L40" s="1052">
        <f>AK54*0.419920234349212</f>
        <v>1.0494539300222516E-3</v>
      </c>
      <c r="N40" s="80"/>
      <c r="O40" s="906"/>
      <c r="P40" s="907" t="s">
        <v>840</v>
      </c>
      <c r="Q40" s="907" t="s">
        <v>839</v>
      </c>
      <c r="R40" s="908" t="s">
        <v>841</v>
      </c>
      <c r="S40" s="906" t="s">
        <v>842</v>
      </c>
      <c r="T40" s="80"/>
      <c r="U40" s="80"/>
      <c r="V40" s="80"/>
      <c r="W40" s="467" t="s">
        <v>62</v>
      </c>
      <c r="X40" s="223">
        <v>5191</v>
      </c>
      <c r="Y40" s="223">
        <v>290189</v>
      </c>
      <c r="Z40" s="467">
        <v>413</v>
      </c>
      <c r="AA40" s="223">
        <v>36993288</v>
      </c>
      <c r="AB40" s="223">
        <v>7041768</v>
      </c>
      <c r="AC40" s="223">
        <v>2218849</v>
      </c>
      <c r="AD40" s="223">
        <v>235069</v>
      </c>
      <c r="AE40" s="223">
        <v>12463794</v>
      </c>
      <c r="AF40" s="223">
        <v>507628</v>
      </c>
      <c r="AG40" s="223">
        <v>59460396</v>
      </c>
      <c r="AH40" s="1051">
        <v>12331.173226884033</v>
      </c>
      <c r="AI40" s="467">
        <f>((AH40/X40)*$X$18*(AA40+AB40)*0.0000000036)/(AH40/1000)</f>
        <v>2.2686015294626209E-2</v>
      </c>
      <c r="AJ40" s="467">
        <f t="shared" si="1"/>
        <v>8.995784858408783E-3</v>
      </c>
      <c r="AK40" s="467">
        <f t="shared" si="2"/>
        <v>1.5387895203236371E-3</v>
      </c>
      <c r="AL40" s="467">
        <f t="shared" si="3"/>
        <v>1.6302223078404931E-4</v>
      </c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</row>
    <row r="41" spans="2:79" ht="15.75" thickBot="1">
      <c r="B41" s="927" t="str">
        <f>_xlfn.TEXTJOIN(",",TRUE,IF(LEFT([1]Regions!$C$3,1)&lt;&gt;"*",[1]Regions!$C$3,""),IF(LEFT([1]Regions!$D$3,1)&lt;&gt;"*",[1]Regions!$D$3,""))</f>
        <v>IE,National</v>
      </c>
      <c r="C41" s="928" t="str">
        <f>P13</f>
        <v>R-BLD_Att_F</v>
      </c>
      <c r="D41" s="929" t="str">
        <f>Q13</f>
        <v>Residential Building Attached _ F</v>
      </c>
      <c r="E41" s="929" t="str">
        <f>[1]COMM!$O$7</f>
        <v>RSDSH_Att</v>
      </c>
      <c r="F41" s="929" t="str">
        <f>[1]COMM!$O$22</f>
        <v>RSD_Att</v>
      </c>
      <c r="G41" s="931">
        <f>Y15/1000</f>
        <v>50.123806027321166</v>
      </c>
      <c r="H41" s="931">
        <f>G41*$Y$26</f>
        <v>41.768167562566731</v>
      </c>
      <c r="I41" s="931">
        <v>1</v>
      </c>
      <c r="J41" s="929">
        <v>100</v>
      </c>
      <c r="K41" s="929">
        <v>1</v>
      </c>
      <c r="L41" s="1042">
        <f>AI55*0.796873981712218</f>
        <v>4.7137900207372685E-2</v>
      </c>
      <c r="N41" s="80"/>
      <c r="O41" s="909" t="s">
        <v>42</v>
      </c>
      <c r="P41" s="918">
        <f>'[1]SHWLP-Apt'!E25</f>
        <v>37772</v>
      </c>
      <c r="Q41" s="910">
        <f>P41/SUM(P41+R41)</f>
        <v>0.58696834548025667</v>
      </c>
      <c r="R41" s="918">
        <f>'[1]SHWLP-Apt'!E12</f>
        <v>26579</v>
      </c>
      <c r="S41" s="911">
        <f>R41/SUM(P41+R41)</f>
        <v>0.41303165451974327</v>
      </c>
      <c r="T41" s="80"/>
      <c r="U41" s="80"/>
      <c r="V41" s="80"/>
      <c r="W41" s="467" t="s">
        <v>64</v>
      </c>
      <c r="X41" s="223">
        <v>5603</v>
      </c>
      <c r="Y41" s="223">
        <v>294590</v>
      </c>
      <c r="Z41" s="467">
        <v>602</v>
      </c>
      <c r="AA41" s="223">
        <v>59600854</v>
      </c>
      <c r="AB41" s="223">
        <v>9624009</v>
      </c>
      <c r="AC41" s="223">
        <v>2310613</v>
      </c>
      <c r="AD41" s="223">
        <v>213528</v>
      </c>
      <c r="AE41" s="223">
        <v>12820227</v>
      </c>
      <c r="AF41" s="223">
        <v>550098</v>
      </c>
      <c r="AG41" s="223">
        <v>85119330</v>
      </c>
      <c r="AH41" s="1056">
        <v>15211.172212670604</v>
      </c>
      <c r="AI41" s="467">
        <f t="shared" si="0"/>
        <v>3.304092361183459E-2</v>
      </c>
      <c r="AJ41" s="467">
        <f t="shared" si="1"/>
        <v>8.5906068177761911E-3</v>
      </c>
      <c r="AK41" s="467">
        <f t="shared" si="2"/>
        <v>1.4845987506692845E-3</v>
      </c>
      <c r="AL41" s="467">
        <f t="shared" si="3"/>
        <v>1.3719450294485098E-4</v>
      </c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</row>
    <row r="42" spans="2:79" ht="15.75" thickBot="1">
      <c r="B42" s="932"/>
      <c r="C42" s="507"/>
      <c r="D42" s="506"/>
      <c r="E42" s="506" t="str">
        <f>[1]COMM!$O$10</f>
        <v>RSDSC_Att</v>
      </c>
      <c r="F42" s="506"/>
      <c r="G42" s="1044"/>
      <c r="H42" s="1044"/>
      <c r="I42" s="1044"/>
      <c r="J42" s="506"/>
      <c r="K42" s="506"/>
      <c r="L42" s="1045">
        <v>0</v>
      </c>
      <c r="N42" s="80"/>
      <c r="O42" s="912" t="s">
        <v>44</v>
      </c>
      <c r="P42" s="919">
        <f>'[1]SHWLP-Att'!E25</f>
        <v>12745</v>
      </c>
      <c r="Q42" s="913">
        <f t="shared" ref="Q42:Q43" si="4">P42/SUM(P42+R42)</f>
        <v>0.36680481206469812</v>
      </c>
      <c r="R42" s="919">
        <f>'[1]SHWLP-Att'!E12</f>
        <v>22001</v>
      </c>
      <c r="S42" s="914">
        <f t="shared" ref="S42:S43" si="5">R42/SUM(P42+R42)</f>
        <v>0.63319518793530194</v>
      </c>
      <c r="T42" s="80"/>
      <c r="U42" s="80"/>
      <c r="V42" s="80"/>
      <c r="AH42" s="1057">
        <v>206798.88499999998</v>
      </c>
      <c r="AI42" s="223">
        <f>AVERAGE(AI33:AI41)</f>
        <v>1.3467600237253401E-2</v>
      </c>
      <c r="AJ42" s="467">
        <f t="shared" ref="AJ42:AM42" si="6">AVERAGE(AJ33:AJ41)</f>
        <v>8.8171772237418834E-3</v>
      </c>
      <c r="AK42" s="467">
        <f>AVERAGE(AK33:AK41)</f>
        <v>1.7665001567785923E-3</v>
      </c>
      <c r="AL42" s="467">
        <f t="shared" si="6"/>
        <v>4.5232880476158994E-4</v>
      </c>
      <c r="AM42" s="467">
        <f t="shared" si="6"/>
        <v>0</v>
      </c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</row>
    <row r="43" spans="2:79">
      <c r="B43" s="933"/>
      <c r="C43" s="331"/>
      <c r="D43" s="331"/>
      <c r="E43" s="331" t="str">
        <f>[1]COMM!$O$13</f>
        <v>RSDWH_Att</v>
      </c>
      <c r="F43" s="331"/>
      <c r="G43" s="1048"/>
      <c r="H43" s="1048"/>
      <c r="I43" s="1048"/>
      <c r="J43" s="331"/>
      <c r="K43" s="331"/>
      <c r="L43" s="1049">
        <f>AJ55*0.680373148422337</f>
        <v>1.2259124983463725E-2</v>
      </c>
      <c r="N43" s="80"/>
      <c r="O43" s="915" t="s">
        <v>46</v>
      </c>
      <c r="P43" s="920">
        <f>'[1]SHWLP-Det'!E25</f>
        <v>6299</v>
      </c>
      <c r="Q43" s="916">
        <f t="shared" si="4"/>
        <v>0.35199776473875383</v>
      </c>
      <c r="R43" s="920">
        <f>'[1]SHWLP-Det'!E12</f>
        <v>11596</v>
      </c>
      <c r="S43" s="917">
        <f t="shared" si="5"/>
        <v>0.64800223526124612</v>
      </c>
      <c r="T43" s="80"/>
      <c r="U43" s="80"/>
      <c r="V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</row>
    <row r="44" spans="2:79">
      <c r="B44" s="932"/>
      <c r="C44" s="507"/>
      <c r="D44" s="506"/>
      <c r="E44" s="506" t="str">
        <f>[1]COMM!$O$16</f>
        <v>RSDLT_Att</v>
      </c>
      <c r="F44" s="506"/>
      <c r="G44" s="1044"/>
      <c r="H44" s="1044"/>
      <c r="I44" s="1044"/>
      <c r="J44" s="506"/>
      <c r="K44" s="506"/>
      <c r="L44" s="1045">
        <f>AK55*0.356554867550228</f>
        <v>8.9154892639270206E-4</v>
      </c>
      <c r="N44" s="80"/>
      <c r="O44" s="80"/>
      <c r="P44" s="80"/>
      <c r="Q44" s="80"/>
      <c r="R44" s="80"/>
      <c r="S44" s="80"/>
      <c r="T44" s="80"/>
      <c r="U44" s="80"/>
      <c r="V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</row>
    <row r="45" spans="2:79" ht="13.5" thickBot="1">
      <c r="B45" s="934"/>
      <c r="C45" s="935"/>
      <c r="D45" s="935"/>
      <c r="E45" s="935" t="str">
        <f>[1]COMM!$O$19</f>
        <v>RSDPF_Att</v>
      </c>
      <c r="F45" s="935"/>
      <c r="G45" s="937"/>
      <c r="H45" s="937"/>
      <c r="I45" s="937"/>
      <c r="J45" s="935"/>
      <c r="K45" s="935"/>
      <c r="L45" s="1052">
        <f>AL55*0.419920234349212</f>
        <v>2.4866107657207698E-4</v>
      </c>
      <c r="N45" s="80"/>
      <c r="O45" s="80"/>
      <c r="P45" s="80"/>
      <c r="Q45" s="80"/>
      <c r="R45" s="80"/>
      <c r="S45" s="80"/>
      <c r="T45" s="80"/>
      <c r="U45" s="80"/>
      <c r="V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</row>
    <row r="46" spans="2:79">
      <c r="B46" s="927" t="str">
        <f>_xlfn.TEXTJOIN(",",TRUE,IF(LEFT([1]Regions!$C$3,1)&lt;&gt;"*",[1]Regions!$C$3,""),IF(LEFT([1]Regions!$D$3,1)&lt;&gt;"*",[1]Regions!$D$3,""))</f>
        <v>IE,National</v>
      </c>
      <c r="C46" s="928" t="str">
        <f>P14</f>
        <v>R-BLD_Att_G</v>
      </c>
      <c r="D46" s="929" t="str">
        <f>Q14</f>
        <v>Residential Building Attached _ G</v>
      </c>
      <c r="E46" s="929" t="str">
        <f>[1]COMM!$O$7</f>
        <v>RSDSH_Att</v>
      </c>
      <c r="F46" s="929" t="str">
        <f>[1]COMM!$O$22</f>
        <v>RSD_Att</v>
      </c>
      <c r="G46" s="931">
        <f>Y16/1000</f>
        <v>52.706674394088104</v>
      </c>
      <c r="H46" s="931">
        <f>G46*$Y$26</f>
        <v>43.920471772593622</v>
      </c>
      <c r="I46" s="931">
        <v>1</v>
      </c>
      <c r="J46" s="929">
        <v>100</v>
      </c>
      <c r="K46" s="929">
        <v>1</v>
      </c>
      <c r="L46" s="1042">
        <f>AI56*0.796873981712218</f>
        <v>6.1920488995074165E-2</v>
      </c>
      <c r="N46" s="80"/>
      <c r="O46" s="80"/>
      <c r="P46" s="80"/>
      <c r="Q46" s="80"/>
      <c r="R46" s="80"/>
      <c r="S46" s="80"/>
      <c r="T46" s="80"/>
      <c r="U46" s="80"/>
      <c r="V46" s="80"/>
      <c r="X46" s="467" t="s">
        <v>44</v>
      </c>
      <c r="Y46" s="467" t="s">
        <v>44</v>
      </c>
      <c r="Z46" s="467" t="s">
        <v>44</v>
      </c>
      <c r="AA46" s="467" t="s">
        <v>44</v>
      </c>
      <c r="AB46" s="467" t="s">
        <v>44</v>
      </c>
      <c r="AC46" s="467" t="s">
        <v>44</v>
      </c>
      <c r="AD46" s="467" t="s">
        <v>44</v>
      </c>
      <c r="AE46" s="467" t="s">
        <v>44</v>
      </c>
      <c r="AF46" s="467" t="s">
        <v>44</v>
      </c>
      <c r="AG46" s="467" t="s">
        <v>44</v>
      </c>
      <c r="AI46" s="467" t="s">
        <v>219</v>
      </c>
      <c r="AJ46" s="480" t="s">
        <v>902</v>
      </c>
      <c r="AK46" s="480" t="s">
        <v>221</v>
      </c>
      <c r="AL46" s="467" t="s">
        <v>903</v>
      </c>
      <c r="AM46" s="467" t="s">
        <v>904</v>
      </c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</row>
    <row r="47" spans="2:79" ht="13.5" thickBot="1">
      <c r="B47" s="932"/>
      <c r="C47" s="507"/>
      <c r="D47" s="506"/>
      <c r="E47" s="506" t="str">
        <f>[1]COMM!$O$10</f>
        <v>RSDSC_Att</v>
      </c>
      <c r="F47" s="506"/>
      <c r="G47" s="1044"/>
      <c r="H47" s="1044"/>
      <c r="I47" s="1044"/>
      <c r="J47" s="506"/>
      <c r="K47" s="506"/>
      <c r="L47" s="1045"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467" t="s">
        <v>288</v>
      </c>
      <c r="X47" s="467" t="s">
        <v>398</v>
      </c>
      <c r="Y47" s="467" t="s">
        <v>399</v>
      </c>
      <c r="Z47" s="467" t="s">
        <v>905</v>
      </c>
      <c r="AA47" s="467" t="s">
        <v>906</v>
      </c>
      <c r="AB47" s="467" t="s">
        <v>907</v>
      </c>
      <c r="AC47" s="480" t="s">
        <v>417</v>
      </c>
      <c r="AD47" s="480" t="s">
        <v>903</v>
      </c>
      <c r="AE47" s="467" t="s">
        <v>908</v>
      </c>
      <c r="AF47" s="467" t="s">
        <v>909</v>
      </c>
      <c r="AG47" s="467" t="s">
        <v>218</v>
      </c>
      <c r="AI47" s="467" t="s">
        <v>910</v>
      </c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</row>
    <row r="48" spans="2:79" ht="15.75" thickBot="1">
      <c r="B48" s="933"/>
      <c r="C48" s="331"/>
      <c r="D48" s="331"/>
      <c r="E48" s="331" t="str">
        <f>[1]COMM!$O$13</f>
        <v>RSDWH_Att</v>
      </c>
      <c r="F48" s="331"/>
      <c r="G48" s="1048"/>
      <c r="H48" s="1048"/>
      <c r="I48" s="1048"/>
      <c r="J48" s="331"/>
      <c r="K48" s="331"/>
      <c r="L48" s="1049">
        <f>AJ56*0.680373148422337</f>
        <v>1.1136996101049701E-2</v>
      </c>
      <c r="N48" s="80"/>
      <c r="O48" s="80" t="s">
        <v>843</v>
      </c>
      <c r="Q48" s="80"/>
      <c r="R48" s="80"/>
      <c r="S48" s="80"/>
      <c r="T48" s="80"/>
      <c r="U48" s="80"/>
      <c r="V48" s="80"/>
      <c r="W48" s="467" t="s">
        <v>48</v>
      </c>
      <c r="X48" s="223">
        <v>30917</v>
      </c>
      <c r="Y48" s="223">
        <v>3791316</v>
      </c>
      <c r="Z48" s="467">
        <v>54</v>
      </c>
      <c r="AA48" s="223">
        <v>10485360</v>
      </c>
      <c r="AB48" s="223">
        <v>1188542</v>
      </c>
      <c r="AC48" s="223">
        <v>17730384</v>
      </c>
      <c r="AD48" s="223">
        <v>10718118</v>
      </c>
      <c r="AE48" s="223">
        <v>77836062</v>
      </c>
      <c r="AF48" s="223">
        <v>4686</v>
      </c>
      <c r="AG48" s="223">
        <v>117963152</v>
      </c>
      <c r="AH48" s="1050">
        <v>15472.073727176739</v>
      </c>
      <c r="AI48" s="467">
        <f>((AH48/X48)*$Y$18*(AA48+AB48)*0.0000000036)/(AH48/1000)</f>
        <v>9.510263559994104E-4</v>
      </c>
      <c r="AJ48" s="467">
        <f>((AH48/X48)*(AE48+AF48)*0.0000000036)/(AH48/1000)</f>
        <v>9.0638384319306538E-3</v>
      </c>
      <c r="AK48" s="467">
        <f>((AH48/X48)*(AC48)*0.0000000036)/(AH48/1000)</f>
        <v>2.0645399747711616E-3</v>
      </c>
      <c r="AL48" s="467">
        <f>((AH48/X48)*(AD48)*0.0000000036)/(AH48/1000)</f>
        <v>1.2480261603648479E-3</v>
      </c>
    </row>
    <row r="49" spans="2:39" ht="15.75" thickBot="1">
      <c r="B49" s="932"/>
      <c r="C49" s="507"/>
      <c r="D49" s="506"/>
      <c r="E49" s="506" t="str">
        <f>[1]COMM!$O$16</f>
        <v>RSDLT_Att</v>
      </c>
      <c r="F49" s="506"/>
      <c r="G49" s="1044"/>
      <c r="H49" s="1044"/>
      <c r="I49" s="1044"/>
      <c r="J49" s="506"/>
      <c r="K49" s="506"/>
      <c r="L49" s="1045">
        <f>AK56*0.356554867550228</f>
        <v>8.6300616805861155E-4</v>
      </c>
      <c r="N49" s="80"/>
      <c r="O49" s="80"/>
      <c r="P49" s="907" t="s">
        <v>839</v>
      </c>
      <c r="Q49" s="907" t="s">
        <v>842</v>
      </c>
      <c r="R49" s="80"/>
      <c r="S49" s="80"/>
      <c r="T49" s="80"/>
      <c r="U49" s="80"/>
      <c r="V49" s="80"/>
      <c r="W49" s="467" t="s">
        <v>50</v>
      </c>
      <c r="X49" s="223">
        <v>3722</v>
      </c>
      <c r="Y49" s="223">
        <v>417890</v>
      </c>
      <c r="Z49" s="467">
        <v>90</v>
      </c>
      <c r="AA49" s="223">
        <v>13034192</v>
      </c>
      <c r="AB49" s="223">
        <v>2101151</v>
      </c>
      <c r="AC49" s="223">
        <v>2240850</v>
      </c>
      <c r="AD49" s="223">
        <v>788570</v>
      </c>
      <c r="AE49" s="223">
        <v>8717545</v>
      </c>
      <c r="AF49" s="223">
        <v>31109</v>
      </c>
      <c r="AG49" s="223">
        <v>26913417</v>
      </c>
      <c r="AH49" s="1051">
        <v>9537.7783975583752</v>
      </c>
      <c r="AI49" s="467">
        <f t="shared" ref="AI49:AI56" si="7">((AH49/X49)*$Y$18*(AA49+AB49)*0.0000000036)/(AH49/1000)</f>
        <v>1.0242117509517548E-2</v>
      </c>
      <c r="AJ49" s="467">
        <f t="shared" ref="AJ49:AJ56" si="8">((AH49/X49)*(AE49+AF49)*0.0000000036)/(AH49/1000)</f>
        <v>8.461889951638905E-3</v>
      </c>
      <c r="AK49" s="467">
        <f t="shared" ref="AK49:AK56" si="9">((AH49/X49)*(AC49)*0.0000000036)/(AH49/1000)</f>
        <v>2.1673992477162815E-3</v>
      </c>
      <c r="AL49" s="467">
        <f t="shared" ref="AL49:AL56" si="10">((AH49/X49)*(AD49)*0.0000000036)/(AH49/1000)</f>
        <v>7.6272219236969371E-4</v>
      </c>
    </row>
    <row r="50" spans="2:39" ht="15.75" thickBot="1">
      <c r="B50" s="934"/>
      <c r="C50" s="935"/>
      <c r="D50" s="935"/>
      <c r="E50" s="935" t="str">
        <f>[1]COMM!$O$19</f>
        <v>RSDPF_Att</v>
      </c>
      <c r="F50" s="935"/>
      <c r="G50" s="937"/>
      <c r="H50" s="937"/>
      <c r="I50" s="937"/>
      <c r="J50" s="935"/>
      <c r="K50" s="935"/>
      <c r="L50" s="1052">
        <f>AL56*0.419920234349212</f>
        <v>1.768745369659479E-4</v>
      </c>
      <c r="N50" s="80"/>
      <c r="O50" s="909" t="s">
        <v>42</v>
      </c>
      <c r="P50" s="910">
        <v>0.7</v>
      </c>
      <c r="Q50" s="910">
        <v>0.3</v>
      </c>
      <c r="R50" s="80"/>
      <c r="S50" s="80"/>
      <c r="T50" s="80"/>
      <c r="U50" s="80"/>
      <c r="V50" s="80"/>
      <c r="W50" s="467" t="s">
        <v>52</v>
      </c>
      <c r="X50" s="223">
        <v>7882</v>
      </c>
      <c r="Y50" s="223">
        <v>923821</v>
      </c>
      <c r="Z50" s="467">
        <v>116</v>
      </c>
      <c r="AA50" s="223">
        <v>43515430</v>
      </c>
      <c r="AB50" s="223">
        <v>7251325</v>
      </c>
      <c r="AC50" s="223">
        <v>5692013</v>
      </c>
      <c r="AD50" s="223">
        <v>1593680</v>
      </c>
      <c r="AE50" s="223">
        <v>27323207</v>
      </c>
      <c r="AF50" s="223">
        <v>122934</v>
      </c>
      <c r="AG50" s="223">
        <v>85498588</v>
      </c>
      <c r="AH50" s="1053">
        <v>17545.09295382088</v>
      </c>
      <c r="AI50" s="467">
        <f t="shared" si="7"/>
        <v>1.6222464383632396E-2</v>
      </c>
      <c r="AJ50" s="467">
        <f t="shared" si="8"/>
        <v>1.2535664501395583E-2</v>
      </c>
      <c r="AK50" s="467">
        <f t="shared" si="9"/>
        <v>2.5997521948743973E-3</v>
      </c>
      <c r="AL50" s="467">
        <f t="shared" si="10"/>
        <v>7.2789241309312357E-4</v>
      </c>
    </row>
    <row r="51" spans="2:39" ht="15">
      <c r="B51" s="927" t="str">
        <f>_xlfn.TEXTJOIN(",",TRUE,IF(LEFT([1]Regions!$C$3,1)&lt;&gt;"*",[1]Regions!$C$3,""),IF(LEFT([1]Regions!$D$3,1)&lt;&gt;"*",[1]Regions!$D$3,""))</f>
        <v>IE,National</v>
      </c>
      <c r="C51" s="928" t="str">
        <f>P15</f>
        <v>R-BLD_Apt_A</v>
      </c>
      <c r="D51" s="929" t="str">
        <f>Q15</f>
        <v>Residential Building Apartment _ A</v>
      </c>
      <c r="E51" s="930" t="str">
        <f>[1]COMM!$O$6</f>
        <v>RSDSH_Apt</v>
      </c>
      <c r="F51" s="929" t="str">
        <f>[1]COMM!$O$21</f>
        <v>RSD_Apt</v>
      </c>
      <c r="G51" s="931">
        <f>X8/1000</f>
        <v>9.4188988568067344</v>
      </c>
      <c r="H51" s="931">
        <f>G51*$Y$26</f>
        <v>7.8487684173770518</v>
      </c>
      <c r="I51" s="931">
        <v>1</v>
      </c>
      <c r="J51" s="929">
        <v>100</v>
      </c>
      <c r="K51" s="929">
        <v>1</v>
      </c>
      <c r="L51" s="1042">
        <f>ABS(AI33)*0.992807796945176</f>
        <v>2.045375452121146E-4</v>
      </c>
      <c r="N51" s="80"/>
      <c r="O51" s="912" t="s">
        <v>44</v>
      </c>
      <c r="P51" s="913">
        <v>0.65</v>
      </c>
      <c r="Q51" s="913">
        <v>0.35</v>
      </c>
      <c r="R51" s="80"/>
      <c r="S51" s="80"/>
      <c r="T51" s="80"/>
      <c r="U51" s="80"/>
      <c r="V51" s="80"/>
      <c r="W51" s="467" t="s">
        <v>54</v>
      </c>
      <c r="X51" s="223">
        <v>27081</v>
      </c>
      <c r="Y51" s="223">
        <v>2951365</v>
      </c>
      <c r="Z51" s="467">
        <v>140</v>
      </c>
      <c r="AA51" s="223">
        <v>174012862</v>
      </c>
      <c r="AB51" s="223">
        <v>34638769</v>
      </c>
      <c r="AC51" s="223">
        <v>20069083</v>
      </c>
      <c r="AD51" s="223">
        <v>5351092</v>
      </c>
      <c r="AE51" s="223">
        <v>103542140</v>
      </c>
      <c r="AF51" s="223">
        <v>1485406</v>
      </c>
      <c r="AG51" s="223">
        <v>339099353</v>
      </c>
      <c r="AH51" s="1051">
        <v>49768.849685929476</v>
      </c>
      <c r="AI51" s="467">
        <f t="shared" si="7"/>
        <v>1.9405772794162134E-2</v>
      </c>
      <c r="AJ51" s="467">
        <f t="shared" si="8"/>
        <v>1.3961787437686939E-2</v>
      </c>
      <c r="AK51" s="467">
        <f t="shared" si="9"/>
        <v>2.6678741110003324E-3</v>
      </c>
      <c r="AL51" s="467">
        <f t="shared" si="10"/>
        <v>7.1134489863742103E-4</v>
      </c>
    </row>
    <row r="52" spans="2:39" ht="15">
      <c r="B52" s="932"/>
      <c r="C52" s="507"/>
      <c r="D52" s="506"/>
      <c r="E52" s="439" t="str">
        <f>[1]COMM!$O$9</f>
        <v>RSDSC_Apt</v>
      </c>
      <c r="F52" s="506"/>
      <c r="G52" s="1044"/>
      <c r="H52" s="1044"/>
      <c r="I52" s="1044"/>
      <c r="J52" s="506"/>
      <c r="K52" s="506"/>
      <c r="L52" s="1045">
        <v>0</v>
      </c>
      <c r="N52" s="80"/>
      <c r="O52" s="915" t="s">
        <v>46</v>
      </c>
      <c r="P52" s="916">
        <v>0.7</v>
      </c>
      <c r="Q52" s="916">
        <v>0.3</v>
      </c>
      <c r="V52" s="80"/>
      <c r="W52" s="467" t="s">
        <v>56</v>
      </c>
      <c r="X52" s="223">
        <v>161926</v>
      </c>
      <c r="Y52" s="223">
        <v>16330846</v>
      </c>
      <c r="Z52" s="467">
        <v>189</v>
      </c>
      <c r="AA52" s="223">
        <v>1338047187</v>
      </c>
      <c r="AB52" s="223">
        <v>324841172</v>
      </c>
      <c r="AC52" s="223">
        <v>118805308</v>
      </c>
      <c r="AD52" s="223">
        <v>31787856</v>
      </c>
      <c r="AE52" s="223">
        <v>660359371</v>
      </c>
      <c r="AF52" s="223">
        <v>44948998</v>
      </c>
      <c r="AG52" s="223">
        <v>2518789892</v>
      </c>
      <c r="AH52" s="1053">
        <v>282151.52747564798</v>
      </c>
      <c r="AI52" s="467">
        <f t="shared" si="7"/>
        <v>2.5865469195813687E-2</v>
      </c>
      <c r="AJ52" s="467">
        <f t="shared" si="8"/>
        <v>1.568068209181972E-2</v>
      </c>
      <c r="AK52" s="467">
        <f t="shared" si="9"/>
        <v>2.6413244864938305E-3</v>
      </c>
      <c r="AL52" s="467">
        <f t="shared" si="10"/>
        <v>7.0671962254363109E-4</v>
      </c>
    </row>
    <row r="53" spans="2:39" ht="15">
      <c r="B53" s="933"/>
      <c r="C53" s="331"/>
      <c r="D53" s="331"/>
      <c r="E53" s="332" t="str">
        <f>[1]COMM!$O$12</f>
        <v>RSDWH_Apt</v>
      </c>
      <c r="F53" s="331"/>
      <c r="G53" s="1048"/>
      <c r="H53" s="1048"/>
      <c r="I53" s="1048"/>
      <c r="J53" s="331"/>
      <c r="K53" s="331"/>
      <c r="L53" s="1049">
        <f>AJ33*1.2754640586231</f>
        <v>4.1672182679251225E-3</v>
      </c>
      <c r="N53" s="80"/>
      <c r="O53" s="80"/>
      <c r="V53" s="80"/>
      <c r="W53" s="467" t="s">
        <v>58</v>
      </c>
      <c r="X53" s="223">
        <v>95372</v>
      </c>
      <c r="Y53" s="223">
        <v>9015651</v>
      </c>
      <c r="Z53" s="467">
        <v>260</v>
      </c>
      <c r="AA53" s="223">
        <v>1084292370</v>
      </c>
      <c r="AB53" s="223">
        <v>253316321</v>
      </c>
      <c r="AC53" s="223">
        <v>68300496</v>
      </c>
      <c r="AD53" s="223">
        <v>17462349</v>
      </c>
      <c r="AE53" s="223">
        <v>395641968</v>
      </c>
      <c r="AF53" s="223">
        <v>45229735</v>
      </c>
      <c r="AG53" s="223">
        <v>1864243238</v>
      </c>
      <c r="AH53" s="1051">
        <v>187627.02237661046</v>
      </c>
      <c r="AI53" s="467">
        <f t="shared" si="7"/>
        <v>3.532498998338654E-2</v>
      </c>
      <c r="AJ53" s="467">
        <f t="shared" si="8"/>
        <v>1.6641552350794783E-2</v>
      </c>
      <c r="AK53" s="467">
        <f t="shared" si="9"/>
        <v>2.578133892547079E-3</v>
      </c>
      <c r="AL53" s="467">
        <f t="shared" si="10"/>
        <v>6.5915002726167019E-4</v>
      </c>
    </row>
    <row r="54" spans="2:39" ht="15">
      <c r="B54" s="932"/>
      <c r="C54" s="507"/>
      <c r="D54" s="506"/>
      <c r="E54" s="439" t="str">
        <f>[1]COMM!$O$15</f>
        <v>RSDLT_Apt</v>
      </c>
      <c r="F54" s="506"/>
      <c r="G54" s="1044"/>
      <c r="H54" s="1044"/>
      <c r="I54" s="1044"/>
      <c r="J54" s="506"/>
      <c r="K54" s="506"/>
      <c r="L54" s="1045">
        <f>AK33*0.356554867550228</f>
        <v>5.0182384146831558E-4</v>
      </c>
      <c r="N54" s="80"/>
      <c r="O54" s="80"/>
      <c r="V54" s="80"/>
      <c r="W54" s="467" t="s">
        <v>60</v>
      </c>
      <c r="X54" s="223">
        <v>46130</v>
      </c>
      <c r="Y54" s="223">
        <v>4172403</v>
      </c>
      <c r="Z54" s="467">
        <v>338</v>
      </c>
      <c r="AA54" s="223">
        <v>710540728</v>
      </c>
      <c r="AB54" s="223">
        <v>151669826</v>
      </c>
      <c r="AC54" s="223">
        <v>32024144</v>
      </c>
      <c r="AD54" s="223">
        <v>7687230</v>
      </c>
      <c r="AE54" s="223">
        <v>197368280</v>
      </c>
      <c r="AF54" s="223">
        <v>25027741</v>
      </c>
      <c r="AG54" s="223">
        <v>1124317950</v>
      </c>
      <c r="AH54" s="1053">
        <v>101418.89596184672</v>
      </c>
      <c r="AI54" s="467">
        <f t="shared" si="7"/>
        <v>4.7076453250177584E-2</v>
      </c>
      <c r="AJ54" s="467">
        <f t="shared" si="8"/>
        <v>1.7355856830695859E-2</v>
      </c>
      <c r="AK54" s="467">
        <f t="shared" si="9"/>
        <v>2.4991744721439405E-3</v>
      </c>
      <c r="AL54" s="467">
        <f t="shared" si="10"/>
        <v>5.9991389551268157E-4</v>
      </c>
    </row>
    <row r="55" spans="2:39" ht="15.75" thickBot="1">
      <c r="B55" s="934"/>
      <c r="C55" s="935"/>
      <c r="D55" s="935"/>
      <c r="E55" s="936" t="str">
        <f>[1]COMM!$O$18</f>
        <v>RSDPF_Apt</v>
      </c>
      <c r="F55" s="935"/>
      <c r="G55" s="937"/>
      <c r="H55" s="937"/>
      <c r="I55" s="937"/>
      <c r="J55" s="935"/>
      <c r="K55" s="935"/>
      <c r="L55" s="1052">
        <f>AL33*0.358320517908692</f>
        <v>3.8041601576060773E-4</v>
      </c>
      <c r="N55" s="80"/>
      <c r="O55" s="80"/>
      <c r="P55" s="80"/>
      <c r="W55" s="467" t="s">
        <v>62</v>
      </c>
      <c r="X55" s="223">
        <v>20720</v>
      </c>
      <c r="Y55" s="223">
        <v>1831493</v>
      </c>
      <c r="Z55" s="467">
        <v>413</v>
      </c>
      <c r="AA55" s="223">
        <v>402775920</v>
      </c>
      <c r="AB55" s="223">
        <v>83851393</v>
      </c>
      <c r="AC55" s="223">
        <v>14391500</v>
      </c>
      <c r="AD55" s="223">
        <v>3408225</v>
      </c>
      <c r="AE55" s="223">
        <v>91534744</v>
      </c>
      <c r="AF55" s="223">
        <v>12170223</v>
      </c>
      <c r="AG55" s="223">
        <v>608132005</v>
      </c>
      <c r="AH55" s="1051">
        <v>50123.806027321167</v>
      </c>
      <c r="AI55" s="467">
        <f t="shared" si="7"/>
        <v>5.9153518986890453E-2</v>
      </c>
      <c r="AJ55" s="467">
        <f t="shared" si="8"/>
        <v>1.8018237509652507E-2</v>
      </c>
      <c r="AK55" s="467">
        <f t="shared" si="9"/>
        <v>2.5004536679536682E-3</v>
      </c>
      <c r="AL55" s="467">
        <f t="shared" si="10"/>
        <v>5.9216264478764474E-4</v>
      </c>
    </row>
    <row r="56" spans="2:39" ht="16.5" thickBot="1">
      <c r="B56" s="927" t="str">
        <f>_xlfn.TEXTJOIN(",",TRUE,IF(LEFT([1]Regions!$C$3,1)&lt;&gt;"*",[1]Regions!$C$3,""),IF(LEFT([1]Regions!$D$3,1)&lt;&gt;"*",[1]Regions!$D$3,""))</f>
        <v>IE,National</v>
      </c>
      <c r="C56" s="928" t="str">
        <f>P16</f>
        <v>R-BLD_Apt_B1</v>
      </c>
      <c r="D56" s="929" t="str">
        <f>Q16</f>
        <v>Residential Building Apartment _ B1</v>
      </c>
      <c r="E56" s="928" t="str">
        <f>[1]COMM!$O$6</f>
        <v>RSDSH_Apt</v>
      </c>
      <c r="F56" s="929" t="str">
        <f>[1]COMM!$O$21</f>
        <v>RSD_Apt</v>
      </c>
      <c r="G56" s="931">
        <f>X9/1000</f>
        <v>7.4592913438514907</v>
      </c>
      <c r="H56" s="931">
        <f>G56*$Y$26</f>
        <v>6.2158274768314472</v>
      </c>
      <c r="I56" s="931">
        <v>1</v>
      </c>
      <c r="J56" s="929">
        <v>100</v>
      </c>
      <c r="K56" s="929">
        <v>1</v>
      </c>
      <c r="L56" s="1042">
        <f>AI34*0.992807796945176</f>
        <v>4.3905208691587148E-3</v>
      </c>
      <c r="N56" s="80"/>
      <c r="O56" s="1110" t="s">
        <v>838</v>
      </c>
      <c r="P56" s="1111"/>
      <c r="Q56" s="1111"/>
      <c r="R56" s="1111"/>
      <c r="S56" s="1112"/>
      <c r="W56" s="467" t="s">
        <v>64</v>
      </c>
      <c r="X56" s="223">
        <v>21208</v>
      </c>
      <c r="Y56" s="223">
        <v>1754836</v>
      </c>
      <c r="Z56" s="467">
        <v>604</v>
      </c>
      <c r="AA56" s="223">
        <v>548461962</v>
      </c>
      <c r="AB56" s="223">
        <v>105828500</v>
      </c>
      <c r="AC56" s="223">
        <v>14258858</v>
      </c>
      <c r="AD56" s="223">
        <v>2481394</v>
      </c>
      <c r="AE56" s="223">
        <v>86745130</v>
      </c>
      <c r="AF56" s="223">
        <v>9686191</v>
      </c>
      <c r="AG56" s="223">
        <v>767462035</v>
      </c>
      <c r="AH56" s="1056">
        <v>52706.674394088106</v>
      </c>
      <c r="AI56" s="467">
        <f t="shared" si="7"/>
        <v>7.7704242347111846E-2</v>
      </c>
      <c r="AJ56" s="467">
        <f t="shared" si="8"/>
        <v>1.6368953017729157E-2</v>
      </c>
      <c r="AK56" s="467">
        <f t="shared" si="9"/>
        <v>2.4204021501320256E-3</v>
      </c>
      <c r="AL56" s="467">
        <f t="shared" si="10"/>
        <v>4.2120984534138063E-4</v>
      </c>
    </row>
    <row r="57" spans="2:39" ht="15.75" thickBot="1">
      <c r="B57" s="932"/>
      <c r="C57" s="507"/>
      <c r="D57" s="506"/>
      <c r="E57" s="1046" t="str">
        <f>[1]COMM!$O$9</f>
        <v>RSDSC_Apt</v>
      </c>
      <c r="F57" s="506"/>
      <c r="G57" s="1044"/>
      <c r="H57" s="1044"/>
      <c r="I57" s="1044"/>
      <c r="J57" s="506"/>
      <c r="K57" s="506"/>
      <c r="L57" s="1045">
        <v>0</v>
      </c>
      <c r="N57" s="80"/>
      <c r="O57" s="906"/>
      <c r="P57" s="907" t="s">
        <v>840</v>
      </c>
      <c r="Q57" s="907" t="s">
        <v>839</v>
      </c>
      <c r="R57" s="908" t="s">
        <v>841</v>
      </c>
      <c r="S57" s="906" t="s">
        <v>842</v>
      </c>
      <c r="T57" s="80"/>
      <c r="U57" s="80"/>
      <c r="AH57" s="1057">
        <v>766351.72099999979</v>
      </c>
      <c r="AI57" s="467">
        <f>AVERAGE(AI48:AI56)</f>
        <v>3.2438450534076839E-2</v>
      </c>
      <c r="AJ57" s="467">
        <f t="shared" ref="AJ57:AL57" si="11">AVERAGE(AJ48:AJ56)</f>
        <v>1.4232051347038236E-2</v>
      </c>
      <c r="AK57" s="467">
        <f t="shared" si="11"/>
        <v>2.4598949108480799E-3</v>
      </c>
      <c r="AL57" s="467">
        <f t="shared" si="11"/>
        <v>7.1434907776801054E-4</v>
      </c>
    </row>
    <row r="58" spans="2:39" ht="13.5" thickBot="1">
      <c r="B58" s="933"/>
      <c r="C58" s="331"/>
      <c r="D58" s="331"/>
      <c r="E58" s="423" t="str">
        <f>[1]COMM!$O$12</f>
        <v>RSDWH_Apt</v>
      </c>
      <c r="F58" s="331"/>
      <c r="G58" s="1048"/>
      <c r="H58" s="1048"/>
      <c r="I58" s="1048"/>
      <c r="J58" s="331"/>
      <c r="K58" s="331"/>
      <c r="L58" s="1049">
        <f>AJ34</f>
        <v>7.9109298846992832E-3</v>
      </c>
      <c r="N58" s="80"/>
      <c r="O58" s="909" t="s">
        <v>42</v>
      </c>
      <c r="P58" s="918">
        <f>'[1]SHWLP-Apt'!S11*1000</f>
        <v>69107.395872611189</v>
      </c>
      <c r="Q58" s="910">
        <f>P58/SUM(P58+R58)</f>
        <v>0.70000000000000007</v>
      </c>
      <c r="R58" s="918">
        <f>'[1]SHWLP-Apt'!S12*1000</f>
        <v>29617.455373976227</v>
      </c>
      <c r="S58" s="911">
        <f>R58/SUM(P58+R58)</f>
        <v>0.30000000000000004</v>
      </c>
      <c r="T58" s="80"/>
      <c r="U58" s="80"/>
    </row>
    <row r="59" spans="2:39" ht="13.5" thickBot="1">
      <c r="B59" s="932"/>
      <c r="C59" s="507"/>
      <c r="D59" s="506"/>
      <c r="E59" s="1046" t="str">
        <f>[1]COMM!$O$15</f>
        <v>RSDLT_Apt</v>
      </c>
      <c r="F59" s="506"/>
      <c r="G59" s="1044"/>
      <c r="H59" s="1044"/>
      <c r="I59" s="1044"/>
      <c r="J59" s="506"/>
      <c r="K59" s="506"/>
      <c r="L59" s="1049">
        <f>AK34*0.356554867550228</f>
        <v>6.7778589214994049E-4</v>
      </c>
      <c r="N59" s="80"/>
      <c r="O59" s="912" t="s">
        <v>44</v>
      </c>
      <c r="P59" s="919">
        <f>'[1]SHWLP-Att'!S11*1000</f>
        <v>41710.491459586934</v>
      </c>
      <c r="Q59" s="910">
        <f>P59/SUM(P59+R59)</f>
        <v>0.65</v>
      </c>
      <c r="R59" s="919">
        <f>'[1]SHWLP-Att'!S12*1000</f>
        <v>22459.495401316039</v>
      </c>
      <c r="S59" s="911">
        <f>R59/SUM(P59+R59)</f>
        <v>0.35</v>
      </c>
      <c r="T59" s="80"/>
      <c r="U59" s="80"/>
    </row>
    <row r="60" spans="2:39" ht="13.5" thickBot="1">
      <c r="B60" s="934"/>
      <c r="C60" s="935"/>
      <c r="D60" s="935"/>
      <c r="E60" s="1054" t="str">
        <f>[1]COMM!$O$18</f>
        <v>RSDPF_Apt</v>
      </c>
      <c r="F60" s="935"/>
      <c r="G60" s="937"/>
      <c r="H60" s="937"/>
      <c r="I60" s="937"/>
      <c r="J60" s="935"/>
      <c r="K60" s="935"/>
      <c r="L60" s="1049">
        <f>AL34*0.358320517908692</f>
        <v>2.5672976159078477E-4</v>
      </c>
      <c r="N60" s="80"/>
      <c r="O60" s="915" t="s">
        <v>46</v>
      </c>
      <c r="P60" s="920">
        <f>'[1]SHWLP-Det'!S11*1000</f>
        <v>34182.00001626688</v>
      </c>
      <c r="Q60" s="910">
        <f>P60/SUM(P60+R60)</f>
        <v>0.70000000000000007</v>
      </c>
      <c r="R60" s="920">
        <f>'[1]SHWLP-Det'!S12*1000</f>
        <v>14649.428578400091</v>
      </c>
      <c r="S60" s="911">
        <f>R60/SUM(P60+R60)</f>
        <v>0.3</v>
      </c>
      <c r="T60" s="80"/>
      <c r="U60" s="80"/>
      <c r="X60" s="467" t="s">
        <v>46</v>
      </c>
      <c r="Y60" s="467" t="s">
        <v>46</v>
      </c>
      <c r="Z60" s="467" t="s">
        <v>46</v>
      </c>
      <c r="AA60" s="467" t="s">
        <v>46</v>
      </c>
      <c r="AB60" s="467" t="s">
        <v>46</v>
      </c>
      <c r="AC60" s="467" t="s">
        <v>46</v>
      </c>
      <c r="AD60" s="467" t="s">
        <v>46</v>
      </c>
      <c r="AE60" s="467" t="s">
        <v>46</v>
      </c>
      <c r="AF60" s="467" t="s">
        <v>46</v>
      </c>
      <c r="AG60" s="467" t="s">
        <v>46</v>
      </c>
      <c r="AI60" s="467" t="s">
        <v>219</v>
      </c>
      <c r="AJ60" s="480" t="s">
        <v>902</v>
      </c>
      <c r="AK60" s="480" t="s">
        <v>221</v>
      </c>
      <c r="AL60" s="467" t="s">
        <v>903</v>
      </c>
      <c r="AM60" s="467" t="s">
        <v>904</v>
      </c>
    </row>
    <row r="61" spans="2:39" ht="13.5" thickBot="1">
      <c r="B61" s="927" t="str">
        <f>_xlfn.TEXTJOIN(",",TRUE,IF(LEFT([1]Regions!$C$3,1)&lt;&gt;"*",[1]Regions!$C$3,""),IF(LEFT([1]Regions!$D$3,1)&lt;&gt;"*",[1]Regions!$D$3,""))</f>
        <v>IE,National</v>
      </c>
      <c r="C61" s="928" t="str">
        <f>P17</f>
        <v>R-BLD_Apt_B2</v>
      </c>
      <c r="D61" s="929" t="str">
        <f>Q17</f>
        <v>Residential Building Apartment _ B2</v>
      </c>
      <c r="E61" s="928" t="str">
        <f>[1]COMM!$O$6</f>
        <v>RSDSH_Apt</v>
      </c>
      <c r="F61" s="929" t="str">
        <f>[1]COMM!$O$21</f>
        <v>RSD_Apt</v>
      </c>
      <c r="G61" s="931">
        <f>X10/1000</f>
        <v>14.041847426430094</v>
      </c>
      <c r="H61" s="931">
        <f>G61*$Y$26</f>
        <v>11.701071460444197</v>
      </c>
      <c r="I61" s="931">
        <v>1</v>
      </c>
      <c r="J61" s="929">
        <v>100</v>
      </c>
      <c r="K61" s="929">
        <v>1</v>
      </c>
      <c r="L61" s="1042">
        <f>AI35*0.992807796945176</f>
        <v>7.8278756603641138E-3</v>
      </c>
      <c r="N61" s="80"/>
      <c r="O61" s="80"/>
      <c r="P61" s="80"/>
      <c r="Q61" s="80"/>
      <c r="R61" s="80"/>
      <c r="S61" s="80"/>
      <c r="T61" s="80"/>
      <c r="U61" s="80"/>
      <c r="W61" s="467" t="s">
        <v>288</v>
      </c>
      <c r="X61" s="467" t="s">
        <v>398</v>
      </c>
      <c r="Y61" s="467" t="s">
        <v>399</v>
      </c>
      <c r="Z61" s="467" t="s">
        <v>905</v>
      </c>
      <c r="AA61" s="467" t="s">
        <v>906</v>
      </c>
      <c r="AB61" s="467" t="s">
        <v>907</v>
      </c>
      <c r="AC61" s="480" t="s">
        <v>417</v>
      </c>
      <c r="AD61" s="480" t="s">
        <v>903</v>
      </c>
      <c r="AE61" s="467" t="s">
        <v>908</v>
      </c>
      <c r="AF61" s="467" t="s">
        <v>909</v>
      </c>
      <c r="AG61" s="467" t="s">
        <v>218</v>
      </c>
      <c r="AI61" s="467" t="s">
        <v>910</v>
      </c>
    </row>
    <row r="62" spans="2:39" ht="15.75" thickBot="1">
      <c r="B62" s="932"/>
      <c r="C62" s="507"/>
      <c r="D62" s="506"/>
      <c r="E62" s="1046" t="str">
        <f>[1]COMM!$O$9</f>
        <v>RSDSC_Apt</v>
      </c>
      <c r="F62" s="506"/>
      <c r="G62" s="1044"/>
      <c r="H62" s="1044"/>
      <c r="I62" s="1044"/>
      <c r="J62" s="506"/>
      <c r="K62" s="506"/>
      <c r="L62" s="1045">
        <v>0</v>
      </c>
      <c r="T62" s="80"/>
      <c r="U62" s="80"/>
      <c r="W62" s="467" t="s">
        <v>48</v>
      </c>
      <c r="X62" s="223">
        <v>9878</v>
      </c>
      <c r="Y62" s="223">
        <v>1991423</v>
      </c>
      <c r="Z62" s="467">
        <v>56</v>
      </c>
      <c r="AA62" s="223">
        <v>13716437</v>
      </c>
      <c r="AB62" s="223">
        <v>3262341</v>
      </c>
      <c r="AC62" s="223">
        <v>9675611</v>
      </c>
      <c r="AD62" s="223">
        <v>5049453</v>
      </c>
      <c r="AE62" s="223">
        <v>24601800</v>
      </c>
      <c r="AF62" s="223">
        <v>27044</v>
      </c>
      <c r="AG62" s="223">
        <v>56332686</v>
      </c>
      <c r="AH62" s="1050">
        <v>20378.706337556119</v>
      </c>
      <c r="AI62" s="467">
        <f>((AH62/X62)*$Z$18*(AA62+AB62)*0.0000000036)/(AH62/1000)</f>
        <v>4.4121765529699531E-3</v>
      </c>
      <c r="AJ62" s="467">
        <f>((AH62/X62)*(AE62+AF62)*0.0000000036)/(AH62/1000)</f>
        <v>8.9758896942700953E-3</v>
      </c>
      <c r="AK62" s="467">
        <f>((AH62/X62)*(AC62)*0.0000000036)/(AH62/1000)</f>
        <v>3.5262400890868602E-3</v>
      </c>
      <c r="AL62" s="467">
        <f>((AH62/X62)*(AD62)*0.0000000036)/(AH62/1000)</f>
        <v>1.8402541810083014E-3</v>
      </c>
    </row>
    <row r="63" spans="2:39" ht="15.75" thickBot="1">
      <c r="B63" s="933"/>
      <c r="C63" s="331"/>
      <c r="D63" s="331"/>
      <c r="E63" s="423" t="str">
        <f>[1]COMM!$O$12</f>
        <v>RSDWH_Apt</v>
      </c>
      <c r="F63" s="331"/>
      <c r="G63" s="1048"/>
      <c r="H63" s="1048"/>
      <c r="I63" s="1048"/>
      <c r="J63" s="331"/>
      <c r="K63" s="331"/>
      <c r="L63" s="1042">
        <f>AJ35*1.2754640586231</f>
        <v>1.276859023286611E-2</v>
      </c>
      <c r="T63" s="80"/>
      <c r="U63" s="80"/>
      <c r="W63" s="467" t="s">
        <v>50</v>
      </c>
      <c r="X63" s="223">
        <v>3037</v>
      </c>
      <c r="Y63" s="223">
        <v>692326</v>
      </c>
      <c r="Z63" s="467">
        <v>90</v>
      </c>
      <c r="AA63" s="223">
        <v>22749646</v>
      </c>
      <c r="AB63" s="223">
        <v>5977566</v>
      </c>
      <c r="AC63" s="223">
        <v>3970604</v>
      </c>
      <c r="AD63" s="223">
        <v>1113600</v>
      </c>
      <c r="AE63" s="223">
        <v>10038678</v>
      </c>
      <c r="AF63" s="223">
        <v>61317</v>
      </c>
      <c r="AG63" s="223">
        <v>43911412</v>
      </c>
      <c r="AH63" s="1051">
        <v>9433.9012004747347</v>
      </c>
      <c r="AI63" s="467">
        <f t="shared" ref="AI63:AI70" si="12">((AH63/X63)*$Z$18*(AA63+AB63)*0.0000000036)/(AH63/1000)</f>
        <v>2.4280865417312326E-2</v>
      </c>
      <c r="AJ63" s="467">
        <f t="shared" ref="AJ63:AJ70" si="13">((AH63/X63)*(AE63+AF63)*0.0000000036)/(AH63/1000)</f>
        <v>1.1972335199209748E-2</v>
      </c>
      <c r="AK63" s="467">
        <f t="shared" ref="AK63:AK70" si="14">((AH63/X63)*(AC63)*0.0000000036)/(AH63/1000)</f>
        <v>4.7066757984853477E-3</v>
      </c>
      <c r="AL63" s="467">
        <f t="shared" ref="AL63:AL70" si="15">((AH63/X63)*(AD63)*0.0000000036)/(AH63/1000)</f>
        <v>1.3200395126769838E-3</v>
      </c>
    </row>
    <row r="64" spans="2:39" ht="15.75" thickBot="1">
      <c r="B64" s="932"/>
      <c r="C64" s="507"/>
      <c r="D64" s="506"/>
      <c r="E64" s="1046" t="str">
        <f>[1]COMM!$O$15</f>
        <v>RSDLT_Apt</v>
      </c>
      <c r="F64" s="506"/>
      <c r="G64" s="1044"/>
      <c r="H64" s="1044"/>
      <c r="I64" s="1044"/>
      <c r="J64" s="506"/>
      <c r="K64" s="506"/>
      <c r="L64" s="1042">
        <f>AK35*0.356554867550228</f>
        <v>7.507743396097848E-4</v>
      </c>
      <c r="T64" s="80"/>
      <c r="U64" s="80"/>
      <c r="W64" s="467" t="s">
        <v>52</v>
      </c>
      <c r="X64" s="223">
        <v>7052</v>
      </c>
      <c r="Y64" s="223">
        <v>1571662</v>
      </c>
      <c r="Z64" s="467">
        <v>116</v>
      </c>
      <c r="AA64" s="223">
        <v>86989542</v>
      </c>
      <c r="AB64" s="223">
        <v>19534310</v>
      </c>
      <c r="AC64" s="223">
        <v>10452701</v>
      </c>
      <c r="AD64" s="223">
        <v>2036694</v>
      </c>
      <c r="AE64" s="223">
        <v>30584513</v>
      </c>
      <c r="AF64" s="223">
        <v>335555</v>
      </c>
      <c r="AG64" s="223">
        <v>149933315</v>
      </c>
      <c r="AH64" s="1053">
        <v>20090.949195825138</v>
      </c>
      <c r="AI64" s="467">
        <f t="shared" si="12"/>
        <v>3.8774841677784139E-2</v>
      </c>
      <c r="AJ64" s="467">
        <f t="shared" si="13"/>
        <v>1.5784493023255811E-2</v>
      </c>
      <c r="AK64" s="467">
        <f t="shared" si="14"/>
        <v>5.3360356778218935E-3</v>
      </c>
      <c r="AL64" s="467">
        <f t="shared" si="15"/>
        <v>1.0397190017016448E-3</v>
      </c>
    </row>
    <row r="65" spans="2:38" ht="19.5" thickBot="1">
      <c r="B65" s="934"/>
      <c r="C65" s="935"/>
      <c r="D65" s="935"/>
      <c r="E65" s="1054" t="str">
        <f>[1]COMM!$O$18</f>
        <v>RSDPF_Apt</v>
      </c>
      <c r="F65" s="935"/>
      <c r="G65" s="937"/>
      <c r="H65" s="937"/>
      <c r="I65" s="937"/>
      <c r="J65" s="935"/>
      <c r="K65" s="935"/>
      <c r="L65" s="1042">
        <f>AL35*0.358320517908692</f>
        <v>2.3657203057404226E-4</v>
      </c>
      <c r="O65" s="1113" t="s">
        <v>619</v>
      </c>
      <c r="P65" s="1113"/>
      <c r="Q65" s="1113"/>
      <c r="R65" s="1113"/>
      <c r="S65" s="1113"/>
      <c r="T65" s="1113"/>
      <c r="U65" s="80"/>
      <c r="W65" s="467" t="s">
        <v>54</v>
      </c>
      <c r="X65" s="223">
        <v>20170</v>
      </c>
      <c r="Y65" s="223">
        <v>4035093</v>
      </c>
      <c r="Z65" s="467">
        <v>140</v>
      </c>
      <c r="AA65" s="223">
        <v>290547340</v>
      </c>
      <c r="AB65" s="223">
        <v>61564028</v>
      </c>
      <c r="AC65" s="223">
        <v>29255723</v>
      </c>
      <c r="AD65" s="223">
        <v>5060356</v>
      </c>
      <c r="AE65" s="223">
        <v>97781386</v>
      </c>
      <c r="AF65" s="223">
        <v>2214559</v>
      </c>
      <c r="AG65" s="223">
        <v>486423392</v>
      </c>
      <c r="AH65" s="1051">
        <v>53466.210043981671</v>
      </c>
      <c r="AI65" s="467">
        <f t="shared" si="12"/>
        <v>4.4811514564724694E-2</v>
      </c>
      <c r="AJ65" s="467">
        <f t="shared" si="13"/>
        <v>1.7847565790778386E-2</v>
      </c>
      <c r="AK65" s="467">
        <f t="shared" si="14"/>
        <v>5.2216461477441745E-3</v>
      </c>
      <c r="AL65" s="467">
        <f t="shared" si="15"/>
        <v>9.0318699058006952E-4</v>
      </c>
    </row>
    <row r="66" spans="2:38" ht="15">
      <c r="B66" s="927" t="str">
        <f>_xlfn.TEXTJOIN(",",TRUE,IF(LEFT([1]Regions!$C$3,1)&lt;&gt;"*",[1]Regions!$C$3,""),IF(LEFT([1]Regions!$D$3,1)&lt;&gt;"*",[1]Regions!$D$3,""))</f>
        <v>IE,National</v>
      </c>
      <c r="C66" s="928" t="str">
        <f>P18</f>
        <v>R-BLD_Apt_B3</v>
      </c>
      <c r="D66" s="929" t="str">
        <f>Q18</f>
        <v>Residential Building Apartment _ B3</v>
      </c>
      <c r="E66" s="928" t="str">
        <f>[1]COMM!$O$6</f>
        <v>RSDSH_Apt</v>
      </c>
      <c r="F66" s="929" t="str">
        <f>[1]COMM!$O$21</f>
        <v>RSD_Apt</v>
      </c>
      <c r="G66" s="931">
        <f>X11/1000</f>
        <v>19.924480375055825</v>
      </c>
      <c r="H66" s="931">
        <f>G66*$Y$26</f>
        <v>16.603069496534019</v>
      </c>
      <c r="I66" s="931">
        <v>1</v>
      </c>
      <c r="J66" s="929">
        <v>100</v>
      </c>
      <c r="K66" s="929">
        <v>1</v>
      </c>
      <c r="L66" s="1042">
        <f>AI36*0.992807796945176</f>
        <v>1.056312762758917E-2</v>
      </c>
      <c r="U66" s="80"/>
      <c r="W66" s="467" t="s">
        <v>56</v>
      </c>
      <c r="X66" s="223">
        <v>97809</v>
      </c>
      <c r="Y66" s="223">
        <v>15963699</v>
      </c>
      <c r="Z66" s="467">
        <v>190</v>
      </c>
      <c r="AA66" s="223">
        <v>1583953290</v>
      </c>
      <c r="AB66" s="223">
        <v>349776746</v>
      </c>
      <c r="AC66" s="223">
        <v>123191330</v>
      </c>
      <c r="AD66" s="223">
        <v>22728444</v>
      </c>
      <c r="AE66" s="223">
        <v>482729805</v>
      </c>
      <c r="AF66" s="223">
        <v>34494676</v>
      </c>
      <c r="AG66" s="223">
        <v>2596874291</v>
      </c>
      <c r="AH66" s="1053">
        <v>251318.93361374349</v>
      </c>
      <c r="AI66" s="467">
        <f t="shared" si="12"/>
        <v>5.0749585402518643E-2</v>
      </c>
      <c r="AJ66" s="467">
        <f t="shared" si="13"/>
        <v>1.9037186062632272E-2</v>
      </c>
      <c r="AK66" s="467">
        <f t="shared" si="14"/>
        <v>4.5342329233506121E-3</v>
      </c>
      <c r="AL66" s="467">
        <f t="shared" si="15"/>
        <v>8.3655285709904003E-4</v>
      </c>
    </row>
    <row r="67" spans="2:38" ht="21">
      <c r="B67" s="932"/>
      <c r="C67" s="507"/>
      <c r="D67" s="506"/>
      <c r="E67" s="1046" t="str">
        <f>[1]COMM!$O$9</f>
        <v>RSDSC_Apt</v>
      </c>
      <c r="F67" s="506"/>
      <c r="G67" s="1044"/>
      <c r="H67" s="1044"/>
      <c r="I67" s="1044"/>
      <c r="J67" s="506"/>
      <c r="K67" s="506"/>
      <c r="L67" s="1045">
        <v>0</v>
      </c>
      <c r="O67" s="69" t="s">
        <v>277</v>
      </c>
      <c r="P67" s="69"/>
      <c r="Q67" s="69"/>
      <c r="R67" s="66" t="s">
        <v>770</v>
      </c>
      <c r="S67" s="66"/>
      <c r="T67" s="66"/>
      <c r="U67" s="80"/>
      <c r="W67" s="467" t="s">
        <v>58</v>
      </c>
      <c r="X67" s="223">
        <v>61656</v>
      </c>
      <c r="Y67" s="223">
        <v>8178706</v>
      </c>
      <c r="Z67" s="467">
        <v>261</v>
      </c>
      <c r="AA67" s="223">
        <v>1135038941</v>
      </c>
      <c r="AB67" s="223">
        <v>241598273</v>
      </c>
      <c r="AC67" s="223">
        <v>63509736</v>
      </c>
      <c r="AD67" s="223">
        <v>13917755</v>
      </c>
      <c r="AE67" s="223">
        <v>295162090</v>
      </c>
      <c r="AF67" s="223">
        <v>34670143</v>
      </c>
      <c r="AG67" s="223">
        <v>1783896938</v>
      </c>
      <c r="AH67" s="1051">
        <v>166667.79141279124</v>
      </c>
      <c r="AI67" s="467">
        <f t="shared" si="12"/>
        <v>5.7313856737701993E-2</v>
      </c>
      <c r="AJ67" s="467">
        <f t="shared" si="13"/>
        <v>1.9258402082522379E-2</v>
      </c>
      <c r="AK67" s="467">
        <f t="shared" si="14"/>
        <v>3.7082368236667968E-3</v>
      </c>
      <c r="AL67" s="467">
        <f t="shared" si="15"/>
        <v>8.126365317244063E-4</v>
      </c>
    </row>
    <row r="68" spans="2:38" ht="15">
      <c r="B68" s="933"/>
      <c r="C68" s="331"/>
      <c r="D68" s="331"/>
      <c r="E68" s="423" t="str">
        <f>[1]COMM!$O$12</f>
        <v>RSDWH_Apt</v>
      </c>
      <c r="F68" s="331"/>
      <c r="G68" s="1048"/>
      <c r="H68" s="1048"/>
      <c r="I68" s="1048"/>
      <c r="J68" s="331"/>
      <c r="K68" s="331"/>
      <c r="L68" s="1049">
        <f>AJ36*1.2754640586231</f>
        <v>1.4245967001879155E-2</v>
      </c>
      <c r="O68" s="295" t="s">
        <v>766</v>
      </c>
      <c r="P68" s="295" t="s">
        <v>232</v>
      </c>
      <c r="Q68" s="295" t="s">
        <v>278</v>
      </c>
      <c r="R68" s="295" t="s">
        <v>279</v>
      </c>
      <c r="S68" s="404">
        <v>2018</v>
      </c>
      <c r="T68" s="295" t="s">
        <v>280</v>
      </c>
      <c r="U68" s="80"/>
      <c r="W68" s="467" t="s">
        <v>60</v>
      </c>
      <c r="X68" s="223">
        <v>27666</v>
      </c>
      <c r="Y68" s="223">
        <v>3361294</v>
      </c>
      <c r="Z68" s="467">
        <v>338</v>
      </c>
      <c r="AA68" s="223">
        <v>635462499</v>
      </c>
      <c r="AB68" s="223">
        <v>126446130</v>
      </c>
      <c r="AC68" s="223">
        <v>26318437</v>
      </c>
      <c r="AD68" s="223">
        <v>5835533</v>
      </c>
      <c r="AE68" s="223">
        <v>131872106</v>
      </c>
      <c r="AF68" s="223">
        <v>16624373</v>
      </c>
      <c r="AG68" s="223">
        <v>942559078</v>
      </c>
      <c r="AH68" s="1053">
        <v>81396.697989555512</v>
      </c>
      <c r="AI68" s="467">
        <f t="shared" si="12"/>
        <v>7.0692280806327057E-2</v>
      </c>
      <c r="AJ68" s="467">
        <f t="shared" si="13"/>
        <v>1.9322899024072873E-2</v>
      </c>
      <c r="AK68" s="467">
        <f t="shared" si="14"/>
        <v>3.4246502277163315E-3</v>
      </c>
      <c r="AL68" s="467">
        <f t="shared" si="15"/>
        <v>7.5934066363044894E-4</v>
      </c>
    </row>
    <row r="69" spans="2:38" ht="15">
      <c r="B69" s="932"/>
      <c r="C69" s="507"/>
      <c r="D69" s="506"/>
      <c r="E69" s="1046" t="str">
        <f>[1]COMM!$O$15</f>
        <v>RSDLT_Apt</v>
      </c>
      <c r="F69" s="506"/>
      <c r="G69" s="1044"/>
      <c r="H69" s="1044"/>
      <c r="I69" s="1044"/>
      <c r="J69" s="506"/>
      <c r="K69" s="506"/>
      <c r="L69" s="1045">
        <f>AK36*0.356554867550228</f>
        <v>7.5146925829831812E-4</v>
      </c>
      <c r="O69" s="405" t="str">
        <f>_xlfn.TEXTJOIN(",",TRUE,IF(LEFT(Regions!$C$3,1)&lt;&gt;"*",Regions!$C$3,""),IF(LEFT(Regions!$D$3,1)&lt;&gt;"*",Regions!$D$3,""))</f>
        <v>IE,National</v>
      </c>
      <c r="P69" s="405" t="str">
        <f>COMM!O6</f>
        <v>RSD_Apt</v>
      </c>
      <c r="Q69" s="405" t="str">
        <f>COMM!P6</f>
        <v>Residential Apartment Demand</v>
      </c>
      <c r="R69" s="405" t="s">
        <v>282</v>
      </c>
      <c r="S69" s="584">
        <v>206.79888499999998</v>
      </c>
      <c r="T69" s="405" t="s">
        <v>248</v>
      </c>
      <c r="U69" s="80"/>
      <c r="W69" s="467" t="s">
        <v>62</v>
      </c>
      <c r="X69" s="223">
        <v>13787</v>
      </c>
      <c r="Y69" s="223">
        <v>1578087</v>
      </c>
      <c r="Z69" s="467">
        <v>415</v>
      </c>
      <c r="AA69" s="223">
        <v>382255989</v>
      </c>
      <c r="AB69" s="223">
        <v>74341761</v>
      </c>
      <c r="AC69" s="223">
        <v>12486922</v>
      </c>
      <c r="AD69" s="223">
        <v>2769697</v>
      </c>
      <c r="AE69" s="223">
        <v>65705835</v>
      </c>
      <c r="AF69" s="223">
        <v>8706537</v>
      </c>
      <c r="AG69" s="223">
        <v>546266742</v>
      </c>
      <c r="AH69" s="1051">
        <v>43241.005762967114</v>
      </c>
      <c r="AI69" s="467">
        <f t="shared" si="12"/>
        <v>8.501184971128925E-2</v>
      </c>
      <c r="AJ69" s="467">
        <f t="shared" si="13"/>
        <v>1.943022696743309E-2</v>
      </c>
      <c r="AK69" s="467">
        <f t="shared" si="14"/>
        <v>3.2605294262711255E-3</v>
      </c>
      <c r="AL69" s="467">
        <f t="shared" si="15"/>
        <v>7.2321093783999431E-4</v>
      </c>
    </row>
    <row r="70" spans="2:38" ht="15.75" thickBot="1">
      <c r="B70" s="934"/>
      <c r="C70" s="935"/>
      <c r="D70" s="935"/>
      <c r="E70" s="1054" t="str">
        <f>[1]COMM!$O$18</f>
        <v>RSDPF_Apt</v>
      </c>
      <c r="F70" s="935"/>
      <c r="G70" s="937"/>
      <c r="H70" s="937"/>
      <c r="I70" s="937"/>
      <c r="J70" s="935"/>
      <c r="K70" s="935"/>
      <c r="L70" s="1052">
        <f>AL36*0.358320517908692</f>
        <v>2.1915859873023136E-4</v>
      </c>
      <c r="O70" s="403" t="str">
        <f>_xlfn.TEXTJOIN(",",TRUE,IF(LEFT(Regions!$C$3,1)&lt;&gt;"*",Regions!$C$3,""),IF(LEFT(Regions!$D$3,1)&lt;&gt;"*",Regions!$D$3,""))</f>
        <v>IE,National</v>
      </c>
      <c r="P70" s="403" t="str">
        <f>COMM!O7</f>
        <v>RSD_Att</v>
      </c>
      <c r="Q70" s="403" t="str">
        <f>COMM!P7</f>
        <v>Residential Attached Demand</v>
      </c>
      <c r="R70" s="403" t="s">
        <v>282</v>
      </c>
      <c r="S70" s="585">
        <v>766.35172099999977</v>
      </c>
      <c r="T70" s="403" t="s">
        <v>248</v>
      </c>
      <c r="U70" s="80"/>
      <c r="W70" s="467" t="s">
        <v>64</v>
      </c>
      <c r="X70" s="223">
        <v>24436</v>
      </c>
      <c r="Y70" s="223">
        <v>2381791</v>
      </c>
      <c r="Z70" s="467">
        <v>673</v>
      </c>
      <c r="AA70" s="223">
        <v>889411987</v>
      </c>
      <c r="AB70" s="223">
        <v>178556613</v>
      </c>
      <c r="AC70" s="223">
        <v>19539039</v>
      </c>
      <c r="AD70" s="223">
        <v>3598598</v>
      </c>
      <c r="AE70" s="223">
        <v>107615125</v>
      </c>
      <c r="AF70" s="223">
        <v>12476668</v>
      </c>
      <c r="AG70" s="223">
        <v>1211198029</v>
      </c>
      <c r="AH70" s="1056">
        <v>78435.533443104825</v>
      </c>
      <c r="AI70" s="467">
        <f t="shared" si="12"/>
        <v>0.11218733764722996</v>
      </c>
      <c r="AJ70" s="467">
        <f t="shared" si="13"/>
        <v>1.769235778359797E-2</v>
      </c>
      <c r="AK70" s="467">
        <f t="shared" si="14"/>
        <v>2.8785619741365197E-3</v>
      </c>
      <c r="AL70" s="467">
        <f t="shared" si="15"/>
        <v>5.3015848747749216E-4</v>
      </c>
    </row>
    <row r="71" spans="2:38" ht="15.75" thickBot="1">
      <c r="B71" s="927" t="str">
        <f>_xlfn.TEXTJOIN(",",TRUE,IF(LEFT([1]Regions!$C$3,1)&lt;&gt;"*",[1]Regions!$C$3,""),IF(LEFT([1]Regions!$D$3,1)&lt;&gt;"*",[1]Regions!$D$3,""))</f>
        <v>IE,National</v>
      </c>
      <c r="C71" s="928" t="str">
        <f>P19</f>
        <v>R-BLD_Apt_C</v>
      </c>
      <c r="D71" s="929" t="str">
        <f>Q19</f>
        <v>Residential Building Apartment _ C</v>
      </c>
      <c r="E71" s="928" t="str">
        <f>[1]COMM!$O$6</f>
        <v>RSDSH_Apt</v>
      </c>
      <c r="F71" s="929" t="str">
        <f>[1]COMM!$O$21</f>
        <v>RSD_Apt</v>
      </c>
      <c r="G71" s="931">
        <f>X12/1000</f>
        <v>58.904803436433703</v>
      </c>
      <c r="H71" s="931">
        <f>G71*$Y$26</f>
        <v>49.085372703580205</v>
      </c>
      <c r="I71" s="931">
        <v>1</v>
      </c>
      <c r="J71" s="929">
        <v>100</v>
      </c>
      <c r="K71" s="929">
        <v>1</v>
      </c>
      <c r="L71" s="1042">
        <f>AI37*0.992807796945176</f>
        <v>1.2326927211334543E-2</v>
      </c>
      <c r="O71" s="405" t="str">
        <f>_xlfn.TEXTJOIN(",",TRUE,IF(LEFT(Regions!$C$3,1)&lt;&gt;"*",Regions!$C$3,""),IF(LEFT(Regions!$D$3,1)&lt;&gt;"*",Regions!$D$3,""))</f>
        <v>IE,National</v>
      </c>
      <c r="P71" s="405" t="str">
        <f>COMM!O8</f>
        <v>RSD_Det</v>
      </c>
      <c r="Q71" s="405" t="str">
        <f>COMM!P8</f>
        <v>Residential Detached Demand</v>
      </c>
      <c r="R71" s="405" t="s">
        <v>282</v>
      </c>
      <c r="S71" s="584">
        <v>724.42972899999995</v>
      </c>
      <c r="T71" s="405" t="s">
        <v>248</v>
      </c>
      <c r="U71" s="80"/>
      <c r="AH71" s="1057">
        <v>724429.72899999993</v>
      </c>
      <c r="AI71" s="467">
        <f>AVERAGE(AI62:AI70)</f>
        <v>5.4248256501984234E-2</v>
      </c>
      <c r="AJ71" s="467">
        <f t="shared" ref="AJ71:AL71" si="16">AVERAGE(AJ62:AJ70)</f>
        <v>1.6591261736419179E-2</v>
      </c>
      <c r="AK71" s="467">
        <f t="shared" si="16"/>
        <v>4.0663121209199632E-3</v>
      </c>
      <c r="AL71" s="467">
        <f t="shared" si="16"/>
        <v>9.7389990708204226E-4</v>
      </c>
    </row>
    <row r="72" spans="2:38" ht="15">
      <c r="B72" s="932"/>
      <c r="C72" s="507"/>
      <c r="D72" s="506"/>
      <c r="E72" s="1046" t="str">
        <f>[1]COMM!$O$9</f>
        <v>RSDSC_Apt</v>
      </c>
      <c r="F72" s="506"/>
      <c r="G72" s="1044"/>
      <c r="H72" s="1044"/>
      <c r="I72" s="1044"/>
      <c r="J72" s="506"/>
      <c r="K72" s="506"/>
      <c r="L72" s="1045">
        <v>0</v>
      </c>
      <c r="O72" s="36" t="s">
        <v>281</v>
      </c>
      <c r="P72" s="36" t="s">
        <v>615</v>
      </c>
      <c r="Q72" s="36"/>
      <c r="R72" s="36"/>
      <c r="S72" s="36"/>
      <c r="T72" s="36"/>
      <c r="U72" s="80"/>
    </row>
    <row r="73" spans="2:38">
      <c r="B73" s="933"/>
      <c r="C73" s="331"/>
      <c r="D73" s="331"/>
      <c r="E73" s="423" t="str">
        <f>[1]COMM!$O$12</f>
        <v>RSDWH_Apt</v>
      </c>
      <c r="F73" s="331"/>
      <c r="G73" s="1048"/>
      <c r="H73" s="1048"/>
      <c r="I73" s="1048"/>
      <c r="J73" s="331"/>
      <c r="K73" s="331"/>
      <c r="L73" s="1049">
        <f>AJ37*1.2754640586231</f>
        <v>1.4150269101637586E-2</v>
      </c>
      <c r="O73" s="407" t="s">
        <v>614</v>
      </c>
      <c r="P73" s="407"/>
      <c r="Q73" s="407"/>
      <c r="R73" s="407"/>
      <c r="S73" s="586">
        <f>SUM(S69:S71)</f>
        <v>1697.5803349999996</v>
      </c>
      <c r="T73" s="407"/>
      <c r="U73" s="80"/>
    </row>
    <row r="74" spans="2:38">
      <c r="B74" s="932"/>
      <c r="C74" s="507"/>
      <c r="D74" s="506"/>
      <c r="E74" s="1046" t="str">
        <f>[1]COMM!$O$15</f>
        <v>RSDLT_Apt</v>
      </c>
      <c r="F74" s="506"/>
      <c r="G74" s="1044"/>
      <c r="H74" s="1044"/>
      <c r="I74" s="1044"/>
      <c r="J74" s="506"/>
      <c r="K74" s="506"/>
      <c r="L74" s="1045">
        <f>AK37*0.356554867550228</f>
        <v>6.9889473778990375E-4</v>
      </c>
      <c r="T74" s="80"/>
      <c r="U74" s="80"/>
    </row>
    <row r="75" spans="2:38" ht="13.5" thickBot="1">
      <c r="B75" s="934"/>
      <c r="C75" s="935"/>
      <c r="D75" s="935"/>
      <c r="E75" s="1054" t="str">
        <f>[1]COMM!$O$18</f>
        <v>RSDPF_Apt</v>
      </c>
      <c r="F75" s="935"/>
      <c r="G75" s="937"/>
      <c r="H75" s="937"/>
      <c r="I75" s="937"/>
      <c r="J75" s="935"/>
      <c r="K75" s="935"/>
      <c r="L75" s="1052">
        <f>AL37*0.358320517908692</f>
        <v>1.4680881531554685E-4</v>
      </c>
      <c r="T75" s="80"/>
      <c r="U75" s="80"/>
    </row>
    <row r="76" spans="2:38">
      <c r="B76" s="927" t="str">
        <f>_xlfn.TEXTJOIN(",",TRUE,IF(LEFT([1]Regions!$C$3,1)&lt;&gt;"*",[1]Regions!$C$3,""),IF(LEFT([1]Regions!$D$3,1)&lt;&gt;"*",[1]Regions!$D$3,""))</f>
        <v>IE,National</v>
      </c>
      <c r="C76" s="928" t="str">
        <f>P20</f>
        <v>R-BLD_Apt_D</v>
      </c>
      <c r="D76" s="929" t="str">
        <f>Q20</f>
        <v>Residential Building Apartment _ D</v>
      </c>
      <c r="E76" s="928" t="str">
        <f>[1]COMM!$O$6</f>
        <v>RSDSH_Apt</v>
      </c>
      <c r="F76" s="929" t="str">
        <f>[1]COMM!$O$21</f>
        <v>RSD_Apt</v>
      </c>
      <c r="G76" s="931">
        <f>X13/1000</f>
        <v>43.739341649106159</v>
      </c>
      <c r="H76" s="931">
        <f>G76*$Y$26</f>
        <v>36.447993396200161</v>
      </c>
      <c r="I76" s="931">
        <v>1</v>
      </c>
      <c r="J76" s="929">
        <v>100</v>
      </c>
      <c r="K76" s="929">
        <v>1</v>
      </c>
      <c r="L76" s="1042">
        <f>AI38*0.992807796945176</f>
        <v>1.3080483158481877E-2</v>
      </c>
      <c r="T76" s="80"/>
      <c r="U76" s="80"/>
    </row>
    <row r="77" spans="2:38">
      <c r="B77" s="932"/>
      <c r="C77" s="507"/>
      <c r="D77" s="506"/>
      <c r="E77" s="1046" t="str">
        <f>[1]COMM!$O$9</f>
        <v>RSDSC_Apt</v>
      </c>
      <c r="F77" s="506"/>
      <c r="G77" s="1044"/>
      <c r="H77" s="1044"/>
      <c r="I77" s="1044"/>
      <c r="J77" s="506"/>
      <c r="K77" s="506"/>
      <c r="L77" s="1045">
        <v>0</v>
      </c>
      <c r="T77" s="80"/>
      <c r="U77" s="80"/>
    </row>
    <row r="78" spans="2:38">
      <c r="B78" s="933"/>
      <c r="C78" s="331"/>
      <c r="D78" s="331"/>
      <c r="E78" s="423" t="str">
        <f>[1]COMM!$O$12</f>
        <v>RSDWH_Apt</v>
      </c>
      <c r="F78" s="331"/>
      <c r="G78" s="1048"/>
      <c r="H78" s="1048"/>
      <c r="I78" s="1048"/>
      <c r="J78" s="331"/>
      <c r="K78" s="331"/>
      <c r="L78" s="1049">
        <f>AJ38*1.2754640586231</f>
        <v>1.2032712580168789E-2</v>
      </c>
      <c r="T78" s="80"/>
      <c r="U78" s="80"/>
    </row>
    <row r="79" spans="2:38">
      <c r="B79" s="932"/>
      <c r="C79" s="507"/>
      <c r="D79" s="506"/>
      <c r="E79" s="1046" t="str">
        <f>[1]COMM!$O$15</f>
        <v>RSDLT_Apt</v>
      </c>
      <c r="F79" s="506"/>
      <c r="G79" s="1044"/>
      <c r="H79" s="1044"/>
      <c r="I79" s="1044"/>
      <c r="J79" s="506"/>
      <c r="K79" s="506"/>
      <c r="L79" s="1045">
        <f>AK38*0.356554867550228</f>
        <v>6.266213261424897E-4</v>
      </c>
      <c r="T79" s="80"/>
      <c r="U79" s="80"/>
    </row>
    <row r="80" spans="2:38" ht="13.5" thickBot="1">
      <c r="B80" s="934"/>
      <c r="C80" s="935"/>
      <c r="D80" s="935"/>
      <c r="E80" s="1054" t="str">
        <f>[1]COMM!$O$18</f>
        <v>RSDPF_Apt</v>
      </c>
      <c r="F80" s="935"/>
      <c r="G80" s="937"/>
      <c r="H80" s="937"/>
      <c r="I80" s="937"/>
      <c r="J80" s="935"/>
      <c r="K80" s="935"/>
      <c r="L80" s="1052">
        <f>AL38*0.358320517908692</f>
        <v>6.3871932977098422E-5</v>
      </c>
      <c r="T80" s="80"/>
      <c r="U80" s="80"/>
    </row>
    <row r="81" spans="2:12">
      <c r="B81" s="927" t="str">
        <f>_xlfn.TEXTJOIN(",",TRUE,IF(LEFT([1]Regions!$C$3,1)&lt;&gt;"*",[1]Regions!$C$3,""),IF(LEFT([1]Regions!$D$3,1)&lt;&gt;"*",[1]Regions!$D$3,""))</f>
        <v>IE,National</v>
      </c>
      <c r="C81" s="928" t="str">
        <f>P21</f>
        <v>R-BLD_Apt_E</v>
      </c>
      <c r="D81" s="929" t="str">
        <f>Q21</f>
        <v>Residential Building Apartment _ E</v>
      </c>
      <c r="E81" s="928" t="str">
        <f>[1]COMM!$O$6</f>
        <v>RSDSH_Apt</v>
      </c>
      <c r="F81" s="929" t="str">
        <f>[1]COMM!$O$21</f>
        <v>RSD_Apt</v>
      </c>
      <c r="G81" s="931">
        <f>X14/1000</f>
        <v>25.767876472761333</v>
      </c>
      <c r="H81" s="931">
        <f>G81*$Y$26</f>
        <v>21.472371464752019</v>
      </c>
      <c r="I81" s="931">
        <v>1</v>
      </c>
      <c r="J81" s="929">
        <v>100</v>
      </c>
      <c r="K81" s="929">
        <v>1</v>
      </c>
      <c r="L81" s="1042">
        <f>AI39*0.992807796945176</f>
        <v>1.7026110267234832E-2</v>
      </c>
    </row>
    <row r="82" spans="2:12">
      <c r="B82" s="932"/>
      <c r="C82" s="507"/>
      <c r="D82" s="506"/>
      <c r="E82" s="1046" t="str">
        <f>[1]COMM!$O$9</f>
        <v>RSDSC_Apt</v>
      </c>
      <c r="F82" s="506"/>
      <c r="G82" s="1044"/>
      <c r="H82" s="1044"/>
      <c r="I82" s="1044"/>
      <c r="J82" s="506"/>
      <c r="K82" s="506"/>
      <c r="L82" s="1045">
        <v>0</v>
      </c>
    </row>
    <row r="83" spans="2:12">
      <c r="B83" s="933"/>
      <c r="C83" s="331"/>
      <c r="D83" s="331"/>
      <c r="E83" s="423" t="str">
        <f>[1]COMM!$O$12</f>
        <v>RSDWH_Apt</v>
      </c>
      <c r="F83" s="331"/>
      <c r="G83" s="1048"/>
      <c r="H83" s="1048"/>
      <c r="I83" s="1048"/>
      <c r="J83" s="331"/>
      <c r="K83" s="331"/>
      <c r="L83" s="1049">
        <f>AJ39*1.2754640586231</f>
        <v>1.1328259399996333E-2</v>
      </c>
    </row>
    <row r="84" spans="2:12">
      <c r="B84" s="932"/>
      <c r="C84" s="507"/>
      <c r="D84" s="506"/>
      <c r="E84" s="1046" t="str">
        <f>[1]COMM!$O$15</f>
        <v>RSDLT_Apt</v>
      </c>
      <c r="F84" s="506"/>
      <c r="G84" s="1044"/>
      <c r="H84" s="1044"/>
      <c r="I84" s="1044"/>
      <c r="J84" s="506"/>
      <c r="K84" s="506"/>
      <c r="L84" s="1045">
        <f>AK39*0.356554867550228</f>
        <v>5.8331486487328554E-4</v>
      </c>
    </row>
    <row r="85" spans="2:12" ht="13.5" thickBot="1">
      <c r="B85" s="934"/>
      <c r="C85" s="935"/>
      <c r="D85" s="935"/>
      <c r="E85" s="1054" t="str">
        <f>[1]COMM!$O$18</f>
        <v>RSDPF_Apt</v>
      </c>
      <c r="F85" s="935"/>
      <c r="G85" s="937"/>
      <c r="H85" s="937"/>
      <c r="I85" s="937"/>
      <c r="J85" s="935"/>
      <c r="K85" s="935"/>
      <c r="L85" s="1052">
        <f>AK39*0.358320517908692</f>
        <v>5.8620342479489651E-4</v>
      </c>
    </row>
    <row r="86" spans="2:12">
      <c r="B86" s="927" t="str">
        <f>_xlfn.TEXTJOIN(",",TRUE,IF(LEFT([1]Regions!$C$3,1)&lt;&gt;"*",[1]Regions!$C$3,""),IF(LEFT([1]Regions!$D$3,1)&lt;&gt;"*",[1]Regions!$D$3,""))</f>
        <v>IE,National</v>
      </c>
      <c r="C86" s="928" t="str">
        <f>P22</f>
        <v>R-BLD_Apt_F</v>
      </c>
      <c r="D86" s="929" t="str">
        <f>Q22</f>
        <v>Residential Building Apartment _ F</v>
      </c>
      <c r="E86" s="928" t="str">
        <f>[1]COMM!$O$6</f>
        <v>RSDSH_Apt</v>
      </c>
      <c r="F86" s="929" t="str">
        <f>[1]COMM!$O$21</f>
        <v>RSD_Apt</v>
      </c>
      <c r="G86" s="931">
        <f>X15/1000</f>
        <v>12.331173226884033</v>
      </c>
      <c r="H86" s="931">
        <f>G86*$Y$26</f>
        <v>10.275566649962466</v>
      </c>
      <c r="I86" s="931">
        <v>1</v>
      </c>
      <c r="J86" s="929">
        <v>100</v>
      </c>
      <c r="K86" s="929">
        <v>1</v>
      </c>
      <c r="L86" s="1042">
        <f>AI40*0.992807796945176</f>
        <v>2.2522852866122413E-2</v>
      </c>
    </row>
    <row r="87" spans="2:12">
      <c r="B87" s="932"/>
      <c r="C87" s="507"/>
      <c r="D87" s="506"/>
      <c r="E87" s="1046" t="str">
        <f>[1]COMM!$O$9</f>
        <v>RSDSC_Apt</v>
      </c>
      <c r="F87" s="506"/>
      <c r="G87" s="1044"/>
      <c r="H87" s="1044"/>
      <c r="I87" s="1044"/>
      <c r="J87" s="506"/>
      <c r="K87" s="506"/>
      <c r="L87" s="1045">
        <v>0</v>
      </c>
    </row>
    <row r="88" spans="2:12">
      <c r="B88" s="933"/>
      <c r="C88" s="331"/>
      <c r="D88" s="331"/>
      <c r="E88" s="423" t="str">
        <f>[1]COMM!$O$12</f>
        <v>RSDWH_Apt</v>
      </c>
      <c r="F88" s="331"/>
      <c r="G88" s="1048"/>
      <c r="H88" s="1048"/>
      <c r="I88" s="1048"/>
      <c r="J88" s="331"/>
      <c r="K88" s="331"/>
      <c r="L88" s="1049">
        <f>AJ40*1.2754640586231</f>
        <v>1.1473800266006296E-2</v>
      </c>
    </row>
    <row r="89" spans="2:12">
      <c r="B89" s="932"/>
      <c r="C89" s="507"/>
      <c r="D89" s="506"/>
      <c r="E89" s="1046" t="str">
        <f>[1]COMM!$O$15</f>
        <v>RSDLT_Apt</v>
      </c>
      <c r="F89" s="506"/>
      <c r="G89" s="1044"/>
      <c r="H89" s="1044"/>
      <c r="I89" s="1044"/>
      <c r="J89" s="506"/>
      <c r="K89" s="506"/>
      <c r="L89" s="1045">
        <f>AK40*0.356554867550228</f>
        <v>5.4866289360667336E-4</v>
      </c>
    </row>
    <row r="90" spans="2:12" ht="13.5" thickBot="1">
      <c r="B90" s="934"/>
      <c r="C90" s="935"/>
      <c r="D90" s="935"/>
      <c r="E90" s="1054" t="str">
        <f>[1]COMM!$O$18</f>
        <v>RSDPF_Apt</v>
      </c>
      <c r="F90" s="935"/>
      <c r="G90" s="937"/>
      <c r="H90" s="937"/>
      <c r="I90" s="937"/>
      <c r="J90" s="935"/>
      <c r="K90" s="935"/>
      <c r="L90" s="1052">
        <f>AL40*0.358320517908692</f>
        <v>5.8414210165170864E-5</v>
      </c>
    </row>
    <row r="91" spans="2:12">
      <c r="B91" s="927" t="str">
        <f>_xlfn.TEXTJOIN(",",TRUE,IF(LEFT([1]Regions!$C$3,1)&lt;&gt;"*",[1]Regions!$C$3,""),IF(LEFT([1]Regions!$D$3,1)&lt;&gt;"*",[1]Regions!$D$3,""))</f>
        <v>IE,National</v>
      </c>
      <c r="C91" s="928" t="str">
        <f>P23</f>
        <v>R-BLD_Apt_G</v>
      </c>
      <c r="D91" s="929" t="str">
        <f>Q23</f>
        <v>Residential Building Apartment _ G</v>
      </c>
      <c r="E91" s="928" t="str">
        <f>[1]COMM!$O$6</f>
        <v>RSDSH_Apt</v>
      </c>
      <c r="F91" s="929" t="str">
        <f>[1]COMM!$O$21</f>
        <v>RSD_Apt</v>
      </c>
      <c r="G91" s="931">
        <f>X16/1000</f>
        <v>15.211172212670604</v>
      </c>
      <c r="H91" s="931">
        <f>G91*$Y$26</f>
        <v>12.675469804818414</v>
      </c>
      <c r="I91" s="931">
        <v>1</v>
      </c>
      <c r="J91" s="929">
        <v>100</v>
      </c>
      <c r="K91" s="929">
        <v>1</v>
      </c>
      <c r="L91" s="1042">
        <f>AI41*0.992807796945176</f>
        <v>3.2803286580099345E-2</v>
      </c>
    </row>
    <row r="92" spans="2:12">
      <c r="B92" s="932"/>
      <c r="C92" s="507"/>
      <c r="D92" s="506"/>
      <c r="E92" s="1046" t="str">
        <f>[1]COMM!$O$9</f>
        <v>RSDSC_Apt</v>
      </c>
      <c r="F92" s="506"/>
      <c r="G92" s="1044"/>
      <c r="H92" s="1044"/>
      <c r="I92" s="1044"/>
      <c r="J92" s="506"/>
      <c r="K92" s="506"/>
      <c r="L92" s="1045">
        <v>0</v>
      </c>
    </row>
    <row r="93" spans="2:12">
      <c r="B93" s="933"/>
      <c r="C93" s="331"/>
      <c r="D93" s="331"/>
      <c r="E93" s="423" t="str">
        <f>[1]COMM!$O$12</f>
        <v>RSDWH_Apt</v>
      </c>
      <c r="F93" s="331"/>
      <c r="G93" s="1048"/>
      <c r="H93" s="1048"/>
      <c r="I93" s="1048"/>
      <c r="J93" s="331"/>
      <c r="K93" s="331"/>
      <c r="L93" s="1049">
        <f>AJ41*1.2754640586231</f>
        <v>1.0957010237836096E-2</v>
      </c>
    </row>
    <row r="94" spans="2:12">
      <c r="B94" s="932"/>
      <c r="C94" s="507"/>
      <c r="D94" s="506"/>
      <c r="E94" s="1046" t="str">
        <f>[1]COMM!$O$15</f>
        <v>RSDLT_Apt</v>
      </c>
      <c r="F94" s="506"/>
      <c r="G94" s="1044"/>
      <c r="H94" s="1044"/>
      <c r="I94" s="1044"/>
      <c r="J94" s="506"/>
      <c r="K94" s="506"/>
      <c r="L94" s="1045">
        <f>AK41*0.356554867550228</f>
        <v>5.2934091091012077E-4</v>
      </c>
    </row>
    <row r="95" spans="2:12" ht="13.5" thickBot="1">
      <c r="B95" s="934"/>
      <c r="C95" s="935"/>
      <c r="D95" s="935"/>
      <c r="E95" s="1054" t="str">
        <f>[1]COMM!$O$18</f>
        <v>RSDPF_Apt</v>
      </c>
      <c r="F95" s="935"/>
      <c r="G95" s="937"/>
      <c r="H95" s="937"/>
      <c r="I95" s="937"/>
      <c r="J95" s="935"/>
      <c r="K95" s="935"/>
      <c r="L95" s="1052">
        <f>AL41*0.358320517908692</f>
        <v>4.9159605349424574E-5</v>
      </c>
    </row>
    <row r="96" spans="2:12">
      <c r="B96" s="927" t="str">
        <f>_xlfn.TEXTJOIN(",",TRUE,IF(LEFT([1]Regions!$C$3,1)&lt;&gt;"*",[1]Regions!$C$3,""),IF(LEFT([1]Regions!$D$3,1)&lt;&gt;"*",[1]Regions!$D$3,""))</f>
        <v>IE,National</v>
      </c>
      <c r="C96" s="928" t="str">
        <f>P24</f>
        <v>R-BLD_Det_A</v>
      </c>
      <c r="D96" s="929" t="str">
        <f>Q24</f>
        <v>Residential Building Detached _ A</v>
      </c>
      <c r="E96" s="928" t="str">
        <f>[1]COMM!$O$8</f>
        <v>RSDSH_Det</v>
      </c>
      <c r="F96" s="929" t="str">
        <f>[1]COMM!$O$23</f>
        <v>RSD_Det</v>
      </c>
      <c r="G96" s="931">
        <f>Z8/1000</f>
        <v>20.378706337556117</v>
      </c>
      <c r="H96" s="931">
        <f>G96*$Y$26</f>
        <v>16.981575991085514</v>
      </c>
      <c r="I96" s="931">
        <v>1</v>
      </c>
      <c r="J96" s="929">
        <v>100</v>
      </c>
      <c r="K96" s="929">
        <v>1</v>
      </c>
      <c r="L96" s="1042">
        <f>ABS(AI62)*0.853224702081462</f>
        <v>3.7645780249386E-3</v>
      </c>
    </row>
    <row r="97" spans="2:12">
      <c r="B97" s="932"/>
      <c r="C97" s="507"/>
      <c r="D97" s="506"/>
      <c r="E97" s="1046" t="str">
        <f>[1]COMM!$O$11</f>
        <v>RSDSC_Det</v>
      </c>
      <c r="F97" s="506"/>
      <c r="G97" s="1044"/>
      <c r="H97" s="1044"/>
      <c r="I97" s="1044"/>
      <c r="J97" s="506"/>
      <c r="K97" s="506"/>
      <c r="L97" s="1045">
        <v>0</v>
      </c>
    </row>
    <row r="98" spans="2:12">
      <c r="B98" s="933"/>
      <c r="C98" s="331"/>
      <c r="D98" s="331"/>
      <c r="E98" s="423" t="str">
        <f>[1]COMM!$O$14</f>
        <v>RSDWH_Det</v>
      </c>
      <c r="F98" s="331"/>
      <c r="G98" s="1048"/>
      <c r="H98" s="1048"/>
      <c r="I98" s="1048"/>
      <c r="J98" s="331"/>
      <c r="K98" s="331"/>
      <c r="L98" s="1049">
        <f>AJ62*0.742731884673138</f>
        <v>6.6666794692434245E-3</v>
      </c>
    </row>
    <row r="99" spans="2:12">
      <c r="B99" s="932"/>
      <c r="C99" s="507"/>
      <c r="D99" s="506"/>
      <c r="E99" s="1046" t="str">
        <f>[1]COMM!$O$17</f>
        <v>RSDLT_Det</v>
      </c>
      <c r="F99" s="506"/>
      <c r="G99" s="1044"/>
      <c r="H99" s="1044"/>
      <c r="I99" s="1044"/>
      <c r="J99" s="506"/>
      <c r="K99" s="506"/>
      <c r="L99" s="1045">
        <f>AK62*0.375703674683678</f>
        <v>1.3248213592868335E-3</v>
      </c>
    </row>
    <row r="100" spans="2:12" ht="13.5" thickBot="1">
      <c r="B100" s="934"/>
      <c r="C100" s="935"/>
      <c r="D100" s="935"/>
      <c r="E100" s="1054" t="str">
        <f>[1]COMM!$O$20</f>
        <v>RSDPF_Det</v>
      </c>
      <c r="F100" s="935"/>
      <c r="G100" s="937"/>
      <c r="H100" s="937"/>
      <c r="I100" s="937"/>
      <c r="J100" s="935"/>
      <c r="K100" s="935"/>
      <c r="L100" s="1052">
        <f>AL62*0.568571740836304</f>
        <v>1.0463165232771768E-3</v>
      </c>
    </row>
    <row r="101" spans="2:12">
      <c r="B101" s="927" t="str">
        <f>_xlfn.TEXTJOIN(",",TRUE,IF(LEFT([1]Regions!$C$3,1)&lt;&gt;"*",[1]Regions!$C$3,""),IF(LEFT([1]Regions!$D$3,1)&lt;&gt;"*",[1]Regions!$D$3,""))</f>
        <v>IE,National</v>
      </c>
      <c r="C101" s="928" t="str">
        <f>P25</f>
        <v>R-BLD_Det_B1</v>
      </c>
      <c r="D101" s="929" t="str">
        <f>Q25</f>
        <v>Residential Building Detached _ B1</v>
      </c>
      <c r="E101" s="928" t="str">
        <f>[1]COMM!$O$8</f>
        <v>RSDSH_Det</v>
      </c>
      <c r="F101" s="929" t="str">
        <f>[1]COMM!$O$23</f>
        <v>RSD_Det</v>
      </c>
      <c r="G101" s="931">
        <f>Z9/1000</f>
        <v>9.4339012004747342</v>
      </c>
      <c r="H101" s="931">
        <f>G101*$Y$26</f>
        <v>7.8612698703555965</v>
      </c>
      <c r="I101" s="931">
        <v>1</v>
      </c>
      <c r="J101" s="929">
        <v>100</v>
      </c>
      <c r="K101" s="929">
        <v>1</v>
      </c>
      <c r="L101" s="1042">
        <f>ABS(AI63)*0.853224702081462</f>
        <v>2.071703416196638E-2</v>
      </c>
    </row>
    <row r="102" spans="2:12">
      <c r="B102" s="932"/>
      <c r="C102" s="507"/>
      <c r="D102" s="506"/>
      <c r="E102" s="1046" t="str">
        <f>[1]COMM!$O$11</f>
        <v>RSDSC_Det</v>
      </c>
      <c r="F102" s="506"/>
      <c r="G102" s="1044"/>
      <c r="H102" s="1044"/>
      <c r="I102" s="1044"/>
      <c r="J102" s="506"/>
      <c r="K102" s="506"/>
      <c r="L102" s="1045">
        <v>0</v>
      </c>
    </row>
    <row r="103" spans="2:12">
      <c r="B103" s="933"/>
      <c r="C103" s="331"/>
      <c r="D103" s="331"/>
      <c r="E103" s="423" t="str">
        <f>[1]COMM!$O$14</f>
        <v>RSDWH_Det</v>
      </c>
      <c r="F103" s="331"/>
      <c r="G103" s="1048"/>
      <c r="H103" s="1048"/>
      <c r="I103" s="1048"/>
      <c r="J103" s="331"/>
      <c r="K103" s="331"/>
      <c r="L103" s="1049">
        <f>AJ63*0.742731884673138</f>
        <v>8.8922350864476061E-3</v>
      </c>
    </row>
    <row r="104" spans="2:12">
      <c r="B104" s="932"/>
      <c r="C104" s="507"/>
      <c r="D104" s="506"/>
      <c r="E104" s="1046" t="str">
        <f>[1]COMM!$O$17</f>
        <v>RSDLT_Det</v>
      </c>
      <c r="F104" s="506"/>
      <c r="G104" s="1044"/>
      <c r="H104" s="1044"/>
      <c r="I104" s="1044"/>
      <c r="J104" s="506"/>
      <c r="K104" s="506"/>
      <c r="L104" s="1045">
        <f>AK63*0.375703674683678</f>
        <v>1.7683153930356794E-3</v>
      </c>
    </row>
    <row r="105" spans="2:12" ht="13.5" thickBot="1">
      <c r="B105" s="934"/>
      <c r="C105" s="935"/>
      <c r="D105" s="935"/>
      <c r="E105" s="1054" t="str">
        <f>[1]COMM!$O$20</f>
        <v>RSDPF_Det</v>
      </c>
      <c r="F105" s="935"/>
      <c r="G105" s="937"/>
      <c r="H105" s="937"/>
      <c r="I105" s="937"/>
      <c r="J105" s="935"/>
      <c r="K105" s="935"/>
      <c r="L105" s="1052">
        <f>AL63*0.568571740836304</f>
        <v>7.5053716369545911E-4</v>
      </c>
    </row>
    <row r="106" spans="2:12">
      <c r="B106" s="927" t="str">
        <f>_xlfn.TEXTJOIN(",",TRUE,IF(LEFT([1]Regions!$C$3,1)&lt;&gt;"*",[1]Regions!$C$3,""),IF(LEFT([1]Regions!$D$3,1)&lt;&gt;"*",[1]Regions!$D$3,""))</f>
        <v>IE,National</v>
      </c>
      <c r="C106" s="928" t="str">
        <f>P26</f>
        <v>R-BLD_Det_B2</v>
      </c>
      <c r="D106" s="929" t="str">
        <f>Q26</f>
        <v>Residential Building Detached _ B2</v>
      </c>
      <c r="E106" s="928" t="str">
        <f>[1]COMM!$O$8</f>
        <v>RSDSH_Det</v>
      </c>
      <c r="F106" s="929" t="str">
        <f>[1]COMM!$O$23</f>
        <v>RSD_Det</v>
      </c>
      <c r="G106" s="931">
        <f>Z10/1000</f>
        <v>20.090949195825139</v>
      </c>
      <c r="H106" s="931">
        <f>G106*$Y$26</f>
        <v>16.741787964881091</v>
      </c>
      <c r="I106" s="931">
        <v>1</v>
      </c>
      <c r="J106" s="929">
        <v>100</v>
      </c>
      <c r="K106" s="929">
        <v>1</v>
      </c>
      <c r="L106" s="1042">
        <f>ABS(AI64)*0.853224702081462</f>
        <v>3.3083652738783227E-2</v>
      </c>
    </row>
    <row r="107" spans="2:12">
      <c r="B107" s="932"/>
      <c r="C107" s="507"/>
      <c r="D107" s="506"/>
      <c r="E107" s="1046" t="str">
        <f>[1]COMM!$O$11</f>
        <v>RSDSC_Det</v>
      </c>
      <c r="F107" s="506"/>
      <c r="G107" s="1044"/>
      <c r="H107" s="1044"/>
      <c r="I107" s="1044"/>
      <c r="J107" s="506"/>
      <c r="K107" s="506"/>
      <c r="L107" s="1045">
        <v>0</v>
      </c>
    </row>
    <row r="108" spans="2:12">
      <c r="B108" s="933"/>
      <c r="C108" s="331"/>
      <c r="D108" s="331"/>
      <c r="E108" s="423" t="str">
        <f>[1]COMM!$O$14</f>
        <v>RSDWH_Det</v>
      </c>
      <c r="F108" s="331"/>
      <c r="G108" s="1048"/>
      <c r="H108" s="1048"/>
      <c r="I108" s="1048"/>
      <c r="J108" s="331"/>
      <c r="K108" s="331"/>
      <c r="L108" s="1049">
        <f>AJ64*0.742731884673138</f>
        <v>1.1723646251772786E-2</v>
      </c>
    </row>
    <row r="109" spans="2:12">
      <c r="B109" s="932"/>
      <c r="C109" s="507"/>
      <c r="D109" s="506"/>
      <c r="E109" s="1046" t="str">
        <f>[1]COMM!$O$17</f>
        <v>RSDLT_Det</v>
      </c>
      <c r="F109" s="506"/>
      <c r="G109" s="1044"/>
      <c r="H109" s="1044"/>
      <c r="I109" s="1044"/>
      <c r="J109" s="506"/>
      <c r="K109" s="506"/>
      <c r="L109" s="1045">
        <f>AK64*0.375703674683678</f>
        <v>2.004768212400896E-3</v>
      </c>
    </row>
    <row r="110" spans="2:12" ht="13.5" thickBot="1">
      <c r="B110" s="934"/>
      <c r="C110" s="935"/>
      <c r="D110" s="935"/>
      <c r="E110" s="1054" t="str">
        <f>[1]COMM!$O$20</f>
        <v>RSDPF_Det</v>
      </c>
      <c r="F110" s="935"/>
      <c r="G110" s="937"/>
      <c r="H110" s="937"/>
      <c r="I110" s="937"/>
      <c r="J110" s="935"/>
      <c r="K110" s="935"/>
      <c r="L110" s="1052">
        <f>AL64*0.568571740836304</f>
        <v>5.911548427780883E-4</v>
      </c>
    </row>
    <row r="111" spans="2:12">
      <c r="B111" s="927" t="str">
        <f>_xlfn.TEXTJOIN(",",TRUE,IF(LEFT([1]Regions!$C$3,1)&lt;&gt;"*",[1]Regions!$C$3,""),IF(LEFT([1]Regions!$D$3,1)&lt;&gt;"*",[1]Regions!$D$3,""))</f>
        <v>IE,National</v>
      </c>
      <c r="C111" s="928" t="str">
        <f>P27</f>
        <v>R-BLD_Det_B3</v>
      </c>
      <c r="D111" s="929" t="str">
        <f>Q27</f>
        <v>Residential Building Detached _ B3</v>
      </c>
      <c r="E111" s="928" t="str">
        <f>[1]COMM!$O$8</f>
        <v>RSDSH_Det</v>
      </c>
      <c r="F111" s="929" t="str">
        <f>[1]COMM!$O$23</f>
        <v>RSD_Det</v>
      </c>
      <c r="G111" s="931">
        <f>Z11/1000</f>
        <v>53.466210043981668</v>
      </c>
      <c r="H111" s="931">
        <f>G111*$Y$26</f>
        <v>44.55339282964993</v>
      </c>
      <c r="I111" s="931">
        <v>1</v>
      </c>
      <c r="J111" s="929">
        <v>100</v>
      </c>
      <c r="K111" s="929">
        <v>1</v>
      </c>
      <c r="L111" s="1042">
        <f>ABS(AI65)*0.853224702081462</f>
        <v>3.8234291164306322E-2</v>
      </c>
    </row>
    <row r="112" spans="2:12">
      <c r="B112" s="932"/>
      <c r="C112" s="507"/>
      <c r="D112" s="506"/>
      <c r="E112" s="1046" t="str">
        <f>[1]COMM!$O$11</f>
        <v>RSDSC_Det</v>
      </c>
      <c r="F112" s="506"/>
      <c r="G112" s="1044"/>
      <c r="H112" s="1044"/>
      <c r="I112" s="1044"/>
      <c r="J112" s="506"/>
      <c r="K112" s="506"/>
      <c r="L112" s="1045">
        <v>0</v>
      </c>
    </row>
    <row r="113" spans="2:12">
      <c r="B113" s="933"/>
      <c r="C113" s="331"/>
      <c r="D113" s="331"/>
      <c r="E113" s="423" t="str">
        <f>[1]COMM!$O$14</f>
        <v>RSDWH_Det</v>
      </c>
      <c r="F113" s="331"/>
      <c r="G113" s="1048"/>
      <c r="H113" s="1048"/>
      <c r="I113" s="1048"/>
      <c r="J113" s="331"/>
      <c r="K113" s="331"/>
      <c r="L113" s="1049">
        <f>AJ65*0.742731884673138</f>
        <v>1.3255956176612656E-2</v>
      </c>
    </row>
    <row r="114" spans="2:12">
      <c r="B114" s="932"/>
      <c r="C114" s="507"/>
      <c r="D114" s="506"/>
      <c r="E114" s="1046" t="str">
        <f>[1]COMM!$O$17</f>
        <v>RSDLT_Det</v>
      </c>
      <c r="F114" s="506"/>
      <c r="G114" s="1044"/>
      <c r="H114" s="1044"/>
      <c r="I114" s="1044"/>
      <c r="J114" s="506"/>
      <c r="K114" s="506"/>
      <c r="L114" s="1045">
        <f>AK65*0.375703674683678</f>
        <v>1.9617916456053579E-3</v>
      </c>
    </row>
    <row r="115" spans="2:12" ht="13.5" thickBot="1">
      <c r="B115" s="934"/>
      <c r="C115" s="935"/>
      <c r="D115" s="935"/>
      <c r="E115" s="1054" t="str">
        <f>[1]COMM!$O$20</f>
        <v>RSDPF_Det</v>
      </c>
      <c r="F115" s="935"/>
      <c r="G115" s="937"/>
      <c r="H115" s="937"/>
      <c r="I115" s="937"/>
      <c r="J115" s="935"/>
      <c r="K115" s="935"/>
      <c r="L115" s="1052">
        <f>AL65*0.568571740836304</f>
        <v>5.1352659953481268E-4</v>
      </c>
    </row>
    <row r="116" spans="2:12">
      <c r="B116" s="927" t="str">
        <f>_xlfn.TEXTJOIN(",",TRUE,IF(LEFT([1]Regions!$C$3,1)&lt;&gt;"*",[1]Regions!$C$3,""),IF(LEFT([1]Regions!$D$3,1)&lt;&gt;"*",[1]Regions!$D$3,""))</f>
        <v>IE,National</v>
      </c>
      <c r="C116" s="928" t="str">
        <f>P28</f>
        <v>R-BLD_Det_C</v>
      </c>
      <c r="D116" s="929" t="str">
        <f>Q28</f>
        <v>Residential Building Detached _ C</v>
      </c>
      <c r="E116" s="928" t="str">
        <f>[1]COMM!$O$8</f>
        <v>RSDSH_Det</v>
      </c>
      <c r="F116" s="929" t="str">
        <f>[1]COMM!$O$23</f>
        <v>RSD_Det</v>
      </c>
      <c r="G116" s="931">
        <f>Z12/1000</f>
        <v>251.3189336137435</v>
      </c>
      <c r="H116" s="931">
        <f>G116*$Y$26</f>
        <v>209.42406738033247</v>
      </c>
      <c r="I116" s="931">
        <v>1</v>
      </c>
      <c r="J116" s="929">
        <v>100</v>
      </c>
      <c r="K116" s="929">
        <v>1</v>
      </c>
      <c r="L116" s="1042">
        <f>ABS(AI66)*0.853224702081462</f>
        <v>4.3300799885821681E-2</v>
      </c>
    </row>
    <row r="117" spans="2:12">
      <c r="B117" s="932"/>
      <c r="C117" s="507"/>
      <c r="D117" s="506"/>
      <c r="E117" s="1046" t="str">
        <f>[1]COMM!$O$11</f>
        <v>RSDSC_Det</v>
      </c>
      <c r="F117" s="506"/>
      <c r="G117" s="1044"/>
      <c r="H117" s="1044"/>
      <c r="I117" s="1044"/>
      <c r="J117" s="506"/>
      <c r="K117" s="506"/>
      <c r="L117" s="1045">
        <v>0</v>
      </c>
    </row>
    <row r="118" spans="2:12">
      <c r="B118" s="933"/>
      <c r="C118" s="331"/>
      <c r="D118" s="331"/>
      <c r="E118" s="423" t="str">
        <f>[1]COMM!$O$14</f>
        <v>RSDWH_Det</v>
      </c>
      <c r="F118" s="331"/>
      <c r="G118" s="1048"/>
      <c r="H118" s="1048"/>
      <c r="I118" s="1048"/>
      <c r="J118" s="331"/>
      <c r="K118" s="331"/>
      <c r="L118" s="1049">
        <f>AJ66*0.742731884673138</f>
        <v>1.4139525083172063E-2</v>
      </c>
    </row>
    <row r="119" spans="2:12">
      <c r="B119" s="932"/>
      <c r="C119" s="507"/>
      <c r="D119" s="506"/>
      <c r="E119" s="1046" t="str">
        <f>[1]COMM!$O$17</f>
        <v>RSDLT_Det</v>
      </c>
      <c r="F119" s="506"/>
      <c r="G119" s="1044"/>
      <c r="H119" s="1044"/>
      <c r="I119" s="1044"/>
      <c r="J119" s="506"/>
      <c r="K119" s="506"/>
      <c r="L119" s="1045">
        <f>AK66*0.375703674683678</f>
        <v>1.7035279711745406E-3</v>
      </c>
    </row>
    <row r="120" spans="2:12" ht="13.5" thickBot="1">
      <c r="B120" s="934"/>
      <c r="C120" s="935"/>
      <c r="D120" s="935"/>
      <c r="E120" s="1054" t="str">
        <f>[1]COMM!$O$20</f>
        <v>RSDPF_Det</v>
      </c>
      <c r="F120" s="935"/>
      <c r="G120" s="937"/>
      <c r="H120" s="937"/>
      <c r="I120" s="937"/>
      <c r="J120" s="935"/>
      <c r="K120" s="935"/>
      <c r="L120" s="1052">
        <f>AL66*0.568571740836304</f>
        <v>4.7564031426238504E-4</v>
      </c>
    </row>
    <row r="121" spans="2:12">
      <c r="B121" s="927" t="str">
        <f>_xlfn.TEXTJOIN(",",TRUE,IF(LEFT([1]Regions!$C$3,1)&lt;&gt;"*",[1]Regions!$C$3,""),IF(LEFT([1]Regions!$D$3,1)&lt;&gt;"*",[1]Regions!$D$3,""))</f>
        <v>IE,National</v>
      </c>
      <c r="C121" s="928" t="str">
        <f>P29</f>
        <v>R-BLD_Det_D</v>
      </c>
      <c r="D121" s="929" t="str">
        <f>Q29</f>
        <v>Residential Building Detached _ D</v>
      </c>
      <c r="E121" s="928" t="str">
        <f>[1]COMM!$O$8</f>
        <v>RSDSH_Det</v>
      </c>
      <c r="F121" s="929" t="str">
        <f>[1]COMM!$O$23</f>
        <v>RSD_Det</v>
      </c>
      <c r="G121" s="931">
        <f>Z13/1000</f>
        <v>166.66779141279125</v>
      </c>
      <c r="H121" s="931">
        <f>G121*$Y$26</f>
        <v>138.88427058427897</v>
      </c>
      <c r="I121" s="931">
        <v>1</v>
      </c>
      <c r="J121" s="929">
        <v>100</v>
      </c>
      <c r="K121" s="929">
        <v>1</v>
      </c>
      <c r="L121" s="1042">
        <f>ABS(AI67)*0.853224702081462</f>
        <v>4.8901598340165373E-2</v>
      </c>
    </row>
    <row r="122" spans="2:12">
      <c r="B122" s="932"/>
      <c r="C122" s="507"/>
      <c r="D122" s="506"/>
      <c r="E122" s="1046" t="str">
        <f>[1]COMM!$O$11</f>
        <v>RSDSC_Det</v>
      </c>
      <c r="F122" s="506"/>
      <c r="G122" s="1044"/>
      <c r="H122" s="1044"/>
      <c r="I122" s="1044"/>
      <c r="J122" s="506"/>
      <c r="K122" s="506"/>
      <c r="L122" s="1045">
        <v>0</v>
      </c>
    </row>
    <row r="123" spans="2:12">
      <c r="B123" s="933"/>
      <c r="C123" s="331"/>
      <c r="D123" s="331"/>
      <c r="E123" s="423" t="str">
        <f>[1]COMM!$O$14</f>
        <v>RSDWH_Det</v>
      </c>
      <c r="F123" s="331"/>
      <c r="G123" s="1048"/>
      <c r="H123" s="1048"/>
      <c r="I123" s="1048"/>
      <c r="J123" s="331"/>
      <c r="K123" s="331"/>
      <c r="L123" s="1049">
        <f>AJ67*0.742731884673138</f>
        <v>1.4303829274544932E-2</v>
      </c>
    </row>
    <row r="124" spans="2:12">
      <c r="B124" s="932"/>
      <c r="C124" s="507"/>
      <c r="D124" s="506"/>
      <c r="E124" s="1046" t="str">
        <f>[1]COMM!$O$17</f>
        <v>RSDLT_Det</v>
      </c>
      <c r="F124" s="506"/>
      <c r="G124" s="1044"/>
      <c r="H124" s="1044"/>
      <c r="I124" s="1044"/>
      <c r="J124" s="506"/>
      <c r="K124" s="506"/>
      <c r="L124" s="1045">
        <f>AK67*0.375703674683678</f>
        <v>1.3931982012489457E-3</v>
      </c>
    </row>
    <row r="125" spans="2:12" ht="13.5" thickBot="1">
      <c r="B125" s="934"/>
      <c r="C125" s="935"/>
      <c r="D125" s="935"/>
      <c r="E125" s="1054" t="str">
        <f>[1]COMM!$O$20</f>
        <v>RSDPF_Det</v>
      </c>
      <c r="F125" s="935"/>
      <c r="G125" s="937"/>
      <c r="H125" s="937"/>
      <c r="I125" s="937"/>
      <c r="J125" s="935"/>
      <c r="K125" s="935"/>
      <c r="L125" s="1052">
        <f>AL67*0.568571740836304</f>
        <v>4.620421675097221E-4</v>
      </c>
    </row>
    <row r="126" spans="2:12">
      <c r="B126" s="927" t="str">
        <f>_xlfn.TEXTJOIN(",",TRUE,IF(LEFT([1]Regions!$C$3,1)&lt;&gt;"*",[1]Regions!$C$3,""),IF(LEFT([1]Regions!$D$3,1)&lt;&gt;"*",[1]Regions!$D$3,""))</f>
        <v>IE,National</v>
      </c>
      <c r="C126" s="928" t="str">
        <f>P30</f>
        <v>R-BLD_Det_E</v>
      </c>
      <c r="D126" s="929" t="str">
        <f>Q30</f>
        <v>Residential Building Detached _ E</v>
      </c>
      <c r="E126" s="928" t="str">
        <f>[1]COMM!$O$8</f>
        <v>RSDSH_Det</v>
      </c>
      <c r="F126" s="929" t="str">
        <f>[1]COMM!$O$23</f>
        <v>RSD_Det</v>
      </c>
      <c r="G126" s="931">
        <f>Z14/1000</f>
        <v>81.396697989555506</v>
      </c>
      <c r="H126" s="931">
        <f>G126*$Y$26</f>
        <v>67.827868434696612</v>
      </c>
      <c r="I126" s="931">
        <v>1</v>
      </c>
      <c r="J126" s="929">
        <v>100</v>
      </c>
      <c r="K126" s="929">
        <v>1</v>
      </c>
      <c r="L126" s="1042">
        <f>ABS(AI68)*0.853224702081462</f>
        <v>6.0316400230437453E-2</v>
      </c>
    </row>
    <row r="127" spans="2:12">
      <c r="B127" s="932"/>
      <c r="C127" s="507"/>
      <c r="D127" s="506"/>
      <c r="E127" s="1046" t="str">
        <f>[1]COMM!$O$11</f>
        <v>RSDSC_Det</v>
      </c>
      <c r="F127" s="506"/>
      <c r="G127" s="1044"/>
      <c r="H127" s="1044"/>
      <c r="I127" s="1044"/>
      <c r="J127" s="506"/>
      <c r="K127" s="506"/>
      <c r="L127" s="1045">
        <v>0</v>
      </c>
    </row>
    <row r="128" spans="2:12">
      <c r="B128" s="933"/>
      <c r="C128" s="331"/>
      <c r="D128" s="331"/>
      <c r="E128" s="423" t="str">
        <f>[1]COMM!$O$14</f>
        <v>RSDWH_Det</v>
      </c>
      <c r="F128" s="331"/>
      <c r="G128" s="1048"/>
      <c r="H128" s="1048"/>
      <c r="I128" s="1048"/>
      <c r="J128" s="331"/>
      <c r="K128" s="331"/>
      <c r="L128" s="1049">
        <f>AJ68*0.742731884673138</f>
        <v>1.4351733209498384E-2</v>
      </c>
    </row>
    <row r="129" spans="2:12">
      <c r="B129" s="932"/>
      <c r="C129" s="507"/>
      <c r="D129" s="506"/>
      <c r="E129" s="1046" t="str">
        <f>[1]COMM!$O$17</f>
        <v>RSDLT_Det</v>
      </c>
      <c r="F129" s="506"/>
      <c r="G129" s="1044"/>
      <c r="H129" s="1044"/>
      <c r="I129" s="1044"/>
      <c r="J129" s="506"/>
      <c r="K129" s="506"/>
      <c r="L129" s="1045">
        <f>AK68*0.375703674683678</f>
        <v>1.2866536750593203E-3</v>
      </c>
    </row>
    <row r="130" spans="2:12" ht="13.5" thickBot="1">
      <c r="B130" s="934"/>
      <c r="C130" s="935"/>
      <c r="D130" s="935"/>
      <c r="E130" s="1054" t="str">
        <f>[1]COMM!$O$20</f>
        <v>RSDPF_Det</v>
      </c>
      <c r="F130" s="935"/>
      <c r="G130" s="937"/>
      <c r="H130" s="937"/>
      <c r="I130" s="937"/>
      <c r="J130" s="935"/>
      <c r="K130" s="935"/>
      <c r="L130" s="1052">
        <f>AL68*0.568571740836304</f>
        <v>4.317396430081587E-4</v>
      </c>
    </row>
    <row r="131" spans="2:12">
      <c r="B131" s="927" t="str">
        <f>_xlfn.TEXTJOIN(",",TRUE,IF(LEFT([1]Regions!$C$3,1)&lt;&gt;"*",[1]Regions!$C$3,""),IF(LEFT([1]Regions!$D$3,1)&lt;&gt;"*",[1]Regions!$D$3,""))</f>
        <v>IE,National</v>
      </c>
      <c r="C131" s="928" t="str">
        <f>P31</f>
        <v>R-BLD_Det_F</v>
      </c>
      <c r="D131" s="929" t="str">
        <f>Q31</f>
        <v>Residential Building Detached _ F</v>
      </c>
      <c r="E131" s="928" t="str">
        <f>[1]COMM!$O$8</f>
        <v>RSDSH_Det</v>
      </c>
      <c r="F131" s="929" t="str">
        <f>[1]COMM!$O$23</f>
        <v>RSD_Det</v>
      </c>
      <c r="G131" s="931">
        <f>Z15/1000</f>
        <v>43.241005762967113</v>
      </c>
      <c r="H131" s="931">
        <f>G131*$Y$26</f>
        <v>36.032730102280496</v>
      </c>
      <c r="I131" s="931">
        <v>1</v>
      </c>
      <c r="J131" s="929">
        <v>100</v>
      </c>
      <c r="K131" s="929">
        <v>1</v>
      </c>
      <c r="L131" s="1042">
        <f>ABS(AI69)*0.853224702081462</f>
        <v>7.2534210143308783E-2</v>
      </c>
    </row>
    <row r="132" spans="2:12">
      <c r="B132" s="932"/>
      <c r="C132" s="507"/>
      <c r="D132" s="506"/>
      <c r="E132" s="1046" t="str">
        <f>[1]COMM!$O$11</f>
        <v>RSDSC_Det</v>
      </c>
      <c r="F132" s="506"/>
      <c r="G132" s="1044"/>
      <c r="H132" s="1044"/>
      <c r="I132" s="1044"/>
      <c r="J132" s="506"/>
      <c r="K132" s="506"/>
      <c r="L132" s="1045">
        <v>0</v>
      </c>
    </row>
    <row r="133" spans="2:12">
      <c r="B133" s="933"/>
      <c r="C133" s="331"/>
      <c r="D133" s="331"/>
      <c r="E133" s="423" t="str">
        <f>[1]COMM!$O$14</f>
        <v>RSDWH_Det</v>
      </c>
      <c r="F133" s="331"/>
      <c r="G133" s="1048"/>
      <c r="H133" s="1048"/>
      <c r="I133" s="1048"/>
      <c r="J133" s="331"/>
      <c r="K133" s="331"/>
      <c r="L133" s="1049">
        <f>AJ69*0.742731884673138</f>
        <v>1.4431449095148411E-2</v>
      </c>
    </row>
    <row r="134" spans="2:12">
      <c r="B134" s="932"/>
      <c r="C134" s="507"/>
      <c r="D134" s="506"/>
      <c r="E134" s="1046" t="str">
        <f>[1]COMM!$O$17</f>
        <v>RSDLT_Det</v>
      </c>
      <c r="F134" s="506"/>
      <c r="G134" s="1044"/>
      <c r="H134" s="1044"/>
      <c r="I134" s="1044"/>
      <c r="J134" s="506"/>
      <c r="K134" s="506"/>
      <c r="L134" s="1045">
        <f>AK69*0.375703674683678</f>
        <v>1.2249928868643262E-3</v>
      </c>
    </row>
    <row r="135" spans="2:12" ht="13.5" thickBot="1">
      <c r="B135" s="934"/>
      <c r="C135" s="935"/>
      <c r="D135" s="935"/>
      <c r="E135" s="1054" t="str">
        <f>[1]COMM!$O$20</f>
        <v>RSDPF_Det</v>
      </c>
      <c r="F135" s="935"/>
      <c r="G135" s="937"/>
      <c r="H135" s="937"/>
      <c r="I135" s="937"/>
      <c r="J135" s="935"/>
      <c r="K135" s="935"/>
      <c r="L135" s="1052">
        <f>AL69*0.568571740836304</f>
        <v>4.1119730191954164E-4</v>
      </c>
    </row>
    <row r="136" spans="2:12">
      <c r="B136" s="927" t="str">
        <f>_xlfn.TEXTJOIN(",",TRUE,IF(LEFT([1]Regions!$C$3,1)&lt;&gt;"*",[1]Regions!$C$3,""),IF(LEFT([1]Regions!$D$3,1)&lt;&gt;"*",[1]Regions!$D$3,""))</f>
        <v>IE,National</v>
      </c>
      <c r="C136" s="928" t="str">
        <f>P32</f>
        <v>R-BLD_Det_G</v>
      </c>
      <c r="D136" s="929" t="str">
        <f>Q32</f>
        <v>Residential Building Detached _ G</v>
      </c>
      <c r="E136" s="928" t="str">
        <f>[1]COMM!$O$8</f>
        <v>RSDSH_Det</v>
      </c>
      <c r="F136" s="929" t="str">
        <f>[1]COMM!$O$23</f>
        <v>RSD_Det</v>
      </c>
      <c r="G136" s="931">
        <f>Z16/1000</f>
        <v>78.435533443104831</v>
      </c>
      <c r="H136" s="931">
        <f>G136*$Y$26</f>
        <v>65.360330018139265</v>
      </c>
      <c r="I136" s="931">
        <v>1</v>
      </c>
      <c r="J136" s="929">
        <v>100</v>
      </c>
      <c r="K136" s="929">
        <v>1</v>
      </c>
      <c r="L136" s="1042">
        <f>ABS(AI70)*0.853224702081462</f>
        <v>9.572100774137017E-2</v>
      </c>
    </row>
    <row r="137" spans="2:12">
      <c r="B137" s="932"/>
      <c r="C137" s="507"/>
      <c r="D137" s="506"/>
      <c r="E137" s="1046" t="str">
        <f>[1]COMM!$O$11</f>
        <v>RSDSC_Det</v>
      </c>
      <c r="F137" s="506"/>
      <c r="G137" s="1044"/>
      <c r="H137" s="1044"/>
      <c r="I137" s="1044"/>
      <c r="J137" s="506"/>
      <c r="K137" s="506"/>
      <c r="L137" s="1045">
        <v>0</v>
      </c>
    </row>
    <row r="138" spans="2:12">
      <c r="B138" s="933"/>
      <c r="C138" s="331"/>
      <c r="D138" s="331"/>
      <c r="E138" s="423" t="str">
        <f>[1]COMM!$O$14</f>
        <v>RSDWH_Det</v>
      </c>
      <c r="F138" s="331"/>
      <c r="G138" s="1048"/>
      <c r="H138" s="1048"/>
      <c r="I138" s="1048"/>
      <c r="J138" s="331"/>
      <c r="K138" s="331"/>
      <c r="L138" s="1049">
        <f>AJ70*0.742731884673138</f>
        <v>1.3140678240923184E-2</v>
      </c>
    </row>
    <row r="139" spans="2:12">
      <c r="B139" s="932"/>
      <c r="C139" s="507"/>
      <c r="D139" s="506"/>
      <c r="E139" s="1046" t="str">
        <f>[1]COMM!$O$17</f>
        <v>RSDLT_Det</v>
      </c>
      <c r="F139" s="506"/>
      <c r="G139" s="1044"/>
      <c r="H139" s="1044"/>
      <c r="I139" s="1044"/>
      <c r="J139" s="506"/>
      <c r="K139" s="506"/>
      <c r="L139" s="1045">
        <f>AK70*0.375703674683678</f>
        <v>1.0814863114877928E-3</v>
      </c>
    </row>
    <row r="140" spans="2:12" ht="13.5" thickBot="1">
      <c r="B140" s="934"/>
      <c r="C140" s="935"/>
      <c r="D140" s="935"/>
      <c r="E140" s="1054" t="str">
        <f>[1]COMM!$O$20</f>
        <v>RSDPF_Det</v>
      </c>
      <c r="F140" s="935"/>
      <c r="G140" s="937"/>
      <c r="H140" s="937"/>
      <c r="I140" s="937"/>
      <c r="J140" s="935"/>
      <c r="K140" s="935"/>
      <c r="L140" s="1052">
        <f>AL70*0.568571740836304</f>
        <v>3.0143313414421959E-4</v>
      </c>
    </row>
    <row r="167" spans="18:18" ht="15">
      <c r="R167" s="406"/>
    </row>
    <row r="168" spans="18:18" ht="15">
      <c r="R168" s="406"/>
    </row>
    <row r="169" spans="18:18" ht="15">
      <c r="R169" s="406"/>
    </row>
    <row r="170" spans="18:18" ht="15">
      <c r="R170" s="406"/>
    </row>
  </sheetData>
  <mergeCells count="9">
    <mergeCell ref="O39:S39"/>
    <mergeCell ref="O56:S56"/>
    <mergeCell ref="O65:T65"/>
    <mergeCell ref="W6:AA6"/>
    <mergeCell ref="W24:AA24"/>
    <mergeCell ref="W25:X25"/>
    <mergeCell ref="Y25:AA25"/>
    <mergeCell ref="W26:X26"/>
    <mergeCell ref="Y26:AA2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>
      <selection activeCell="J30" sqref="J30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7"/>
    </row>
    <row r="2" spans="2:23" ht="21">
      <c r="B2" s="69" t="s">
        <v>654</v>
      </c>
      <c r="C2" s="69"/>
      <c r="D2" s="69"/>
      <c r="E2" s="69"/>
      <c r="F2" s="73" t="s">
        <v>770</v>
      </c>
      <c r="G2" s="569"/>
      <c r="H2" s="569"/>
      <c r="I2" s="569"/>
      <c r="J2" s="569"/>
      <c r="K2" s="569"/>
      <c r="L2" s="569"/>
      <c r="M2" s="569"/>
      <c r="N2" s="569"/>
      <c r="O2" s="46"/>
      <c r="P2" s="34" t="s">
        <v>769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766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833</v>
      </c>
      <c r="P3" s="36" t="s">
        <v>261</v>
      </c>
      <c r="Q3" s="36" t="s">
        <v>766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773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834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89" t="str">
        <f>_xlfn.TEXTJOIN(",",TRUE,IF(LEFT(Regions!$C$3,1)&lt;&gt;"*",Regions!$C$3,""),IF(LEFT(Regions!$D$3,1)&lt;&gt;"*",Regions!$D$3,""))</f>
        <v>IE,National</v>
      </c>
      <c r="C5" s="887" t="str">
        <f>R5</f>
        <v>R-RSDRF_X0</v>
      </c>
      <c r="D5" s="887" t="str">
        <f>S5</f>
        <v>Residential Refrigeration Demand Technology</v>
      </c>
      <c r="E5" s="887" t="str">
        <f>COMM!$E$24</f>
        <v>RSDELC</v>
      </c>
      <c r="F5" s="887" t="str">
        <f>COMM!E32</f>
        <v>RSDRF</v>
      </c>
      <c r="G5" s="888">
        <f>DwellingStocks!$L$28/1000*RSD_Balance!U38</f>
        <v>1697.5803349999996</v>
      </c>
      <c r="H5" s="887">
        <v>0.8</v>
      </c>
      <c r="I5" s="890">
        <f>L5/G5/K5</f>
        <v>0.11719939117199392</v>
      </c>
      <c r="J5" s="891">
        <v>10</v>
      </c>
      <c r="K5" s="435">
        <f>31.536*(N5/1000)</f>
        <v>5.6764799999999994E-3</v>
      </c>
      <c r="L5" s="888">
        <f t="shared" ref="L5:L13" si="0">M5*H5</f>
        <v>1.1293662452687998</v>
      </c>
      <c r="M5" s="892">
        <f>RSD_Balance!S29</f>
        <v>1.4117078065859998</v>
      </c>
      <c r="N5" s="435">
        <v>0.18</v>
      </c>
      <c r="O5" s="467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93" t="str">
        <f>_xlfn.TEXTJOIN(",",TRUE,IF(LEFT(Regions!$C$3,1)&lt;&gt;"*",Regions!$C$3,""),IF(LEFT(Regions!$D$3,1)&lt;&gt;"*",Regions!$D$3,""))</f>
        <v>IE,National</v>
      </c>
      <c r="C6" s="894" t="str">
        <f>R6</f>
        <v>R-RSDCK_ELC_X0</v>
      </c>
      <c r="D6" s="895" t="str">
        <f>S6</f>
        <v>Residential Cooking Demand Electrical Technology</v>
      </c>
      <c r="E6" s="895" t="str">
        <f>COMM!E24</f>
        <v>RSDELC</v>
      </c>
      <c r="F6" s="894" t="str">
        <f>COMM!$E$33</f>
        <v>RSDCK</v>
      </c>
      <c r="G6" s="896">
        <f>DwellingStocks!$L$28/1000*R20</f>
        <v>1288.2597646247998</v>
      </c>
      <c r="H6" s="895">
        <v>0.74</v>
      </c>
      <c r="I6" s="897">
        <f>(SUM(L6))/G6/K6</f>
        <v>1.2457230310998246E-2</v>
      </c>
      <c r="J6" s="895">
        <v>15</v>
      </c>
      <c r="K6" s="894">
        <f t="shared" ref="K6:K13" si="1">31.536*(N6/1000)</f>
        <v>9.4608000000000012E-2</v>
      </c>
      <c r="L6" s="894">
        <f>M6*H6</f>
        <v>1.5182832416441119</v>
      </c>
      <c r="M6" s="898">
        <f>RSD_Balance!R26</f>
        <v>2.051734110329881</v>
      </c>
      <c r="N6" s="885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80" t="s">
        <v>13</v>
      </c>
      <c r="U6" s="439" t="s">
        <v>275</v>
      </c>
      <c r="V6" s="880"/>
      <c r="W6" s="439"/>
    </row>
    <row r="7" spans="2:23" ht="15">
      <c r="B7" s="889" t="str">
        <f>_xlfn.TEXTJOIN(",",TRUE,IF(LEFT(Regions!$C$3,1)&lt;&gt;"*",Regions!$C$3,""),IF(LEFT(Regions!$D$3,1)&lt;&gt;"*",Regions!$D$3,""))</f>
        <v>IE,National</v>
      </c>
      <c r="C7" s="887" t="str">
        <f t="shared" ref="C7:C8" si="2">R7</f>
        <v>R-RSDCK_GAS_X0</v>
      </c>
      <c r="D7" s="887" t="str">
        <f t="shared" ref="D7:D8" si="3">S7</f>
        <v>Residential Cooking Demand Gas Technology</v>
      </c>
      <c r="E7" s="887" t="str">
        <f>COMM!E14</f>
        <v>RSDGAS</v>
      </c>
      <c r="F7" s="887" t="str">
        <f>COMM!$E$33</f>
        <v>RSDCK</v>
      </c>
      <c r="G7" s="888">
        <f>DwellingStocks!$L$28/1000*R21</f>
        <v>386.53394953849494</v>
      </c>
      <c r="H7" s="887">
        <v>0.68</v>
      </c>
      <c r="I7" s="890">
        <f>(SUM(L7))/G7/K7</f>
        <v>1.0677641927395889E-2</v>
      </c>
      <c r="J7" s="891">
        <v>15</v>
      </c>
      <c r="K7" s="900">
        <f t="shared" si="1"/>
        <v>0.110376</v>
      </c>
      <c r="L7" s="888">
        <f>M7*H7</f>
        <v>0.45555167559079646</v>
      </c>
      <c r="M7" s="892">
        <f>RSD_Balance!R17</f>
        <v>0.66992893469234771</v>
      </c>
      <c r="N7" s="886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93" t="str">
        <f>_xlfn.TEXTJOIN(",",TRUE,IF(LEFT(Regions!$C$3,1)&lt;&gt;"*",Regions!$C$3,""),IF(LEFT(Regions!$D$3,1)&lt;&gt;"*",Regions!$D$3,""))</f>
        <v>IE,National</v>
      </c>
      <c r="C8" s="894" t="str">
        <f t="shared" si="2"/>
        <v>R-RSDCK_LPG_X0</v>
      </c>
      <c r="D8" s="895" t="str">
        <f t="shared" si="3"/>
        <v>Residential Cooking Demand LPG Technology</v>
      </c>
      <c r="E8" s="895" t="str">
        <f>COMM!E8</f>
        <v>RSDLPG</v>
      </c>
      <c r="F8" s="894" t="str">
        <f>COMM!$E$33</f>
        <v>RSDCK</v>
      </c>
      <c r="G8" s="896">
        <f>DwellingStocks!$L$28/1000*R22</f>
        <v>22.786262647254308</v>
      </c>
      <c r="H8" s="895">
        <v>0.68</v>
      </c>
      <c r="I8" s="897">
        <f t="shared" ref="I8" si="4">(SUM(L8))/G8/K8</f>
        <v>1.0677627336793453E-2</v>
      </c>
      <c r="J8" s="895">
        <v>15</v>
      </c>
      <c r="K8" s="894">
        <f t="shared" si="1"/>
        <v>0.110376</v>
      </c>
      <c r="L8" s="894">
        <f>M8*H8</f>
        <v>2.6854836315100172E-2</v>
      </c>
      <c r="M8" s="898">
        <f>RSD_Balance!R11</f>
        <v>3.9492406345735545E-2</v>
      </c>
      <c r="N8" s="885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80" t="s">
        <v>13</v>
      </c>
      <c r="U8" s="439" t="s">
        <v>275</v>
      </c>
      <c r="V8" s="880"/>
      <c r="W8" s="439"/>
    </row>
    <row r="9" spans="2:23" s="268" customFormat="1" ht="15">
      <c r="B9" s="889" t="str">
        <f>_xlfn.TEXTJOIN(",",TRUE,IF(LEFT(Regions!$C$3,1)&lt;&gt;"*",Regions!$C$3,""),IF(LEFT(Regions!$D$3,1)&lt;&gt;"*",Regions!$D$3,""))</f>
        <v>IE,National</v>
      </c>
      <c r="C9" s="887" t="str">
        <f t="shared" ref="C9:D13" si="5">R9</f>
        <v>R-RSDCW_X0</v>
      </c>
      <c r="D9" s="887" t="str">
        <f t="shared" si="5"/>
        <v>Residential Cloth Washing Demand Technology</v>
      </c>
      <c r="E9" s="887" t="str">
        <f>COMM!$E$24</f>
        <v>RSDELC</v>
      </c>
      <c r="F9" s="887" t="str">
        <f>COMM!E34</f>
        <v>RSDCW</v>
      </c>
      <c r="G9" s="888">
        <f>DwellingStocks!$L$28/1000*RSD_Balance!U36</f>
        <v>1655.1408266249996</v>
      </c>
      <c r="H9" s="887">
        <v>0.7</v>
      </c>
      <c r="I9" s="890">
        <f>L9/G9/K9</f>
        <v>6.7195931921959322E-3</v>
      </c>
      <c r="J9" s="891">
        <v>10</v>
      </c>
      <c r="K9" s="900">
        <f t="shared" si="1"/>
        <v>6.9379200000000002E-2</v>
      </c>
      <c r="L9" s="888">
        <f t="shared" si="0"/>
        <v>0.77162665337257486</v>
      </c>
      <c r="M9" s="892">
        <f>RSD_Balance!T29</f>
        <v>1.1023237905322498</v>
      </c>
      <c r="N9" s="886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93" t="str">
        <f>_xlfn.TEXTJOIN(",",TRUE,IF(LEFT(Regions!$C$3,1)&lt;&gt;"*",Regions!$C$3,""),IF(LEFT(Regions!$D$3,1)&lt;&gt;"*",Regions!$D$3,""))</f>
        <v>IE,National</v>
      </c>
      <c r="C10" s="894" t="str">
        <f t="shared" si="5"/>
        <v>R-RSDCD_X0</v>
      </c>
      <c r="D10" s="895" t="str">
        <f t="shared" si="5"/>
        <v>Residential Cloth Drying Demand Technology</v>
      </c>
      <c r="E10" s="895" t="str">
        <f>COMM!$E$24</f>
        <v>RSDELC</v>
      </c>
      <c r="F10" s="894" t="str">
        <f>COMM!E35</f>
        <v>RSDCD</v>
      </c>
      <c r="G10" s="896">
        <f>DwellingStocks!$L$28/1000*RSD_Balance!U37</f>
        <v>1100.0320570799997</v>
      </c>
      <c r="H10" s="894">
        <v>0.6</v>
      </c>
      <c r="I10" s="897">
        <f>L10/G10/K10</f>
        <v>1.1863013698630138E-2</v>
      </c>
      <c r="J10" s="895">
        <v>10</v>
      </c>
      <c r="K10" s="894">
        <f t="shared" si="1"/>
        <v>7.8840000000000007E-2</v>
      </c>
      <c r="L10" s="894">
        <f t="shared" si="0"/>
        <v>1.0288379823457823</v>
      </c>
      <c r="M10" s="898">
        <f>RSD_Balance!U26</f>
        <v>1.7147299705763039</v>
      </c>
      <c r="N10" s="885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80" t="s">
        <v>13</v>
      </c>
      <c r="U10" s="439" t="s">
        <v>275</v>
      </c>
      <c r="V10" s="880"/>
      <c r="W10" s="439"/>
    </row>
    <row r="11" spans="2:23" ht="15">
      <c r="B11" s="889" t="str">
        <f>_xlfn.TEXTJOIN(",",TRUE,IF(LEFT(Regions!$C$3,1)&lt;&gt;"*",Regions!$C$3,""),IF(LEFT(Regions!$D$3,1)&lt;&gt;"*",Regions!$D$3,""))</f>
        <v>IE,National</v>
      </c>
      <c r="C11" s="887" t="str">
        <f t="shared" si="5"/>
        <v>R-RSDDW_X0</v>
      </c>
      <c r="D11" s="887" t="str">
        <f t="shared" si="5"/>
        <v>Residential Dish Washing Demand Technology</v>
      </c>
      <c r="E11" s="887" t="str">
        <f>COMM!$E$24</f>
        <v>RSDELC</v>
      </c>
      <c r="F11" s="887" t="str">
        <f>COMM!E36</f>
        <v>RSDDW</v>
      </c>
      <c r="G11" s="888">
        <f>DwellingStocks!$L$28/1000*RSD_Balance!U39</f>
        <v>1098.3344767449998</v>
      </c>
      <c r="H11" s="887">
        <v>0.7</v>
      </c>
      <c r="I11" s="890">
        <f>L11/G11/K11</f>
        <v>1.0896637608966375E-2</v>
      </c>
      <c r="J11" s="891">
        <v>10</v>
      </c>
      <c r="K11" s="900">
        <f t="shared" si="1"/>
        <v>6.9379200000000002E-2</v>
      </c>
      <c r="L11" s="888">
        <f t="shared" si="0"/>
        <v>0.83034086441921984</v>
      </c>
      <c r="M11" s="892">
        <f>RSD_Balance!V29</f>
        <v>1.1862012348845998</v>
      </c>
      <c r="N11" s="886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93" t="str">
        <f>_xlfn.TEXTJOIN(",",TRUE,IF(LEFT(Regions!$C$3,1)&lt;&gt;"*",Regions!$C$3,""),IF(LEFT(Regions!$D$3,1)&lt;&gt;"*",Regions!$D$3,""))</f>
        <v>IE,National</v>
      </c>
      <c r="C12" s="894" t="str">
        <f t="shared" si="5"/>
        <v>R-RSDOE_X0</v>
      </c>
      <c r="D12" s="895" t="str">
        <f t="shared" si="5"/>
        <v>Residential ELC Appliances Demand Technology</v>
      </c>
      <c r="E12" s="895" t="str">
        <f>COMM!$E$24</f>
        <v>RSDELC</v>
      </c>
      <c r="F12" s="894" t="str">
        <f>COMM!E37</f>
        <v>RSDOE</v>
      </c>
      <c r="G12" s="896">
        <f>DwellingStocks!$L$28/1000*1</f>
        <v>1697.5803349999996</v>
      </c>
      <c r="H12" s="894">
        <v>0.85</v>
      </c>
      <c r="I12" s="897">
        <f>L12/G12/K12</f>
        <v>0.95648178299052611</v>
      </c>
      <c r="J12" s="895">
        <v>10</v>
      </c>
      <c r="K12" s="894">
        <f t="shared" si="1"/>
        <v>5.6764799999999994E-3</v>
      </c>
      <c r="L12" s="894">
        <f t="shared" si="0"/>
        <v>9.2169270601309012</v>
      </c>
      <c r="M12" s="898">
        <f>RSD_Balance!W26</f>
        <v>10.843443600154002</v>
      </c>
      <c r="N12" s="885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80" t="s">
        <v>13</v>
      </c>
      <c r="U12" s="439" t="s">
        <v>275</v>
      </c>
      <c r="V12" s="880"/>
      <c r="W12" s="439"/>
    </row>
    <row r="13" spans="2:23" ht="15">
      <c r="B13" s="889" t="str">
        <f>_xlfn.TEXTJOIN(",",TRUE,IF(LEFT(Regions!$C$3,1)&lt;&gt;"*",Regions!$C$3,""),IF(LEFT(Regions!$D$3,1)&lt;&gt;"*",Regions!$D$3,""))</f>
        <v>IE,National</v>
      </c>
      <c r="C13" s="887" t="str">
        <f t="shared" si="5"/>
        <v>R-RSDOA_X0</v>
      </c>
      <c r="D13" s="887" t="str">
        <f t="shared" si="5"/>
        <v>Residential Other Applications Demand Technology</v>
      </c>
      <c r="E13" s="887" t="str">
        <f>COMM!$E$24</f>
        <v>RSDELC</v>
      </c>
      <c r="F13" s="887" t="str">
        <f>COMM!E38</f>
        <v>RSDOA</v>
      </c>
      <c r="G13" s="888">
        <f>DwellingStocks!$L$28/1000*1</f>
        <v>1697.5803349999996</v>
      </c>
      <c r="H13" s="887">
        <v>0.85</v>
      </c>
      <c r="I13" s="890">
        <f>L13/G13/K13</f>
        <v>0</v>
      </c>
      <c r="J13" s="891">
        <v>10</v>
      </c>
      <c r="K13" s="900">
        <f t="shared" si="1"/>
        <v>5.6764799999999994E-3</v>
      </c>
      <c r="L13" s="888">
        <f t="shared" si="0"/>
        <v>0</v>
      </c>
      <c r="M13" s="892">
        <v>0</v>
      </c>
      <c r="N13" s="886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99"/>
      <c r="Q14" s="899"/>
      <c r="R14" s="899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80"/>
      <c r="O16" s="406"/>
      <c r="P16" s="406"/>
      <c r="Q16" s="406"/>
      <c r="R16" s="406"/>
    </row>
    <row r="17" spans="2:18" ht="18.75">
      <c r="B17" s="1113" t="s">
        <v>618</v>
      </c>
      <c r="C17" s="1113"/>
      <c r="D17" s="1113"/>
      <c r="E17" s="1113"/>
      <c r="F17" s="1113"/>
      <c r="G17" s="1113"/>
      <c r="L17" s="467"/>
      <c r="M17" s="467"/>
      <c r="O17" s="406"/>
      <c r="P17" s="406"/>
      <c r="Q17" s="406"/>
    </row>
    <row r="18" spans="2:18" ht="15.75" thickBot="1">
      <c r="L18" s="467"/>
      <c r="M18" s="467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770</v>
      </c>
      <c r="F19" s="66"/>
      <c r="G19" s="66"/>
      <c r="L19" s="467"/>
      <c r="M19" s="467"/>
      <c r="O19" s="406"/>
      <c r="P19" s="406"/>
      <c r="Q19" s="1124" t="s">
        <v>826</v>
      </c>
      <c r="R19" s="1125"/>
    </row>
    <row r="20" spans="2:18" ht="15">
      <c r="B20" s="295" t="s">
        <v>766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7"/>
      <c r="M20" s="467"/>
      <c r="O20" s="406"/>
      <c r="P20" s="406"/>
      <c r="Q20" s="998" t="s">
        <v>865</v>
      </c>
      <c r="R20" s="1002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1.1293662452687998</v>
      </c>
      <c r="G21" s="405" t="s">
        <v>275</v>
      </c>
      <c r="L21" s="467"/>
      <c r="M21" s="467"/>
      <c r="O21" s="406"/>
      <c r="P21" s="406"/>
      <c r="Q21" s="999" t="s">
        <v>852</v>
      </c>
      <c r="R21" s="1001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7"/>
      <c r="M22" s="467"/>
      <c r="O22" s="406"/>
      <c r="P22" s="406"/>
      <c r="Q22" s="1000" t="s">
        <v>776</v>
      </c>
      <c r="R22" s="1003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0.77162665337257486</v>
      </c>
      <c r="G23" s="405" t="s">
        <v>275</v>
      </c>
      <c r="L23" s="467"/>
      <c r="M23" s="467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1.0288379823457823</v>
      </c>
      <c r="G24" s="403" t="s">
        <v>275</v>
      </c>
      <c r="L24" s="467"/>
      <c r="M24" s="467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0.83034086441921984</v>
      </c>
      <c r="G25" s="405" t="s">
        <v>275</v>
      </c>
      <c r="L25" s="467"/>
      <c r="M25" s="467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7"/>
      <c r="M26" s="467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7"/>
      <c r="M27" s="467"/>
      <c r="O27" s="406"/>
      <c r="P27" s="406"/>
      <c r="Q27" s="406"/>
    </row>
    <row r="28" spans="2:18" ht="15">
      <c r="B28" s="467"/>
      <c r="C28" s="467"/>
      <c r="D28" s="467"/>
      <c r="E28" s="467"/>
      <c r="F28" s="467"/>
      <c r="G28" s="467"/>
      <c r="L28" s="467"/>
      <c r="M28" s="467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22" ht="15.75" thickBot="1">
      <c r="N2" s="297"/>
    </row>
    <row r="3" spans="1:22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N3" s="297"/>
    </row>
    <row r="4" spans="1:22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N4" s="297"/>
    </row>
    <row r="5" spans="1:22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</row>
    <row r="6" spans="1:22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</row>
    <row r="7" spans="1:22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</row>
    <row r="8" spans="1:22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</row>
    <row r="9" spans="1:22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</row>
    <row r="10" spans="1:22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</row>
    <row r="11" spans="1:22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</row>
    <row r="12" spans="1:22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</row>
    <row r="13" spans="1:22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</row>
    <row r="15" spans="1:22" ht="15">
      <c r="E15" s="297" t="s">
        <v>286</v>
      </c>
    </row>
    <row r="16" spans="1:22" ht="21.75" thickBot="1">
      <c r="Q16" s="1134" t="s">
        <v>641</v>
      </c>
      <c r="R16" s="1134"/>
      <c r="S16" s="1134"/>
      <c r="T16" s="1134" t="s">
        <v>642</v>
      </c>
      <c r="U16" s="1134"/>
      <c r="V16" s="1134"/>
    </row>
    <row r="17" spans="1:22" ht="21.75" thickBot="1">
      <c r="A17" s="33"/>
      <c r="B17" s="33"/>
      <c r="C17" s="33"/>
      <c r="D17" s="33"/>
      <c r="E17" s="33"/>
      <c r="F17" s="33"/>
      <c r="H17" s="1134" t="s">
        <v>572</v>
      </c>
      <c r="I17" s="1134"/>
      <c r="J17" s="1134"/>
      <c r="K17" s="1134"/>
      <c r="L17" s="1134"/>
      <c r="Q17" s="258" t="s">
        <v>42</v>
      </c>
      <c r="R17" s="258" t="s">
        <v>44</v>
      </c>
      <c r="S17" s="258" t="s">
        <v>46</v>
      </c>
      <c r="T17" s="258" t="s">
        <v>42</v>
      </c>
      <c r="U17" s="258" t="s">
        <v>44</v>
      </c>
      <c r="V17" s="258" t="s">
        <v>46</v>
      </c>
    </row>
    <row r="18" spans="1:2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P18" s="247" t="s">
        <v>48</v>
      </c>
      <c r="Q18" s="412">
        <v>1.4285714285714286</v>
      </c>
      <c r="R18" s="412">
        <v>1.375</v>
      </c>
      <c r="S18" s="412">
        <v>1.3478893740902476</v>
      </c>
      <c r="T18" s="348">
        <f>Q18*I19</f>
        <v>13455.569795438192</v>
      </c>
      <c r="U18" s="348">
        <f>R18*J19</f>
        <v>21274.101374868016</v>
      </c>
      <c r="V18" s="415">
        <f>S18*K19</f>
        <v>27468.241730097478</v>
      </c>
    </row>
    <row r="19" spans="1:2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</f>
        <v>9418.8988568067343</v>
      </c>
      <c r="J19" s="348">
        <f>'Fuel-Age_Adj'!AZ46</f>
        <v>15472.073727176739</v>
      </c>
      <c r="K19" s="348">
        <f>'Fuel-Age_Adj'!AZ59</f>
        <v>20378.706337556119</v>
      </c>
      <c r="L19" s="349">
        <f t="shared" ref="L19:L27" si="1">SUM(I19:K19)</f>
        <v>45269.678921539591</v>
      </c>
      <c r="P19" s="244" t="s">
        <v>50</v>
      </c>
      <c r="Q19" s="413">
        <v>1</v>
      </c>
      <c r="R19" s="413">
        <v>1</v>
      </c>
      <c r="S19" s="413">
        <v>1</v>
      </c>
      <c r="T19" s="350">
        <f t="shared" ref="T19:T26" si="2">Q19*I20</f>
        <v>7459.2913438514906</v>
      </c>
      <c r="U19" s="350">
        <f t="shared" ref="U19:U26" si="3">R19*J20</f>
        <v>9537.7783975583752</v>
      </c>
      <c r="V19" s="416">
        <f t="shared" ref="V19:V26" si="4">S19*K20</f>
        <v>9433.9012004747347</v>
      </c>
    </row>
    <row r="20" spans="1:2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1"/>
        <v>26430.9709418846</v>
      </c>
      <c r="P20" s="248" t="s">
        <v>52</v>
      </c>
      <c r="Q20" s="414">
        <v>1</v>
      </c>
      <c r="R20" s="414">
        <v>1</v>
      </c>
      <c r="S20" s="414">
        <v>1</v>
      </c>
      <c r="T20" s="352">
        <f t="shared" si="2"/>
        <v>14041.847426430093</v>
      </c>
      <c r="U20" s="352">
        <f t="shared" si="3"/>
        <v>17545.09295382088</v>
      </c>
      <c r="V20" s="417">
        <f t="shared" si="4"/>
        <v>20090.949195825138</v>
      </c>
    </row>
    <row r="21" spans="1:2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1"/>
        <v>51677.889576076108</v>
      </c>
      <c r="P21" s="244" t="s">
        <v>54</v>
      </c>
      <c r="Q21" s="413">
        <v>1</v>
      </c>
      <c r="R21" s="413">
        <v>1</v>
      </c>
      <c r="S21" s="413">
        <v>1</v>
      </c>
      <c r="T21" s="350">
        <f>Q21*I22</f>
        <v>19924.480375055824</v>
      </c>
      <c r="U21" s="350">
        <f t="shared" si="3"/>
        <v>49768.849685929476</v>
      </c>
      <c r="V21" s="416">
        <f t="shared" si="4"/>
        <v>53466.210043981671</v>
      </c>
    </row>
    <row r="22" spans="1:2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1"/>
        <v>123159.54010496697</v>
      </c>
      <c r="P22" s="248" t="s">
        <v>56</v>
      </c>
      <c r="Q22" s="414">
        <v>0.62350597609561753</v>
      </c>
      <c r="R22" s="414">
        <v>0.63854266538830295</v>
      </c>
      <c r="S22" s="414">
        <v>0.65110565110565111</v>
      </c>
      <c r="T22" s="352">
        <f t="shared" si="2"/>
        <v>36727.496963354082</v>
      </c>
      <c r="U22" s="352">
        <f t="shared" si="3"/>
        <v>180165.78839768126</v>
      </c>
      <c r="V22" s="417">
        <f t="shared" si="4"/>
        <v>163635.17790575436</v>
      </c>
    </row>
    <row r="23" spans="1:2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1"/>
        <v>592375.26452582516</v>
      </c>
      <c r="N23" s="393"/>
      <c r="P23" s="244" t="s">
        <v>58</v>
      </c>
      <c r="Q23" s="413">
        <v>0.64275466284074612</v>
      </c>
      <c r="R23" s="413">
        <v>0.6669136717302705</v>
      </c>
      <c r="S23" s="413">
        <v>0.67542972699696668</v>
      </c>
      <c r="T23" s="350">
        <f t="shared" si="2"/>
        <v>28113.665794547433</v>
      </c>
      <c r="U23" s="350">
        <f t="shared" si="3"/>
        <v>125131.02640900291</v>
      </c>
      <c r="V23" s="416">
        <f t="shared" si="4"/>
        <v>112572.38085312897</v>
      </c>
    </row>
    <row r="24" spans="1:2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1"/>
        <v>398034.15543850785</v>
      </c>
      <c r="P24" s="248" t="s">
        <v>60</v>
      </c>
      <c r="Q24" s="414">
        <v>0.65947786606129399</v>
      </c>
      <c r="R24" s="414">
        <v>0.68235651381718798</v>
      </c>
      <c r="S24" s="414">
        <v>0.68787878787878787</v>
      </c>
      <c r="T24" s="352">
        <f t="shared" si="2"/>
        <v>16993.344189187668</v>
      </c>
      <c r="U24" s="352">
        <f t="shared" si="3"/>
        <v>69203.844283713814</v>
      </c>
      <c r="V24" s="417">
        <f t="shared" si="4"/>
        <v>55991.061950391217</v>
      </c>
    </row>
    <row r="25" spans="1:2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1"/>
        <v>208583.47042416356</v>
      </c>
      <c r="P25" s="244" t="s">
        <v>62</v>
      </c>
      <c r="Q25" s="413">
        <v>0.67760942760942755</v>
      </c>
      <c r="R25" s="413">
        <v>0.69366197183098599</v>
      </c>
      <c r="S25" s="413">
        <v>0.69895091794679653</v>
      </c>
      <c r="T25" s="350">
        <f t="shared" si="2"/>
        <v>8355.7192320215872</v>
      </c>
      <c r="U25" s="350">
        <f t="shared" si="3"/>
        <v>34768.978124585461</v>
      </c>
      <c r="V25" s="416">
        <f t="shared" si="4"/>
        <v>30223.340670968584</v>
      </c>
    </row>
    <row r="26" spans="1:2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1"/>
        <v>105695.98501717232</v>
      </c>
      <c r="P26" s="418" t="s">
        <v>64</v>
      </c>
      <c r="Q26" s="419">
        <v>0.56219445953286251</v>
      </c>
      <c r="R26" s="419">
        <v>0.54586660910856888</v>
      </c>
      <c r="S26" s="419">
        <v>0.55669942286694751</v>
      </c>
      <c r="T26" s="420">
        <f t="shared" si="2"/>
        <v>8551.6367409636478</v>
      </c>
      <c r="U26" s="420">
        <f t="shared" si="3"/>
        <v>28770.813628890308</v>
      </c>
      <c r="V26" s="421">
        <f t="shared" si="4"/>
        <v>43665.016200037615</v>
      </c>
    </row>
    <row r="27" spans="1:2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1"/>
        <v>146353.38004986354</v>
      </c>
      <c r="T27" s="422">
        <f>SUM(T18:T26)/I28</f>
        <v>0.74286208971025169</v>
      </c>
      <c r="U27" s="422">
        <f>SUM(U18:U26)/J28</f>
        <v>0.69963472197389465</v>
      </c>
      <c r="V27" s="422">
        <f>SUM(V18:V26)/K28</f>
        <v>0.71303848954914961</v>
      </c>
    </row>
    <row r="28" spans="1:2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206798.88499999998</v>
      </c>
      <c r="J28" s="355">
        <f>SUM(J19:J27)</f>
        <v>766351.72099999979</v>
      </c>
      <c r="K28" s="355">
        <f>SUM(K19:K27)</f>
        <v>724429.72899999993</v>
      </c>
      <c r="L28" s="356">
        <f>SUM(I28:K28)</f>
        <v>1697580.3349999997</v>
      </c>
    </row>
    <row r="29" spans="1:22" ht="15">
      <c r="C29" s="297"/>
    </row>
    <row r="30" spans="1:22" ht="15">
      <c r="C30" s="297"/>
      <c r="K30" s="393" t="s">
        <v>570</v>
      </c>
    </row>
    <row r="31" spans="1:22" ht="15">
      <c r="C31" s="297"/>
    </row>
    <row r="32" spans="1:22" ht="15.75" thickBot="1">
      <c r="C32" s="297"/>
    </row>
    <row r="33" spans="1:15" ht="15.75" thickBot="1">
      <c r="C33" s="297"/>
      <c r="H33" s="257" t="s">
        <v>287</v>
      </c>
      <c r="I33" s="258" t="s">
        <v>42</v>
      </c>
      <c r="J33" s="258" t="s">
        <v>44</v>
      </c>
      <c r="K33" s="258" t="s">
        <v>46</v>
      </c>
      <c r="L33" s="259" t="s">
        <v>285</v>
      </c>
    </row>
    <row r="34" spans="1:15" ht="15">
      <c r="C34" s="297"/>
      <c r="H34" s="247" t="s">
        <v>48</v>
      </c>
      <c r="I34" s="348" cm="1">
        <f t="array" ref="I34">SUMPRODUCT((Table8[A])*(Table8[Adjusted Total]/Table8[BER Total])*(Table8[Archetype]="Apartments"))</f>
        <v>10546.016296175714</v>
      </c>
      <c r="J34" s="348" cm="1">
        <f t="array" ref="J34">SUMPRODUCT((Table8[A])*(Table8[Adjusted Total]/Table8[BER Total])*(Table8[Archetype]="Attached"))</f>
        <v>58525.908345606105</v>
      </c>
      <c r="K34" s="348" cm="1">
        <f t="array" ref="K34">SUMPRODUCT((Table8[A])*(Table8[Adjusted Total]/Table8[BER Total])*(Table8[Archetype]="Detached"))</f>
        <v>26489.081443386818</v>
      </c>
      <c r="L34" s="349">
        <f t="shared" ref="L34:L42" si="5">SUM(I34:K34)</f>
        <v>95561.006085168643</v>
      </c>
    </row>
    <row r="35" spans="1:15" ht="15">
      <c r="C35" s="297"/>
      <c r="H35" s="244" t="s">
        <v>50</v>
      </c>
      <c r="I35" s="350" cm="1">
        <f t="array" ref="I35">SUMPRODUCT((Table8[B1])*(Table8[Adjusted Total]/Table8[BER Total])*(Table8[Archetype]="Apartments"))</f>
        <v>5197.5616110573819</v>
      </c>
      <c r="J35" s="350" cm="1">
        <f t="array" ref="J35">SUMPRODUCT((Table8[B1])*(Table8[Adjusted Total]/Table8[BER Total])*(Table8[Archetype]="Attached"))</f>
        <v>6725.9453223661858</v>
      </c>
      <c r="K35" s="350" cm="1">
        <f t="array" ref="K35">SUMPRODUCT((Table8[B1])*(Table8[Adjusted Total]/Table8[BER Total])*(Table8[Archetype]="Detached"))</f>
        <v>8185.1580987578955</v>
      </c>
      <c r="L35" s="351">
        <f t="shared" si="5"/>
        <v>20108.665032181463</v>
      </c>
    </row>
    <row r="36" spans="1:15" ht="15">
      <c r="C36" s="297"/>
      <c r="H36" s="248" t="s">
        <v>52</v>
      </c>
      <c r="I36" s="352" cm="1">
        <f t="array" ref="I36">SUMPRODUCT((Table8[B2])*(Table8[Adjusted Total]/Table8[BER Total])*(Table8[Archetype]="Apartments"))</f>
        <v>13979.360125415267</v>
      </c>
      <c r="J36" s="352" cm="1">
        <f t="array" ref="J36">SUMPRODUCT((Table8[B2])*(Table8[Adjusted Total]/Table8[BER Total])*(Table8[Archetype]="Attached"))</f>
        <v>14578.962065952788</v>
      </c>
      <c r="K36" s="352" cm="1">
        <f t="array" ref="K36">SUMPRODUCT((Table8[B2])*(Table8[Adjusted Total]/Table8[BER Total])*(Table8[Archetype]="Detached"))</f>
        <v>18971.592326674298</v>
      </c>
      <c r="L36" s="353">
        <f t="shared" si="5"/>
        <v>47529.914518042351</v>
      </c>
    </row>
    <row r="37" spans="1:15" ht="15">
      <c r="C37" s="297"/>
      <c r="H37" s="244" t="s">
        <v>54</v>
      </c>
      <c r="I37" s="350" cm="1">
        <f t="array" ref="I37">SUMPRODUCT((Table8[B3])*(Table8[Adjusted Total]/Table8[BER Total])*(Table8[Archetype]="Apartments"))</f>
        <v>21709.448468490151</v>
      </c>
      <c r="J37" s="350" cm="1">
        <f t="array" ref="J37">SUMPRODUCT((Table8[B3])*(Table8[Adjusted Total]/Table8[BER Total])*(Table8[Archetype]="Attached"))</f>
        <v>49405.543321250901</v>
      </c>
      <c r="K37" s="350" cm="1">
        <f t="array" ref="K37">SUMPRODUCT((Table8[B3])*(Table8[Adjusted Total]/Table8[BER Total])*(Table8[Archetype]="Detached"))</f>
        <v>54539.382014559051</v>
      </c>
      <c r="L37" s="351">
        <f t="shared" si="5"/>
        <v>125654.37380430009</v>
      </c>
    </row>
    <row r="38" spans="1:15" ht="15">
      <c r="C38" s="297"/>
      <c r="H38" s="248" t="s">
        <v>56</v>
      </c>
      <c r="I38" s="352" cm="1">
        <f t="array" ref="I38">SUMPRODUCT((Table8[C])*(Table8[Adjusted Total]/Table8[BER Total])*(Table8[Archetype]="Apartments"))</f>
        <v>71164.377318364539</v>
      </c>
      <c r="J38" s="352" cm="1">
        <f t="array" ref="J38">SUMPRODUCT((Table8[C])*(Table8[Adjusted Total]/Table8[BER Total])*(Table8[Archetype]="Attached"))</f>
        <v>293568.93901268422</v>
      </c>
      <c r="K38" s="352" cm="1">
        <f t="array" ref="K38">SUMPRODUCT((Table8[C])*(Table8[Adjusted Total]/Table8[BER Total])*(Table8[Archetype]="Detached"))</f>
        <v>264714.56579971721</v>
      </c>
      <c r="L38" s="353">
        <f t="shared" si="5"/>
        <v>629447.88213076594</v>
      </c>
    </row>
    <row r="39" spans="1:15" ht="15">
      <c r="C39" s="297"/>
      <c r="H39" s="244" t="s">
        <v>58</v>
      </c>
      <c r="I39" s="350" cm="1">
        <f t="array" ref="I39">SUMPRODUCT((Table8[D])*(Table8[Adjusted Total]/Table8[BER Total])*(Table8[Archetype]="Apartments"))</f>
        <v>47488.92960275428</v>
      </c>
      <c r="J39" s="350" cm="1">
        <f t="array" ref="J39">SUMPRODUCT((Table8[D])*(Table8[Adjusted Total]/Table8[BER Total])*(Table8[Archetype]="Attached"))</f>
        <v>175865.76450372353</v>
      </c>
      <c r="K39" s="350" cm="1">
        <f t="array" ref="K39">SUMPRODUCT((Table8[D])*(Table8[Adjusted Total]/Table8[BER Total])*(Table8[Archetype]="Detached"))</f>
        <v>166949.70641955547</v>
      </c>
      <c r="L39" s="351">
        <f t="shared" si="5"/>
        <v>390304.40052603325</v>
      </c>
    </row>
    <row r="40" spans="1:15" ht="15">
      <c r="C40" s="297"/>
      <c r="H40" s="248" t="s">
        <v>60</v>
      </c>
      <c r="I40" s="352" cm="1">
        <f t="array" ref="I40">SUMPRODUCT((Table8[E])*(Table8[Adjusted Total]/Table8[BER Total])*(Table8[Archetype]="Apartments"))</f>
        <v>23789.689153173636</v>
      </c>
      <c r="J40" s="352" cm="1">
        <f t="array" ref="J40">SUMPRODUCT((Table8[E])*(Table8[Adjusted Total]/Table8[BER Total])*(Table8[Archetype]="Attached"))</f>
        <v>85736.085430645529</v>
      </c>
      <c r="K40" s="352" cm="1">
        <f t="array" ref="K40">SUMPRODUCT((Table8[E])*(Table8[Adjusted Total]/Table8[BER Total])*(Table8[Archetype]="Detached"))</f>
        <v>74822.40455734526</v>
      </c>
      <c r="L40" s="353">
        <f t="shared" si="5"/>
        <v>184348.17914116441</v>
      </c>
    </row>
    <row r="41" spans="1:15" ht="15">
      <c r="C41" s="297"/>
      <c r="H41" s="244" t="s">
        <v>62</v>
      </c>
      <c r="I41" s="350" cm="1">
        <f t="array" ref="I41">SUMPRODUCT((Table8[F])*(Table8[Adjusted Total]/Table8[BER Total])*(Table8[Archetype]="Apartments"))</f>
        <v>8010.4158356430144</v>
      </c>
      <c r="J41" s="350" cm="1">
        <f t="array" ref="J41">SUMPRODUCT((Table8[F])*(Table8[Adjusted Total]/Table8[BER Total])*(Table8[Archetype]="Attached"))</f>
        <v>38579.245373054371</v>
      </c>
      <c r="K41" s="350" cm="1">
        <f t="array" ref="K41">SUMPRODUCT((Table8[F])*(Table8[Adjusted Total]/Table8[BER Total])*(Table8[Archetype]="Detached"))</f>
        <v>37360.975483448987</v>
      </c>
      <c r="L41" s="351">
        <f t="shared" si="5"/>
        <v>83950.636692146363</v>
      </c>
    </row>
    <row r="42" spans="1:15" ht="15.75" thickBot="1">
      <c r="C42" s="297"/>
      <c r="H42" s="260" t="s">
        <v>64</v>
      </c>
      <c r="I42" s="354" cm="1">
        <f t="array" ref="I42">SUMPRODUCT((Table8[G])*(Table8[Adjusted Total]/Table8[BER Total])*(Table8[Archetype]="Apartments"))</f>
        <v>8657.6911134790735</v>
      </c>
      <c r="J42" s="354" cm="1">
        <f t="array" ref="J42">SUMPRODUCT((Table8[G])*(Table8[Adjusted Total]/Table8[BER Total])*(Table8[Archetype]="Attached"))</f>
        <v>38895.960283997243</v>
      </c>
      <c r="K42" s="354" cm="1">
        <f t="array" ref="K42">SUMPRODUCT((Table8[G])*(Table8[Adjusted Total]/Table8[BER Total])*(Table8[Archetype]="Detached"))</f>
        <v>66454.566057921911</v>
      </c>
      <c r="L42" s="353">
        <f t="shared" si="5"/>
        <v>114008.21745539823</v>
      </c>
    </row>
    <row r="43" spans="1:15" ht="15.75" thickBot="1">
      <c r="C43" s="297"/>
      <c r="H43" s="261" t="s">
        <v>218</v>
      </c>
      <c r="I43" s="355">
        <f>SUM(I34:I42)</f>
        <v>210543.48952455306</v>
      </c>
      <c r="J43" s="355">
        <f>SUM(J34:J42)</f>
        <v>761882.35365928093</v>
      </c>
      <c r="K43" s="355">
        <f>SUM(K34:K42)</f>
        <v>718487.43220136687</v>
      </c>
      <c r="L43" s="356">
        <f>SUM(I43:K43)</f>
        <v>1690913.275385201</v>
      </c>
    </row>
    <row r="44" spans="1:15" ht="15">
      <c r="C44" s="297"/>
    </row>
    <row r="45" spans="1:15" ht="15">
      <c r="K45" s="393" t="s">
        <v>571</v>
      </c>
    </row>
    <row r="46" spans="1:15">
      <c r="L46" s="262"/>
    </row>
    <row r="47" spans="1:15" ht="13.5" thickBot="1">
      <c r="C47" s="153"/>
      <c r="D47" s="153"/>
      <c r="E47" s="153"/>
    </row>
    <row r="48" spans="1:15" ht="15.75" thickBot="1">
      <c r="A48"/>
      <c r="B48" s="1131" t="s">
        <v>288</v>
      </c>
      <c r="C48" s="1132"/>
      <c r="D48" s="1132"/>
      <c r="E48" s="1132"/>
      <c r="F48" s="1132"/>
      <c r="G48" s="1132"/>
      <c r="H48" s="1132"/>
      <c r="I48" s="1132"/>
      <c r="J48" s="1132"/>
      <c r="K48" s="1132"/>
      <c r="L48" s="1133"/>
      <c r="M48" s="1128" t="s">
        <v>289</v>
      </c>
      <c r="N48" s="1129"/>
      <c r="O48" s="1130"/>
    </row>
    <row r="49" spans="1:34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7"/>
      <c r="AE49" s="467"/>
      <c r="AF49" s="467"/>
      <c r="AG49" s="467"/>
      <c r="AH49" s="467"/>
    </row>
    <row r="50" spans="1:34" ht="15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</row>
    <row r="51" spans="1:34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</row>
    <row r="52" spans="1:34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6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</row>
    <row r="53" spans="1:34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6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</row>
    <row r="54" spans="1:34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6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</row>
    <row r="55" spans="1:34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6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</row>
    <row r="56" spans="1:34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6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7">SUM(Z56:AE56)</f>
        <v>80158</v>
      </c>
      <c r="AG56" s="129">
        <v>4450000000</v>
      </c>
      <c r="AH56" s="130">
        <f>Table4[[#This Row],[TOTAL]]/Table4[[#This Row],[Total Residence]]</f>
        <v>60669.68424496919</v>
      </c>
    </row>
    <row r="57" spans="1:34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6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7"/>
        <v>39226</v>
      </c>
      <c r="AG57" s="129">
        <v>1854000000</v>
      </c>
      <c r="AH57" s="130">
        <f>Table4[[#This Row],[TOTAL]]/Table4[[#This Row],[Total Residence]]</f>
        <v>53363.26742077541</v>
      </c>
    </row>
    <row r="58" spans="1:34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6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7"/>
        <v>32794</v>
      </c>
      <c r="AG58" s="129">
        <v>1460000000</v>
      </c>
      <c r="AH58" s="130">
        <f>Table4[[#This Row],[TOTAL]]/Table4[[#This Row],[Total Residence]]</f>
        <v>50350.03621064248</v>
      </c>
    </row>
    <row r="59" spans="1:34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6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7"/>
        <v>18591</v>
      </c>
      <c r="AG59" s="129">
        <v>702000000</v>
      </c>
      <c r="AH59" s="130">
        <f>Table4[[#This Row],[TOTAL]]/Table4[[#This Row],[Total Residence]]</f>
        <v>46514.709780015903</v>
      </c>
    </row>
    <row r="60" spans="1:34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6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7"/>
        <v>51399</v>
      </c>
      <c r="AG60" s="129">
        <v>2352000000</v>
      </c>
      <c r="AH60" s="130">
        <f>Table4[[#This Row],[TOTAL]]/Table4[[#This Row],[Total Residence]]</f>
        <v>51848.422723364856</v>
      </c>
    </row>
    <row r="61" spans="1:34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6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7"/>
        <v>70649</v>
      </c>
      <c r="AG61" s="129">
        <v>3736000000</v>
      </c>
      <c r="AH61" s="130">
        <f>Table4[[#This Row],[TOTAL]]/Table4[[#This Row],[Total Residence]]</f>
        <v>58502.059159737553</v>
      </c>
    </row>
    <row r="62" spans="1:34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6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7"/>
        <v>30740</v>
      </c>
      <c r="AG62" s="129">
        <v>1336000000</v>
      </c>
      <c r="AH62" s="130">
        <f>Table4[[#This Row],[TOTAL]]/Table4[[#This Row],[Total Residence]]</f>
        <v>49146.556798116537</v>
      </c>
    </row>
    <row r="63" spans="1:34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6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7"/>
        <v>36890</v>
      </c>
      <c r="AG63" s="129">
        <v>1594000000</v>
      </c>
      <c r="AH63" s="130">
        <f>Table4[[#This Row],[TOTAL]]/Table4[[#This Row],[Total Residence]]</f>
        <v>50307.71658513492</v>
      </c>
    </row>
    <row r="64" spans="1:34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6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7"/>
        <v>68206</v>
      </c>
      <c r="AG64" s="129">
        <v>2839000000</v>
      </c>
      <c r="AH64" s="130">
        <f>Table4[[#This Row],[TOTAL]]/Table4[[#This Row],[Total Residence]]</f>
        <v>52568.233159278599</v>
      </c>
    </row>
    <row r="65" spans="1:3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6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7"/>
        <v>54986</v>
      </c>
      <c r="AG65" s="129">
        <v>2781000000</v>
      </c>
      <c r="AH65" s="130">
        <f>Table4[[#This Row],[TOTAL]]/Table4[[#This Row],[Total Residence]]</f>
        <v>56749.311294765837</v>
      </c>
    </row>
    <row r="66" spans="1:3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6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7"/>
        <v>55779</v>
      </c>
      <c r="AG66" s="129">
        <v>2141000000</v>
      </c>
      <c r="AH66" s="130">
        <f>Table4[[#This Row],[TOTAL]]/Table4[[#This Row],[Total Residence]]</f>
        <v>49390.975362185105</v>
      </c>
    </row>
    <row r="67" spans="1:3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6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7"/>
        <v>229495</v>
      </c>
      <c r="AG67" s="129">
        <v>10643000000</v>
      </c>
      <c r="AH67" s="130">
        <f>Table4[[#This Row],[TOTAL]]/Table4[[#This Row],[Total Residence]]</f>
        <v>54461.626633644111</v>
      </c>
    </row>
    <row r="68" spans="1:3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6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7"/>
        <v>74094</v>
      </c>
      <c r="AG68" s="129">
        <v>2632000000</v>
      </c>
      <c r="AH68" s="130">
        <f>Table4[[#This Row],[TOTAL]]/Table4[[#This Row],[Total Residence]]</f>
        <v>48482.169171824346</v>
      </c>
    </row>
    <row r="69" spans="1:3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6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7"/>
        <v>82112</v>
      </c>
      <c r="AG69" s="129">
        <v>4299000000</v>
      </c>
      <c r="AH69" s="130">
        <f>Table4[[#This Row],[TOTAL]]/Table4[[#This Row],[Total Residence]]</f>
        <v>60530.539832727889</v>
      </c>
    </row>
    <row r="70" spans="1:3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6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7"/>
        <v>69106</v>
      </c>
      <c r="AG70" s="104">
        <v>3091000000</v>
      </c>
      <c r="AH70" s="130">
        <f>Table4[[#This Row],[TOTAL]]/Table4[[#This Row],[Total Residence]]</f>
        <v>52326.860896209648</v>
      </c>
    </row>
    <row r="71" spans="1:3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6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7"/>
        <v>52491</v>
      </c>
      <c r="AG71" s="129">
        <v>2312000000</v>
      </c>
      <c r="AH71" s="130">
        <f>Table4[[#This Row],[TOTAL]]/Table4[[#This Row],[Total Residence]]</f>
        <v>53204.464388447821</v>
      </c>
    </row>
    <row r="72" spans="1:3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6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7"/>
        <v>112054</v>
      </c>
      <c r="AG72" s="150">
        <v>4809000000</v>
      </c>
      <c r="AH72" s="311">
        <f>Table4[[#This Row],[TOTAL]]/Table4[[#This Row],[Total Residence]]</f>
        <v>52525.23046004631</v>
      </c>
    </row>
    <row r="73" spans="1:3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6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7"/>
        <v>18051</v>
      </c>
      <c r="AG73" s="150">
        <v>587000000</v>
      </c>
      <c r="AH73" s="311">
        <f>Table4[[#This Row],[TOTAL]]/Table4[[#This Row],[Total Residence]]</f>
        <v>47323.444050306352</v>
      </c>
    </row>
    <row r="74" spans="1:3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6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7"/>
        <v>65921</v>
      </c>
      <c r="AG74" s="150">
        <v>2295000000</v>
      </c>
      <c r="AH74" s="311">
        <f>Table4[[#This Row],[TOTAL]]/Table4[[#This Row],[Total Residence]]</f>
        <v>47081.751974561492</v>
      </c>
    </row>
    <row r="75" spans="1:3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6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7"/>
        <v>31285</v>
      </c>
      <c r="AG75" s="150">
        <v>1073000000</v>
      </c>
      <c r="AH75" s="311">
        <f>Table4[[#This Row],[TOTAL]]/Table4[[#This Row],[Total Residence]]</f>
        <v>44779.233786829143</v>
      </c>
    </row>
    <row r="76" spans="1:3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6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7"/>
        <v>32764</v>
      </c>
      <c r="AG76" s="150">
        <v>1255000000</v>
      </c>
      <c r="AH76" s="311">
        <f>Table4[[#This Row],[TOTAL]]/Table4[[#This Row],[Total Residence]]</f>
        <v>50684.544242962722</v>
      </c>
    </row>
    <row r="77" spans="1:3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6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7"/>
        <v>33585</v>
      </c>
      <c r="AG77" s="129">
        <v>1068000000</v>
      </c>
      <c r="AH77" s="130">
        <f>Table4[[#This Row],[TOTAL]]/Table4[[#This Row],[Total Residence]]</f>
        <v>39841.826456763411</v>
      </c>
    </row>
    <row r="78" spans="1:3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6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7"/>
        <v>83931</v>
      </c>
      <c r="AG78" s="129">
        <v>2557000000</v>
      </c>
      <c r="AH78" s="130">
        <f>Table4[[#This Row],[TOTAL]]/Table4[[#This Row],[Total Residence]]</f>
        <v>43855.586999399711</v>
      </c>
    </row>
    <row r="79" spans="1:3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6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7"/>
        <v>25311</v>
      </c>
      <c r="AG79" s="129">
        <v>1075000000</v>
      </c>
      <c r="AH79" s="138">
        <f>Table4[[#This Row],[TOTAL]]/Table4[[#This Row],[Total Residence]]</f>
        <v>49740.884693688691</v>
      </c>
    </row>
    <row r="80" spans="1:3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6"/>
        <v>1417.9997251520253</v>
      </c>
      <c r="R80" s="139" t="s">
        <v>304</v>
      </c>
      <c r="S80" s="140">
        <f t="shared" ref="S80:AE80" si="8">SUM(S54:S79)</f>
        <v>535675</v>
      </c>
      <c r="T80" s="141">
        <f t="shared" si="8"/>
        <v>611877</v>
      </c>
      <c r="U80" s="141">
        <f t="shared" si="8"/>
        <v>309728</v>
      </c>
      <c r="V80" s="141">
        <f t="shared" si="8"/>
        <v>143178</v>
      </c>
      <c r="W80" s="141">
        <f t="shared" si="8"/>
        <v>16765</v>
      </c>
      <c r="X80" s="141">
        <f t="shared" si="8"/>
        <v>27440</v>
      </c>
      <c r="Y80" s="142">
        <f t="shared" si="8"/>
        <v>53002</v>
      </c>
      <c r="Z80" s="143">
        <f t="shared" si="8"/>
        <v>1697665</v>
      </c>
      <c r="AA80" s="144">
        <f t="shared" si="8"/>
        <v>9788</v>
      </c>
      <c r="AB80" s="141">
        <f t="shared" si="8"/>
        <v>50732</v>
      </c>
      <c r="AC80" s="141">
        <f t="shared" si="8"/>
        <v>140120</v>
      </c>
      <c r="AD80" s="141">
        <f t="shared" si="8"/>
        <v>43192</v>
      </c>
      <c r="AE80" s="142">
        <f t="shared" si="8"/>
        <v>62148</v>
      </c>
      <c r="AF80" s="145">
        <f t="shared" si="7"/>
        <v>2003645</v>
      </c>
      <c r="AG80" s="146">
        <f>SUM(AG54:AG79)</f>
        <v>94255000000</v>
      </c>
      <c r="AH80" s="313"/>
    </row>
    <row r="81" spans="1:35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9">L82*N82</f>
        <v>16050.614216511489</v>
      </c>
      <c r="S82" s="1135" t="s">
        <v>350</v>
      </c>
      <c r="T82" s="1136"/>
      <c r="U82" s="1136"/>
      <c r="V82" s="1136"/>
      <c r="W82" s="1136"/>
      <c r="X82" s="1136"/>
      <c r="Y82" s="1136"/>
      <c r="Z82" s="1137"/>
      <c r="AB82" s="1126" t="s">
        <v>351</v>
      </c>
      <c r="AC82" s="1126"/>
      <c r="AD82" s="1126"/>
      <c r="AE82" s="1126"/>
      <c r="AF82" s="1127"/>
      <c r="AG82" s="123" t="s">
        <v>304</v>
      </c>
    </row>
    <row r="83" spans="1:35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9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126"/>
      <c r="AC83" s="1126"/>
      <c r="AD83" s="1126"/>
      <c r="AE83" s="1126"/>
      <c r="AF83" s="1127"/>
      <c r="AG83" s="124"/>
    </row>
    <row r="84" spans="1:35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9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35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9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1004" t="s">
        <v>296</v>
      </c>
      <c r="AC85" s="106">
        <f t="shared" ref="AC85:AC110" si="10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1">Z85/AG85*AG85</f>
        <v>413</v>
      </c>
      <c r="AG85" s="1006">
        <f t="shared" ref="AG85:AG110" si="12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35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9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1005" t="s">
        <v>338</v>
      </c>
      <c r="AC86" s="114">
        <f t="shared" si="10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1"/>
        <v>6603</v>
      </c>
      <c r="AG86" s="1007">
        <f t="shared" si="12"/>
        <v>479683</v>
      </c>
      <c r="AH86" s="198">
        <v>530753</v>
      </c>
      <c r="AI86" s="216">
        <f>Table2[[#This Row],[Not Stated]]/Table2[[#This Row],[Total Residence]]</f>
        <v>1.3765340860526639E-2</v>
      </c>
    </row>
    <row r="87" spans="1:35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9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1005" t="s">
        <v>327</v>
      </c>
      <c r="AC87" s="114">
        <f t="shared" si="10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1"/>
        <v>665</v>
      </c>
      <c r="AG87" s="1006">
        <f t="shared" si="12"/>
        <v>73596</v>
      </c>
      <c r="AH87" s="198">
        <v>80158</v>
      </c>
      <c r="AI87" s="216">
        <f>Table2[[#This Row],[Not Stated]]/Table2[[#This Row],[Total Residence]]</f>
        <v>9.0358171639763028E-3</v>
      </c>
    </row>
    <row r="88" spans="1:35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9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1005" t="s">
        <v>328</v>
      </c>
      <c r="AC88" s="114">
        <f t="shared" si="10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1"/>
        <v>352</v>
      </c>
      <c r="AG88" s="1007">
        <f t="shared" si="12"/>
        <v>34855</v>
      </c>
      <c r="AH88" s="198">
        <v>39226</v>
      </c>
      <c r="AI88" s="216">
        <f>Table2[[#This Row],[Not Stated]]/Table2[[#This Row],[Total Residence]]</f>
        <v>1.0098981494764023E-2</v>
      </c>
    </row>
    <row r="89" spans="1:35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9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1005" t="s">
        <v>329</v>
      </c>
      <c r="AC89" s="114">
        <f t="shared" si="10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1"/>
        <v>470.00000000000006</v>
      </c>
      <c r="AG89" s="1006">
        <f t="shared" si="12"/>
        <v>29107</v>
      </c>
      <c r="AH89" s="198">
        <v>32794</v>
      </c>
      <c r="AI89" s="216">
        <f>Table2[[#This Row],[Not Stated]]/Table2[[#This Row],[Total Residence]]</f>
        <v>1.6147318514446698E-2</v>
      </c>
    </row>
    <row r="90" spans="1:35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9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1005" t="s">
        <v>331</v>
      </c>
      <c r="AC90" s="114">
        <f t="shared" si="10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1"/>
        <v>252</v>
      </c>
      <c r="AG90" s="1007">
        <f t="shared" si="12"/>
        <v>15122</v>
      </c>
      <c r="AH90" s="198">
        <v>18591</v>
      </c>
      <c r="AI90" s="216">
        <f>Table2[[#This Row],[Not Stated]]/Table2[[#This Row],[Total Residence]]</f>
        <v>1.6664462372702023E-2</v>
      </c>
    </row>
    <row r="91" spans="1:35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9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1005" t="s">
        <v>332</v>
      </c>
      <c r="AC91" s="114">
        <f t="shared" si="10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1"/>
        <v>681</v>
      </c>
      <c r="AG91" s="1006">
        <f t="shared" si="12"/>
        <v>45448</v>
      </c>
      <c r="AH91" s="198">
        <v>51399</v>
      </c>
      <c r="AI91" s="216">
        <f>Table2[[#This Row],[Not Stated]]/Table2[[#This Row],[Total Residence]]</f>
        <v>1.4984157718711495E-2</v>
      </c>
    </row>
    <row r="92" spans="1:35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9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1005" t="s">
        <v>333</v>
      </c>
      <c r="AC92" s="114">
        <f t="shared" si="10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1"/>
        <v>724</v>
      </c>
      <c r="AG92" s="1007">
        <f t="shared" si="12"/>
        <v>64234</v>
      </c>
      <c r="AH92" s="198">
        <v>70649</v>
      </c>
      <c r="AI92" s="216">
        <f>Table2[[#This Row],[Not Stated]]/Table2[[#This Row],[Total Residence]]</f>
        <v>1.1271289348320205E-2</v>
      </c>
    </row>
    <row r="93" spans="1:35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9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1005" t="s">
        <v>335</v>
      </c>
      <c r="AC93" s="114">
        <f t="shared" si="10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1"/>
        <v>419</v>
      </c>
      <c r="AG93" s="1006">
        <f t="shared" si="12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35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9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1005" t="s">
        <v>336</v>
      </c>
      <c r="AC94" s="114">
        <f t="shared" si="10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1"/>
        <v>382</v>
      </c>
      <c r="AG94" s="1007">
        <f t="shared" si="12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35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9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1005" t="s">
        <v>337</v>
      </c>
      <c r="AC95" s="114">
        <f t="shared" si="10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1"/>
        <v>629</v>
      </c>
      <c r="AG95" s="1006">
        <f t="shared" si="12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35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9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1005" t="s">
        <v>339</v>
      </c>
      <c r="AC96" s="114">
        <f t="shared" si="10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1"/>
        <v>555</v>
      </c>
      <c r="AG96" s="1007">
        <f t="shared" si="12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9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1005" t="s">
        <v>326</v>
      </c>
      <c r="AC97" s="114">
        <f t="shared" si="10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1"/>
        <v>547</v>
      </c>
      <c r="AG97" s="1006">
        <f t="shared" si="12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9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1005" t="s">
        <v>330</v>
      </c>
      <c r="AC98" s="114">
        <f t="shared" si="10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1"/>
        <v>2266</v>
      </c>
      <c r="AG98" s="1007">
        <f t="shared" si="12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9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1005" t="s">
        <v>341</v>
      </c>
      <c r="AC99" s="114">
        <f t="shared" si="10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1"/>
        <v>720</v>
      </c>
      <c r="AG99" s="1006">
        <f t="shared" si="12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9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1005" t="s">
        <v>342</v>
      </c>
      <c r="AC100" s="114">
        <f t="shared" si="10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1"/>
        <v>932</v>
      </c>
      <c r="AG100" s="1007">
        <f t="shared" si="12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9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1005" t="s">
        <v>343</v>
      </c>
      <c r="AC101" s="114">
        <f t="shared" si="10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1"/>
        <v>814</v>
      </c>
      <c r="AG101" s="1006">
        <f t="shared" si="12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9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1005" t="s">
        <v>344</v>
      </c>
      <c r="AC102" s="114">
        <f t="shared" si="10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1"/>
        <v>588</v>
      </c>
      <c r="AG102" s="1007">
        <f t="shared" si="12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9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1005" t="s">
        <v>340</v>
      </c>
      <c r="AC103" s="148">
        <f t="shared" si="10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1"/>
        <v>1275</v>
      </c>
      <c r="AG103" s="1006">
        <f t="shared" si="12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9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1005" t="s">
        <v>345</v>
      </c>
      <c r="AC104" s="148">
        <f t="shared" si="10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1"/>
        <v>141</v>
      </c>
      <c r="AG104" s="1007">
        <f t="shared" si="12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9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1004" t="s">
        <v>346</v>
      </c>
      <c r="AC105" s="106">
        <f t="shared" si="10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1"/>
        <v>454</v>
      </c>
      <c r="AG105" s="1006">
        <f t="shared" si="12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9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1005" t="s">
        <v>347</v>
      </c>
      <c r="AC106" s="114">
        <f t="shared" si="10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1"/>
        <v>302</v>
      </c>
      <c r="AG106" s="1007">
        <f t="shared" si="12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9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1005" t="s">
        <v>348</v>
      </c>
      <c r="AC107" s="114">
        <f t="shared" si="10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1"/>
        <v>253</v>
      </c>
      <c r="AG107" s="1006">
        <f t="shared" si="12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9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1005" t="s">
        <v>308</v>
      </c>
      <c r="AC108" s="114">
        <f t="shared" si="10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1"/>
        <v>339</v>
      </c>
      <c r="AG108" s="1007">
        <f t="shared" si="12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9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1005" t="s">
        <v>334</v>
      </c>
      <c r="AC109" s="114">
        <f t="shared" si="10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1"/>
        <v>764</v>
      </c>
      <c r="AG109" s="1006">
        <f t="shared" si="12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9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1005" t="s">
        <v>349</v>
      </c>
      <c r="AC110" s="114">
        <f t="shared" si="10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1"/>
        <v>330</v>
      </c>
      <c r="AG110" s="1007">
        <f t="shared" si="12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9"/>
        <v>8787.564173814988</v>
      </c>
      <c r="R111" s="189" t="s">
        <v>304</v>
      </c>
      <c r="S111" s="93">
        <f t="shared" ref="S111:Z111" si="13">SUM(S85:S110)</f>
        <v>715133</v>
      </c>
      <c r="T111" s="174">
        <f t="shared" si="13"/>
        <v>471948</v>
      </c>
      <c r="U111" s="176">
        <f t="shared" si="13"/>
        <v>284569</v>
      </c>
      <c r="V111" s="174">
        <f t="shared" si="13"/>
        <v>172096</v>
      </c>
      <c r="W111" s="175">
        <f t="shared" si="13"/>
        <v>28783</v>
      </c>
      <c r="X111" s="175">
        <f t="shared" si="13"/>
        <v>3266</v>
      </c>
      <c r="Y111" s="176">
        <f t="shared" si="13"/>
        <v>4624</v>
      </c>
      <c r="Z111" s="93">
        <f t="shared" si="13"/>
        <v>21870</v>
      </c>
      <c r="AB111" s="168"/>
      <c r="AC111" s="169"/>
      <c r="AD111" s="169"/>
      <c r="AE111" s="169"/>
      <c r="AF111" s="169"/>
      <c r="AG111" s="1008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9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4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4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4"/>
        <v>3132.1719442467102</v>
      </c>
      <c r="Q116" s="467"/>
      <c r="R116" s="467"/>
      <c r="S116" s="467"/>
      <c r="T116" s="467"/>
      <c r="U116" s="467"/>
      <c r="V116" s="467"/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4"/>
        <v>21245.226916806354</v>
      </c>
      <c r="Q117" s="467"/>
      <c r="R117" s="467"/>
      <c r="S117" s="467"/>
      <c r="T117" s="467"/>
      <c r="U117" s="467"/>
      <c r="V117" s="467"/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4"/>
        <v>18876.703253806056</v>
      </c>
      <c r="Q118" s="467"/>
      <c r="R118" s="467"/>
      <c r="S118" s="467"/>
      <c r="T118" s="467"/>
      <c r="U118" s="467"/>
      <c r="V118" s="467"/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4"/>
        <v>2872.9605821519503</v>
      </c>
      <c r="Q119" s="467"/>
      <c r="R119" s="467"/>
      <c r="S119" s="467"/>
      <c r="T119" s="467"/>
      <c r="U119" s="467"/>
      <c r="V119" s="467"/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4"/>
        <v>12186.197780781444</v>
      </c>
      <c r="Q120" s="467"/>
      <c r="R120" s="467"/>
      <c r="S120" s="467"/>
      <c r="T120" s="467"/>
      <c r="U120" s="467"/>
      <c r="V120" s="467"/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4"/>
        <v>16551.932669034672</v>
      </c>
      <c r="Q121" s="467"/>
      <c r="R121" s="467"/>
      <c r="S121" s="467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4"/>
        <v>2651.9797196485479</v>
      </c>
      <c r="Q122" s="467"/>
      <c r="R122" s="467"/>
      <c r="S122" s="467"/>
      <c r="T122" s="467"/>
      <c r="U122" s="467"/>
      <c r="V122" s="467"/>
      <c r="W122" s="467"/>
      <c r="X122" s="467"/>
      <c r="Y122" s="467"/>
      <c r="Z122" s="467"/>
      <c r="AA122" s="467"/>
      <c r="AB122" s="467"/>
      <c r="AC122" s="467"/>
      <c r="AD122" s="467"/>
      <c r="AE122" s="467"/>
      <c r="AF122" s="467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4"/>
        <v>18024.501077566358</v>
      </c>
      <c r="Q123" s="467"/>
      <c r="R123" s="467"/>
      <c r="S123" s="467"/>
      <c r="T123" s="467"/>
      <c r="U123" s="467"/>
      <c r="V123" s="467"/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4"/>
        <v>33299.287885206948</v>
      </c>
      <c r="Q124" s="467"/>
      <c r="R124" s="467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4"/>
        <v>4469.191176769421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4"/>
        <v>22249.339151815653</v>
      </c>
      <c r="Q126" s="467"/>
      <c r="R126" s="467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4"/>
        <v>22205.580764463226</v>
      </c>
      <c r="Q127" s="467"/>
      <c r="R127" s="467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</row>
    <row r="129" spans="2:32">
      <c r="Q129" s="467"/>
      <c r="R129" s="467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</row>
    <row r="130" spans="2:32">
      <c r="Q130" s="467"/>
      <c r="R130" s="467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</row>
    <row r="131" spans="2:32">
      <c r="Q131" s="467"/>
      <c r="R131" s="467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</row>
    <row r="132" spans="2:32"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</row>
    <row r="133" spans="2:32">
      <c r="B133" s="467"/>
      <c r="C133" s="467"/>
      <c r="D133" s="467"/>
      <c r="E133" s="467"/>
      <c r="F133" s="467"/>
      <c r="G133" s="467"/>
      <c r="H133" s="467"/>
      <c r="I133" s="467"/>
      <c r="J133" s="467"/>
      <c r="K133" s="467"/>
      <c r="L133" s="467"/>
      <c r="M133" s="467"/>
      <c r="Q133" s="467"/>
      <c r="R133" s="467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</row>
    <row r="134" spans="2:32">
      <c r="B134" s="467"/>
      <c r="C134" s="467"/>
      <c r="D134" s="467"/>
      <c r="E134" s="467"/>
      <c r="F134" s="467"/>
      <c r="G134" s="467"/>
      <c r="H134" s="467"/>
      <c r="I134" s="467"/>
      <c r="J134" s="467"/>
      <c r="K134" s="467"/>
      <c r="L134" s="467"/>
      <c r="M134" s="467"/>
      <c r="Q134" s="467"/>
      <c r="R134" s="467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</row>
    <row r="135" spans="2:32">
      <c r="B135" s="467"/>
      <c r="C135" s="467"/>
      <c r="D135" s="467"/>
      <c r="E135" s="467"/>
      <c r="F135" s="467"/>
      <c r="G135" s="467"/>
      <c r="H135" s="467"/>
      <c r="I135" s="467"/>
      <c r="J135" s="467"/>
      <c r="K135" s="467"/>
      <c r="L135" s="467"/>
      <c r="M135" s="467"/>
      <c r="Q135" s="467"/>
      <c r="R135" s="467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</row>
    <row r="136" spans="2:32">
      <c r="B136" s="467"/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Q136" s="467"/>
      <c r="R136" s="467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</row>
    <row r="137" spans="2:32">
      <c r="B137" s="467"/>
      <c r="C137" s="467"/>
      <c r="D137" s="467"/>
      <c r="E137" s="467"/>
      <c r="F137" s="467"/>
      <c r="G137" s="467"/>
      <c r="H137" s="467"/>
      <c r="I137" s="467"/>
      <c r="J137" s="467"/>
      <c r="K137" s="467"/>
      <c r="L137" s="467"/>
      <c r="M137" s="467"/>
      <c r="Q137" s="467"/>
      <c r="R137" s="467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</row>
    <row r="138" spans="2:32">
      <c r="B138" s="467"/>
      <c r="C138" s="467"/>
      <c r="D138" s="467"/>
      <c r="E138" s="467"/>
      <c r="F138" s="467"/>
      <c r="G138" s="467"/>
      <c r="H138" s="467"/>
      <c r="I138" s="467"/>
      <c r="J138" s="467"/>
      <c r="K138" s="467"/>
      <c r="L138" s="467"/>
      <c r="M138" s="467"/>
      <c r="Q138" s="467"/>
      <c r="R138" s="467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</row>
    <row r="139" spans="2:32">
      <c r="B139" s="467"/>
      <c r="C139" s="467"/>
      <c r="D139" s="467"/>
      <c r="E139" s="467"/>
      <c r="F139" s="467"/>
      <c r="G139" s="467"/>
      <c r="H139" s="467"/>
      <c r="I139" s="467"/>
      <c r="J139" s="467"/>
      <c r="K139" s="467"/>
      <c r="L139" s="467"/>
      <c r="M139" s="467"/>
      <c r="Q139" s="467"/>
      <c r="R139" s="467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</row>
    <row r="140" spans="2:32">
      <c r="B140" s="467"/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Q140" s="467"/>
      <c r="R140" s="467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</row>
    <row r="141" spans="2:32">
      <c r="B141" s="467"/>
      <c r="C141" s="467"/>
      <c r="D141" s="467"/>
      <c r="E141" s="467"/>
      <c r="F141" s="467"/>
      <c r="G141" s="467"/>
      <c r="H141" s="467"/>
      <c r="I141" s="467"/>
      <c r="J141" s="467"/>
      <c r="K141" s="467"/>
      <c r="L141" s="467"/>
      <c r="M141" s="467"/>
      <c r="Q141" s="467"/>
      <c r="R141" s="467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</row>
    <row r="142" spans="2:32">
      <c r="B142" s="467"/>
      <c r="C142" s="467"/>
      <c r="D142" s="467"/>
      <c r="E142" s="467"/>
      <c r="F142" s="467"/>
      <c r="G142" s="467"/>
      <c r="H142" s="467"/>
      <c r="I142" s="467"/>
      <c r="J142" s="467"/>
      <c r="K142" s="467"/>
      <c r="L142" s="467"/>
      <c r="M142" s="467"/>
      <c r="Q142" s="467"/>
      <c r="R142" s="467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</row>
    <row r="143" spans="2:32">
      <c r="B143" s="467"/>
      <c r="C143" s="467"/>
      <c r="D143" s="467"/>
      <c r="E143" s="467"/>
      <c r="F143" s="467"/>
      <c r="G143" s="467"/>
      <c r="H143" s="467"/>
      <c r="I143" s="467"/>
      <c r="J143" s="467"/>
      <c r="K143" s="467"/>
      <c r="L143" s="467"/>
      <c r="M143" s="467"/>
      <c r="Q143" s="467"/>
      <c r="R143" s="467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</row>
    <row r="144" spans="2:32">
      <c r="B144" s="467"/>
      <c r="C144" s="467"/>
      <c r="D144" s="467"/>
      <c r="E144" s="467"/>
      <c r="F144" s="467"/>
      <c r="G144" s="467"/>
      <c r="H144" s="467"/>
      <c r="I144" s="467"/>
      <c r="J144" s="467"/>
      <c r="K144" s="467"/>
      <c r="L144" s="467"/>
      <c r="M144" s="467"/>
      <c r="Q144" s="467"/>
      <c r="R144" s="467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</row>
    <row r="145" spans="2:32">
      <c r="B145" s="467"/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Q145" s="467"/>
      <c r="R145" s="467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</row>
    <row r="146" spans="2:32">
      <c r="B146" s="467"/>
      <c r="C146" s="467"/>
      <c r="D146" s="467"/>
      <c r="E146" s="467"/>
      <c r="F146" s="467"/>
      <c r="G146" s="467"/>
      <c r="H146" s="467"/>
      <c r="I146" s="467"/>
      <c r="J146" s="467"/>
      <c r="K146" s="467"/>
      <c r="L146" s="467"/>
      <c r="M146" s="467"/>
    </row>
    <row r="147" spans="2:32">
      <c r="B147" s="467"/>
      <c r="C147" s="467"/>
      <c r="D147" s="467"/>
      <c r="E147" s="467"/>
      <c r="F147" s="467"/>
      <c r="G147" s="467"/>
      <c r="H147" s="467"/>
      <c r="I147" s="467"/>
      <c r="J147" s="467"/>
      <c r="K147" s="467"/>
      <c r="L147" s="467"/>
      <c r="M147" s="467"/>
    </row>
    <row r="148" spans="2:32">
      <c r="B148" s="467"/>
      <c r="C148" s="467"/>
      <c r="D148" s="467"/>
      <c r="E148" s="467"/>
      <c r="F148" s="467"/>
      <c r="G148" s="467"/>
      <c r="H148" s="467"/>
      <c r="I148" s="467"/>
      <c r="J148" s="467"/>
      <c r="K148" s="467"/>
      <c r="L148" s="467"/>
      <c r="M148" s="467"/>
    </row>
    <row r="149" spans="2:32">
      <c r="B149" s="467"/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</row>
    <row r="150" spans="2:32">
      <c r="B150" s="467"/>
      <c r="C150" s="467"/>
      <c r="D150" s="467"/>
      <c r="E150" s="467"/>
      <c r="F150" s="467"/>
      <c r="G150" s="467"/>
      <c r="H150" s="467"/>
      <c r="I150" s="467"/>
      <c r="J150" s="467"/>
      <c r="K150" s="467"/>
      <c r="L150" s="467"/>
      <c r="M150" s="467"/>
    </row>
    <row r="151" spans="2:32">
      <c r="B151" s="467"/>
      <c r="C151" s="467"/>
      <c r="D151" s="467"/>
      <c r="E151" s="467"/>
      <c r="F151" s="467"/>
      <c r="G151" s="467"/>
      <c r="H151" s="467"/>
      <c r="I151" s="467"/>
      <c r="J151" s="467"/>
      <c r="K151" s="467"/>
      <c r="L151" s="467"/>
      <c r="M151" s="467"/>
    </row>
    <row r="152" spans="2:32">
      <c r="B152" s="467"/>
      <c r="C152" s="467"/>
      <c r="D152" s="467"/>
      <c r="E152" s="467"/>
      <c r="F152" s="467"/>
      <c r="G152" s="467"/>
      <c r="H152" s="467"/>
      <c r="I152" s="467"/>
      <c r="J152" s="467"/>
      <c r="K152" s="467"/>
      <c r="L152" s="467"/>
      <c r="M152" s="467"/>
    </row>
    <row r="153" spans="2:32"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</row>
    <row r="154" spans="2:32"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</row>
    <row r="155" spans="2:32"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</row>
    <row r="156" spans="2:32"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</row>
    <row r="157" spans="2:32"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</row>
    <row r="158" spans="2:32"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</row>
    <row r="159" spans="2:32"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</row>
    <row r="160" spans="2:32">
      <c r="B160" s="467"/>
      <c r="C160" s="467"/>
      <c r="D160" s="467"/>
      <c r="E160" s="467"/>
      <c r="F160" s="467"/>
      <c r="G160" s="467"/>
      <c r="H160" s="467"/>
      <c r="I160" s="467"/>
      <c r="J160" s="467"/>
      <c r="K160" s="467"/>
      <c r="L160" s="467"/>
      <c r="M160" s="467"/>
    </row>
    <row r="161" spans="2:13"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</row>
    <row r="162" spans="2:13"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</row>
    <row r="163" spans="2:13"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</row>
    <row r="164" spans="2:13"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</row>
    <row r="165" spans="2:13"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</row>
    <row r="166" spans="2:13"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</row>
    <row r="167" spans="2:13"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</row>
    <row r="168" spans="2:13"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</row>
    <row r="169" spans="2:13"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</row>
    <row r="170" spans="2:13"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</row>
    <row r="171" spans="2:13"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</row>
    <row r="172" spans="2:13"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</row>
    <row r="173" spans="2:13"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</row>
    <row r="174" spans="2:13"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</row>
    <row r="175" spans="2:13"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</row>
    <row r="176" spans="2:13"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</row>
    <row r="177" spans="2:13"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</row>
    <row r="178" spans="2:13"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</row>
    <row r="179" spans="2:13"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</row>
    <row r="180" spans="2:13"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</row>
    <row r="181" spans="2:13"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</row>
    <row r="182" spans="2:13"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</row>
    <row r="183" spans="2:13"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</row>
    <row r="184" spans="2:13"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</row>
    <row r="185" spans="2:13"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</row>
    <row r="186" spans="2:13"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</row>
    <row r="187" spans="2:13"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</row>
    <row r="188" spans="2:13"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</row>
    <row r="189" spans="2:13"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</row>
    <row r="190" spans="2:13"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</row>
    <row r="191" spans="2:13"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</row>
    <row r="192" spans="2:13"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</row>
    <row r="193" spans="2:13"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</row>
    <row r="194" spans="2:13"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</row>
    <row r="195" spans="2:13"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</row>
    <row r="196" spans="2:13"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</row>
    <row r="197" spans="2:13"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</row>
    <row r="198" spans="2:13"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</row>
    <row r="199" spans="2:13"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</row>
    <row r="200" spans="2:13"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</row>
    <row r="201" spans="2:13">
      <c r="B201" s="467"/>
      <c r="C201" s="467"/>
      <c r="D201" s="467"/>
      <c r="E201" s="467"/>
      <c r="F201" s="467"/>
      <c r="G201" s="467"/>
      <c r="H201" s="467"/>
      <c r="I201" s="467"/>
      <c r="J201" s="467"/>
      <c r="K201" s="467"/>
      <c r="L201" s="467"/>
      <c r="M201" s="467"/>
    </row>
    <row r="202" spans="2:13">
      <c r="B202" s="467"/>
      <c r="C202" s="467"/>
      <c r="D202" s="467"/>
      <c r="E202" s="467"/>
      <c r="F202" s="467"/>
      <c r="G202" s="467"/>
      <c r="H202" s="467"/>
      <c r="I202" s="467"/>
      <c r="J202" s="467"/>
      <c r="K202" s="467"/>
      <c r="L202" s="467"/>
      <c r="M202" s="467"/>
    </row>
    <row r="203" spans="2:13">
      <c r="B203" s="467"/>
      <c r="C203" s="467"/>
      <c r="D203" s="467"/>
      <c r="E203" s="467"/>
      <c r="F203" s="467"/>
      <c r="G203" s="467"/>
      <c r="H203" s="467"/>
      <c r="I203" s="467"/>
      <c r="J203" s="467"/>
      <c r="K203" s="467"/>
      <c r="L203" s="467"/>
      <c r="M203" s="467"/>
    </row>
    <row r="204" spans="2:13">
      <c r="B204" s="467"/>
      <c r="C204" s="467"/>
      <c r="D204" s="467"/>
      <c r="E204" s="467"/>
      <c r="F204" s="467"/>
      <c r="G204" s="467"/>
      <c r="H204" s="467"/>
      <c r="I204" s="467"/>
      <c r="J204" s="467"/>
      <c r="K204" s="467"/>
      <c r="L204" s="467"/>
      <c r="M204" s="467"/>
    </row>
    <row r="205" spans="2:13">
      <c r="B205" s="467"/>
      <c r="C205" s="467"/>
      <c r="D205" s="467"/>
      <c r="E205" s="467"/>
      <c r="F205" s="467"/>
      <c r="G205" s="467"/>
      <c r="H205" s="467"/>
      <c r="I205" s="467"/>
      <c r="J205" s="467"/>
      <c r="K205" s="467"/>
      <c r="L205" s="467"/>
      <c r="M205" s="467"/>
    </row>
    <row r="206" spans="2:13">
      <c r="B206" s="467"/>
      <c r="C206" s="467"/>
      <c r="D206" s="467"/>
      <c r="E206" s="467"/>
      <c r="F206" s="467"/>
      <c r="G206" s="467"/>
      <c r="H206" s="467"/>
      <c r="I206" s="467"/>
      <c r="J206" s="467"/>
      <c r="K206" s="467"/>
      <c r="L206" s="467"/>
      <c r="M206" s="467"/>
    </row>
    <row r="207" spans="2:13">
      <c r="B207" s="467"/>
      <c r="C207" s="467"/>
      <c r="D207" s="467"/>
      <c r="E207" s="467"/>
      <c r="F207" s="467"/>
      <c r="G207" s="467"/>
      <c r="H207" s="467"/>
      <c r="I207" s="467"/>
      <c r="J207" s="467"/>
      <c r="K207" s="467"/>
      <c r="L207" s="467"/>
      <c r="M207" s="467"/>
    </row>
    <row r="208" spans="2:13">
      <c r="B208" s="467"/>
      <c r="C208" s="467"/>
      <c r="D208" s="467"/>
      <c r="E208" s="467"/>
      <c r="F208" s="467"/>
      <c r="G208" s="467"/>
      <c r="H208" s="467"/>
      <c r="I208" s="467"/>
      <c r="J208" s="467"/>
      <c r="K208" s="467"/>
      <c r="L208" s="467"/>
      <c r="M208" s="467"/>
    </row>
    <row r="209" spans="2:13">
      <c r="B209" s="467"/>
      <c r="C209" s="467"/>
      <c r="D209" s="467"/>
      <c r="E209" s="467"/>
      <c r="F209" s="467"/>
      <c r="G209" s="467"/>
      <c r="H209" s="467"/>
      <c r="I209" s="467"/>
      <c r="J209" s="467"/>
      <c r="K209" s="467"/>
      <c r="L209" s="467"/>
      <c r="M209" s="467"/>
    </row>
    <row r="210" spans="2:13">
      <c r="B210" s="467"/>
      <c r="C210" s="467"/>
      <c r="D210" s="467"/>
      <c r="E210" s="467"/>
      <c r="F210" s="467"/>
      <c r="G210" s="467"/>
      <c r="H210" s="467"/>
      <c r="I210" s="467"/>
      <c r="J210" s="467"/>
      <c r="K210" s="467"/>
      <c r="L210" s="467"/>
      <c r="M210" s="467"/>
    </row>
    <row r="211" spans="2:13"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</row>
    <row r="212" spans="2:13">
      <c r="B212" s="467"/>
      <c r="C212" s="467"/>
      <c r="D212" s="467"/>
      <c r="E212" s="467"/>
      <c r="F212" s="467"/>
      <c r="G212" s="467"/>
      <c r="H212" s="467"/>
      <c r="I212" s="467"/>
      <c r="J212" s="467"/>
      <c r="K212" s="467"/>
      <c r="L212" s="467"/>
      <c r="M212" s="467"/>
    </row>
    <row r="213" spans="2:13">
      <c r="B213" s="467"/>
      <c r="C213" s="467"/>
      <c r="D213" s="467"/>
      <c r="E213" s="467"/>
      <c r="F213" s="467"/>
      <c r="G213" s="467"/>
      <c r="H213" s="467"/>
      <c r="I213" s="467"/>
      <c r="J213" s="467"/>
      <c r="K213" s="467"/>
      <c r="L213" s="467"/>
      <c r="M213" s="467"/>
    </row>
    <row r="214" spans="2:13">
      <c r="B214" s="467"/>
      <c r="C214" s="467"/>
      <c r="D214" s="467"/>
      <c r="E214" s="467"/>
      <c r="F214" s="467"/>
      <c r="G214" s="467"/>
      <c r="H214" s="467"/>
      <c r="I214" s="467"/>
      <c r="J214" s="467"/>
      <c r="K214" s="467"/>
      <c r="L214" s="467"/>
      <c r="M214" s="467"/>
    </row>
    <row r="215" spans="2:13">
      <c r="B215" s="467"/>
      <c r="C215" s="467"/>
      <c r="D215" s="467"/>
      <c r="E215" s="467"/>
      <c r="F215" s="467"/>
      <c r="G215" s="467"/>
      <c r="H215" s="467"/>
      <c r="I215" s="467"/>
      <c r="J215" s="467"/>
      <c r="K215" s="467"/>
      <c r="L215" s="467"/>
      <c r="M215" s="467"/>
    </row>
    <row r="216" spans="2:13">
      <c r="B216" s="467"/>
      <c r="C216" s="467"/>
      <c r="D216" s="467"/>
      <c r="E216" s="467"/>
      <c r="F216" s="467"/>
      <c r="G216" s="467"/>
      <c r="H216" s="467"/>
      <c r="I216" s="467"/>
      <c r="J216" s="467"/>
      <c r="K216" s="467"/>
      <c r="L216" s="467"/>
      <c r="M216" s="467"/>
    </row>
    <row r="217" spans="2:13">
      <c r="B217" s="467"/>
      <c r="C217" s="467"/>
      <c r="D217" s="467"/>
      <c r="E217" s="467"/>
      <c r="F217" s="467"/>
      <c r="G217" s="467"/>
      <c r="H217" s="467"/>
      <c r="I217" s="467"/>
      <c r="J217" s="467"/>
      <c r="K217" s="467"/>
      <c r="L217" s="467"/>
      <c r="M217" s="46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9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M20" zoomScale="70" zoomScaleNormal="70" workbookViewId="0">
      <selection activeCell="T61" sqref="T6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1.85546875" style="68" customWidth="1"/>
    <col min="14" max="14" width="71.285156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70"/>
      <c r="S2" s="297"/>
      <c r="T2" s="870"/>
      <c r="U2" s="870"/>
      <c r="V2" s="297"/>
      <c r="W2" s="297"/>
      <c r="X2" s="297"/>
      <c r="Y2" s="297"/>
      <c r="Z2" s="297"/>
      <c r="AA2" s="297"/>
      <c r="AB2" s="297"/>
      <c r="AC2" s="871"/>
      <c r="AD2" s="865"/>
      <c r="AE2" s="297"/>
      <c r="AF2" s="870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8" t="s">
        <v>643</v>
      </c>
      <c r="C4" s="1139"/>
      <c r="D4" s="1139"/>
      <c r="E4" s="1139"/>
      <c r="F4" s="1139"/>
      <c r="G4" s="1140"/>
      <c r="H4" s="1138" t="s">
        <v>644</v>
      </c>
      <c r="I4" s="1139"/>
      <c r="J4" s="1140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LEFT(SETUP!B3,1)&amp;"-"&amp;RIGHT(COMM!$O$9,6)&amp;"_"&amp;RIGHT(O7,LEN(O7)-3)&amp;"_"&amp;SETUP!$B$64</f>
        <v>R-SH_Apt_COA_X0</v>
      </c>
      <c r="N7" s="332" t="str">
        <f>COMM!$P$9&amp;"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</f>
        <v>RSDSH_Apt</v>
      </c>
      <c r="R7" s="433">
        <f>(E7+E14+E16)/SUM($E$7:$E$25)</f>
        <v>2.1588177690732664E-3</v>
      </c>
      <c r="S7" s="434">
        <f>R7*DwellingStocks!$I$28/1000</f>
        <v>0.44644110756253896</v>
      </c>
      <c r="T7" s="500">
        <f>(S7*1000)/(E7+E14+E16)*DwellingStocks!$T$27+1.1037</f>
        <v>2.2433707013624291</v>
      </c>
      <c r="U7" s="874">
        <f>(G7+G14+G16)/300</f>
        <v>0.59018803418803423</v>
      </c>
      <c r="V7" s="874">
        <f>AB7/S7/X7</f>
        <v>0.41882471081785633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8.8449287778906552E-2</v>
      </c>
      <c r="AC7" s="438">
        <f>IF(((D7+I7+D14+I14+D16+I16)*$B$2)&lt;=0,0,((D7+I7+D14+I14+D16+I16)*T7*$B$2))</f>
        <v>0.14986628439628202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0">
        <f>E8/SUM($E$7:$E$25)</f>
        <v>2.2255853289415115E-5</v>
      </c>
      <c r="S8" s="441">
        <f>R8*DwellingStocks!$I$28/1000</f>
        <v>4.6024856449746274E-3</v>
      </c>
      <c r="T8" s="442">
        <f>(S8*1000)/E8*DwellingStocks!$T$27</f>
        <v>1.139670701362429</v>
      </c>
      <c r="U8" s="876">
        <f>IF((G8/100)&gt;1,0.9)</f>
        <v>0.9</v>
      </c>
      <c r="V8" s="876">
        <f>AB8/S8/X8</f>
        <v>9.4570753703752571E-3</v>
      </c>
      <c r="W8" s="443">
        <v>20</v>
      </c>
      <c r="X8" s="872">
        <f t="shared" ref="X8:X13" si="2">31.536*(AD8/1000)</f>
        <v>0.47304000000000002</v>
      </c>
      <c r="Y8" s="443"/>
      <c r="Z8" s="443"/>
      <c r="AA8" s="443"/>
      <c r="AB8" s="444">
        <f t="shared" si="0"/>
        <v>2.0589564411781966E-5</v>
      </c>
      <c r="AC8" s="445">
        <f>IF(((D8+I8)*$B$2)&lt;=0,0,((D8+I8)*T8*$B$2))</f>
        <v>2.2877293790868852E-5</v>
      </c>
      <c r="AD8" s="867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LEFT(SETUP!B3,1)&amp;"-"&amp;RIGHT(COMM!$O$9,6)&amp;"_"&amp;RIGHT(O9,LEN(O9)-3)&amp;"_"&amp;SETUP!B64</f>
        <v>R-SH_Apt_ETH_X0</v>
      </c>
      <c r="N9" s="332" t="str">
        <f>COMM!P9&amp;"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</f>
        <v>RSDSH_Apt</v>
      </c>
      <c r="R9" s="433">
        <f>E9/SUM($E$7:$E$25)</f>
        <v>7.4186177631383719E-6</v>
      </c>
      <c r="S9" s="434">
        <f>R9*DwellingStocks!$I$28/1000</f>
        <v>1.5341618816582091E-3</v>
      </c>
      <c r="T9" s="435">
        <f>(S9*1000)/E9*DwellingStocks!$T$27</f>
        <v>1.1396707013624292</v>
      </c>
      <c r="U9" s="874">
        <f>IF((G9/100)&gt;1,0.9)</f>
        <v>0.9</v>
      </c>
      <c r="V9" s="874">
        <f t="shared" ref="V9:V12" si="3">AB9/S9/X9</f>
        <v>2.0352386019458949E-5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1.4770132289657081E-8</v>
      </c>
      <c r="AC9" s="438">
        <f>IF(((D9+I9)*$B$2)&lt;=0,0,((D9+I9)*T9*$B$2))</f>
        <v>1.6411258099618979E-8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0">
        <f>(E10+E11)/SUM($E$7:$E$25)</f>
        <v>1.4139885456541736E-2</v>
      </c>
      <c r="S10" s="441">
        <f>(R10)*DwellingStocks!$I$28/1000</f>
        <v>2.9241125464405466</v>
      </c>
      <c r="T10" s="442">
        <f>(S10*1000)/(E10+E11)*DwellingStocks!$T$27+0.5842</f>
        <v>1.7238707013624293</v>
      </c>
      <c r="U10" s="876">
        <f>(G10+G11)/200</f>
        <v>0.80677902621722841</v>
      </c>
      <c r="V10" s="876">
        <f t="shared" si="3"/>
        <v>4.878782595695811E-2</v>
      </c>
      <c r="W10" s="443">
        <v>20</v>
      </c>
      <c r="X10" s="872">
        <f t="shared" si="2"/>
        <v>0.47304000000000002</v>
      </c>
      <c r="Y10" s="443"/>
      <c r="Z10" s="443"/>
      <c r="AA10" s="443"/>
      <c r="AB10" s="444">
        <f t="shared" si="0"/>
        <v>6.7484403903063192E-2</v>
      </c>
      <c r="AC10" s="445">
        <f>IF(((D10+I10+D11+I11)*T10*$B$2)&lt;=0,0,((D10+I10+D11+I11)*T10*$B$2))</f>
        <v>8.3646700905797663E-2</v>
      </c>
      <c r="AD10" s="867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LEFT(SETUP!B3,1)&amp;"-"&amp;RIGHT(COMM!$O$9,6)&amp;"_"&amp;RIGHT(O12,LEN(O12)-3)&amp;"_"&amp;SETUP!B64</f>
        <v>R-SH_Apt_ELC_X0</v>
      </c>
      <c r="N11" s="332" t="str">
        <f>COMM!P9&amp;"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</f>
        <v>RSDSH_Apt</v>
      </c>
      <c r="R11" s="433">
        <f>(ArchetypeDemand!P50*SUM(E12+E25))/SUM($E$7:$E$25)</f>
        <v>0.33417683017300215</v>
      </c>
      <c r="S11" s="434">
        <f>(R11)*DwellingStocks!$I$28/1000</f>
        <v>69.107395872611193</v>
      </c>
      <c r="T11" s="435">
        <f>(S11*1000)/(E25)*DwellingStocks!$T$27-0.482</f>
        <v>0.87713545780900048</v>
      </c>
      <c r="U11" s="874">
        <f>(G25)/100</f>
        <v>1</v>
      </c>
      <c r="V11" s="874">
        <f t="shared" si="3"/>
        <v>1.7227618659613714E-2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0.56318054526904804</v>
      </c>
      <c r="AC11" s="438">
        <f>IF(((D25+I25)*T11*$B$2)&lt;=0,0,((D25+I25)*T11*$B$2))</f>
        <v>0.56318054526904804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0">
        <f>(ArchetypeDemand!Q50*SUM(E12+E25))/SUM($E$7:$E$25)</f>
        <v>0.14321864150271521</v>
      </c>
      <c r="S12" s="441">
        <f>R12*DwellingStocks!$I$28/1000</f>
        <v>29.617455373976227</v>
      </c>
      <c r="T12" s="442">
        <f>((S12)*1000)/E12*DwellingStocks!$T$27+0.392</f>
        <v>1.2197845212766509</v>
      </c>
      <c r="U12" s="876">
        <f>G12/100</f>
        <v>3.0701960784313722</v>
      </c>
      <c r="V12" s="876">
        <f t="shared" si="3"/>
        <v>0.18357506720190914</v>
      </c>
      <c r="W12" s="443">
        <v>20</v>
      </c>
      <c r="X12" s="872">
        <f t="shared" si="2"/>
        <v>0.15768000000000001</v>
      </c>
      <c r="Y12" s="443"/>
      <c r="Z12" s="443"/>
      <c r="AA12" s="443"/>
      <c r="AB12" s="444">
        <f>AC12*U12</f>
        <v>0.85731031654370193</v>
      </c>
      <c r="AC12" s="445">
        <f>IF(((D12+I12)*T12*$B$2)&lt;=0,0,((D12+I12)*T12*$B$2))</f>
        <v>0.2792363401694265</v>
      </c>
      <c r="AD12" s="867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500"/>
      <c r="U13" s="874"/>
      <c r="V13" s="874"/>
      <c r="W13" s="437"/>
      <c r="X13" s="435">
        <f t="shared" si="2"/>
        <v>0.31536000000000003</v>
      </c>
      <c r="Y13" s="437"/>
      <c r="Z13" s="437"/>
      <c r="AA13" s="438">
        <f>AC13/AB12</f>
        <v>0.19041863620569965</v>
      </c>
      <c r="AB13" s="438"/>
      <c r="AC13" s="438">
        <f>RSD_Balance!F22</f>
        <v>0.1632478612813284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0">
        <f>E13/SUM($E$7:$E$25)</f>
        <v>2.9103237484791832E-2</v>
      </c>
      <c r="S14" s="441">
        <f>R14*DwellingStocks!$I$28/1000</f>
        <v>6.0185170617451549</v>
      </c>
      <c r="T14" s="442">
        <f>(S14*1000)/E13*DwellingStocks!$T$27+0.2413</f>
        <v>1.3809707013624293</v>
      </c>
      <c r="U14" s="876">
        <f>G13/100</f>
        <v>0.81016216216216219</v>
      </c>
      <c r="V14" s="876">
        <f>AB14/S14/X14</f>
        <v>7.8978154557043836E-2</v>
      </c>
      <c r="W14" s="443">
        <v>20</v>
      </c>
      <c r="X14" s="872">
        <f>31.536*(AD14/1000)</f>
        <v>0.47304000000000002</v>
      </c>
      <c r="Y14" s="443"/>
      <c r="Z14" s="443"/>
      <c r="AA14" s="443"/>
      <c r="AB14" s="444">
        <f>AC14*U14</f>
        <v>0.22485075159910409</v>
      </c>
      <c r="AC14" s="445">
        <f>IF(((D13+I13)*$B$2)&lt;=0,0,((D13+I13)*T14*$B$2))</f>
        <v>0.27753795733809883</v>
      </c>
      <c r="AD14" s="867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70" t="s">
        <v>254</v>
      </c>
      <c r="M15" s="570" t="s">
        <v>254</v>
      </c>
      <c r="N15" s="446"/>
      <c r="O15" s="446"/>
      <c r="P15" s="446"/>
      <c r="Q15" s="447"/>
      <c r="R15" s="448"/>
      <c r="S15" s="446"/>
      <c r="T15" s="448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467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3">
        <f>E15/SUM($E$7:$E$25)</f>
        <v>0.4073933944627437</v>
      </c>
      <c r="S16" s="904">
        <f>R16*DwellingStocks!$I$28/1000</f>
        <v>84.248499731260551</v>
      </c>
      <c r="T16" s="442">
        <f>(S16*1000)/E15*DwellingStocks!$T$27</f>
        <v>1.1396707013624292</v>
      </c>
      <c r="U16" s="876">
        <f>G15/100</f>
        <v>0.81026881720430111</v>
      </c>
      <c r="V16" s="876">
        <f>AB16/S16/X16</f>
        <v>2.5069945114006394E-2</v>
      </c>
      <c r="W16" s="443">
        <v>20</v>
      </c>
      <c r="X16" s="872">
        <f>31.536*(AD16/1000)</f>
        <v>0.47304000000000002</v>
      </c>
      <c r="Y16" s="443"/>
      <c r="Z16" s="443"/>
      <c r="AA16" s="443"/>
      <c r="AB16" s="444">
        <f>AC16*U16</f>
        <v>0.99911027417720799</v>
      </c>
      <c r="AC16" s="445">
        <f>IF(((D15+I15)*$B$2)&lt;=0,0,((D15+I15)*T16*$B$2))</f>
        <v>1.2330602547738085</v>
      </c>
      <c r="AD16" s="867">
        <v>15</v>
      </c>
      <c r="AE16" s="467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R-SH_Apt_GAS,RSDBGS_X0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70" t="s">
        <v>254</v>
      </c>
      <c r="M17" s="570" t="s">
        <v>254</v>
      </c>
      <c r="N17" s="446"/>
      <c r="O17" s="446"/>
      <c r="P17" s="446"/>
      <c r="Q17" s="447"/>
      <c r="R17" s="448"/>
      <c r="S17" s="446"/>
      <c r="T17" s="448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467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0">
        <f>(E17+E18)/SUM($E$7:$E$25)</f>
        <v>1.0386064868393721E-4</v>
      </c>
      <c r="S18" s="441">
        <f>R18*DwellingStocks!$I$28/1000</f>
        <v>2.1478266343214931E-2</v>
      </c>
      <c r="T18" s="442">
        <f>(S18*1000)/(E17+E18)*DwellingStocks!$T$27</f>
        <v>1.1396707013624292</v>
      </c>
      <c r="U18" s="876">
        <f>(G17+G18)/200</f>
        <v>0.52500000000000002</v>
      </c>
      <c r="V18" s="876">
        <f>AB18/S18/X18</f>
        <v>0.15828050607333224</v>
      </c>
      <c r="W18" s="443">
        <v>20</v>
      </c>
      <c r="X18" s="872">
        <f>31.536*(AD18/1000)</f>
        <v>0.47304000000000002</v>
      </c>
      <c r="Y18" s="443"/>
      <c r="Z18" s="443"/>
      <c r="AA18" s="443"/>
      <c r="AB18" s="444">
        <f>AC18*U18</f>
        <v>1.6081424634332838E-3</v>
      </c>
      <c r="AC18" s="445">
        <f>IF(((D17+I17)+D18+I18*$B$2)&lt;=0,0,((D17+I17+D18+I18)*T18*$B$2))</f>
        <v>3.0631285017776832E-3</v>
      </c>
      <c r="AD18" s="867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0">
        <f>E19/SUM($E$7:$E$25)</f>
        <v>3.2493545802546068E-3</v>
      </c>
      <c r="S20" s="441">
        <f>R20*DwellingStocks!$I$28/1000</f>
        <v>0.67196290416629567</v>
      </c>
      <c r="T20" s="442">
        <f>(S20*1000)/E19*DwellingStocks!$T$27-0.1377</f>
        <v>1.0019707013624293</v>
      </c>
      <c r="U20" s="876">
        <f>G19/100</f>
        <v>0.58177777777777773</v>
      </c>
      <c r="V20" s="876">
        <f>SUM(AB20:AB22)/S20/X20</f>
        <v>0.14698298838932955</v>
      </c>
      <c r="W20" s="443">
        <v>20</v>
      </c>
      <c r="X20" s="872">
        <f>31.536*(AD20/1000)</f>
        <v>0.47304000000000002</v>
      </c>
      <c r="Y20" s="577">
        <f>RSD_Balance!H2</f>
        <v>0.19400000000000001</v>
      </c>
      <c r="Z20" s="443">
        <v>5</v>
      </c>
      <c r="AA20" s="443"/>
      <c r="AB20" s="444">
        <f>AC20*$U$20</f>
        <v>9.0638345074561637E-3</v>
      </c>
      <c r="AC20" s="445">
        <f>IF(((D19+I19)*$B$2)&lt;=0,0,((D19+I19)*T20*$B$2))*Y20</f>
        <v>1.557954747270922E-2</v>
      </c>
      <c r="AD20" s="867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RSD_Balance!H3</f>
        <v>0.74399999999999999</v>
      </c>
      <c r="Z21" s="437">
        <v>5</v>
      </c>
      <c r="AA21" s="437"/>
      <c r="AB21" s="438">
        <f>AC21*$U$20</f>
        <v>3.4760272544058689E-2</v>
      </c>
      <c r="AC21" s="438">
        <f>IF(((D19+I19)*$B$2)&lt;=0,0,((D19+I19)*T20*$B$2))*Y21</f>
        <v>5.9748367627297211E-2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RSD_Balance!H4</f>
        <v>6.2E-2</v>
      </c>
      <c r="Z22" s="443">
        <v>5</v>
      </c>
      <c r="AA22" s="443"/>
      <c r="AB22" s="444">
        <f>AC22*$U$20</f>
        <v>2.8966893786715568E-3</v>
      </c>
      <c r="AC22" s="445">
        <f>IF(((D19+I19)*$B$2)&lt;=0,0,((D19+I19)*T20*$B$2))*Y22</f>
        <v>4.9790306356081006E-3</v>
      </c>
      <c r="AD22" s="867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LEFT(SETUP!B3,1)&amp;"-"&amp;RIGHT(COMM!$O$9,6)&amp;"_"&amp;RIGHT(O23,LEN(O23)-3)&amp;"_"&amp;SETUP!B64</f>
        <v>R-SH_Apt_WOO_X0</v>
      </c>
      <c r="N23" s="332" t="str">
        <f>COMM!P9&amp;"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COMM!$O$9</f>
        <v>RSDSH_Apt</v>
      </c>
      <c r="R23" s="433">
        <f>(E20+E21+E22+E23)/SUM($E$7:$E$25)</f>
        <v>1.3872815217068756E-3</v>
      </c>
      <c r="S23" s="434">
        <f>R23*DwellingStocks!$I$28/1000</f>
        <v>0.28688827187008514</v>
      </c>
      <c r="T23" s="435">
        <f>(S23*1000)/(E20+E21+E22+E23)*DwellingStocks!$T$27+0.2475</f>
        <v>1.3871707013624293</v>
      </c>
      <c r="U23" s="874">
        <f>(G21+G22+G23)/300</f>
        <v>0.6880451127819549</v>
      </c>
      <c r="V23" s="874">
        <f>AB23/S23/X23</f>
        <v>3.7307426022765294E-2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5.0629769118662842E-3</v>
      </c>
      <c r="AC23" s="438">
        <f>IF(((D20+I20+D21+I21+D22+I22+D23+I23)*$B$2)&lt;=0,0,((D20+I20+D21+I21+D22+I22+D23+I23)*T23*$B$2))</f>
        <v>7.3584955663666901E-3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0">
        <f>E24/SUM($E$7:$E$25)</f>
        <v>6.5039021929434102E-2</v>
      </c>
      <c r="S24" s="441">
        <f>R24*DwellingStocks!$I$28/1000</f>
        <v>13.449997216497518</v>
      </c>
      <c r="T24" s="442">
        <f>(S24*1000)/E24*DwellingStocks!$T$27</f>
        <v>1.139670701362429</v>
      </c>
      <c r="U24" s="876">
        <f>G24/100</f>
        <v>0.39838442187649958</v>
      </c>
      <c r="V24" s="876">
        <f>AB24/S24/X24</f>
        <v>2.3488908827814067E-3</v>
      </c>
      <c r="W24" s="443">
        <v>20</v>
      </c>
      <c r="X24" s="872">
        <f t="shared" si="5"/>
        <v>0.47304000000000002</v>
      </c>
      <c r="Y24" s="443"/>
      <c r="Z24" s="443"/>
      <c r="AA24" s="443"/>
      <c r="AB24" s="444">
        <f>AC24*U24</f>
        <v>1.4944552073114381E-2</v>
      </c>
      <c r="AC24" s="445">
        <f>IF(((D24+I24)*$B$2)&lt;=0,0,((D24+I24)*T24*$B$2))</f>
        <v>3.751289270479366E-2</v>
      </c>
      <c r="AD24" s="867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206.79888499999996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2.8687426514841761</v>
      </c>
      <c r="AC27" s="426">
        <f>SUM(AC6:AC25)</f>
        <v>2.8780403003473909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8" t="s">
        <v>643</v>
      </c>
      <c r="C28" s="1139"/>
      <c r="D28" s="1139"/>
      <c r="E28" s="1139"/>
      <c r="F28" s="1139"/>
      <c r="G28" s="1140"/>
      <c r="H28" s="1138" t="s">
        <v>644</v>
      </c>
      <c r="I28" s="1139"/>
      <c r="J28" s="114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870"/>
      <c r="AF28" s="432"/>
      <c r="AG28" s="870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710</v>
      </c>
      <c r="Z30" s="47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LEFT(SETUP!B3,1)&amp;"-"&amp;RIGHT(COMM!$O$15,6)&amp;"_"&amp;RIGHT(O33,LEN(O33)-3)&amp;"_"&amp;SETUP!$B$64</f>
        <v>R-WH_Apt_COA_X0</v>
      </c>
      <c r="N33" s="332" t="str">
        <f>COMM!$P$15&amp;"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COMM!$O$15</f>
        <v>RSDWH_Apt</v>
      </c>
      <c r="R33" s="433">
        <f>(E31+E38+E40)/SUM($E$31:$E$49)-($R$51/7)</f>
        <v>3.5291010812410961E-4</v>
      </c>
      <c r="S33" s="434">
        <f>R33*DwellingStocks!$I$28/1000</f>
        <v>7.2981416865295301E-2</v>
      </c>
      <c r="T33" s="500">
        <f>IFERROR((S33*1000)/(E31+E38+E40),0)+1.1037</f>
        <v>1.4090615768422396</v>
      </c>
      <c r="U33" s="874">
        <f t="shared" ref="U33:U38" si="6">U7</f>
        <v>0.59018803418803423</v>
      </c>
      <c r="V33" s="874">
        <f>IFERROR(AB33/S33/X33,0)</f>
        <v>0.45255796882634308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3.1247434668323112E-3</v>
      </c>
      <c r="AC33" s="438">
        <f>IF(((D31+I31+D38+I38+D40+I40)*$B$2)&lt;=0,0,((D31+I31+D38+I38+D40+I40)*T33*$B$2))</f>
        <v>5.2944880035245955E-3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39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0">
        <f>E32/SUM($E$31:$E$49)</f>
        <v>2.9815590572310261E-5</v>
      </c>
      <c r="S34" s="441">
        <f>R34*DwellingStocks!$I$28/1000</f>
        <v>6.1658308859702726E-3</v>
      </c>
      <c r="T34" s="442">
        <f>IFERROR((S34*1000)/E32,0)</f>
        <v>1.5414577214925682</v>
      </c>
      <c r="U34" s="875">
        <f t="shared" si="6"/>
        <v>0.9</v>
      </c>
      <c r="V34" s="876">
        <f t="shared" ref="V34:V40" si="10">AB34/S34/X34</f>
        <v>7.5051369863013695E-2</v>
      </c>
      <c r="W34" s="443">
        <v>20</v>
      </c>
      <c r="X34" s="872">
        <f t="shared" si="7"/>
        <v>9.4608000000000012E-2</v>
      </c>
      <c r="Y34" s="443"/>
      <c r="Z34" s="443"/>
      <c r="AA34" s="443"/>
      <c r="AB34" s="444">
        <f t="shared" si="8"/>
        <v>4.3780235572596489E-5</v>
      </c>
      <c r="AC34" s="445">
        <f>IF(((D32+I32)*$B$2)&lt;=0,0,((D32+I32)*T34*$B$2))</f>
        <v>4.8644706191773872E-5</v>
      </c>
      <c r="AD34" s="867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LEFT(SETUP!B3,1)&amp;"-"&amp;RIGHT(COMM!$O$15,6)&amp;"_"&amp;RIGHT(O35,LEN(O35)-3)&amp;"_"&amp;SETUP!$B$64</f>
        <v>R-WH_Apt_ETH_X0</v>
      </c>
      <c r="N35" s="332" t="str">
        <f>COMM!$P$15&amp;"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COMM!$O$15</f>
        <v>RSDWH_Apt</v>
      </c>
      <c r="R35" s="433">
        <f>E33/SUM($E$31:$E$49)</f>
        <v>2.2361692929232695E-5</v>
      </c>
      <c r="S35" s="434">
        <f>R35*DwellingStocks!$I$28/1000</f>
        <v>4.6243731644777042E-3</v>
      </c>
      <c r="T35" s="435">
        <f>IFERROR((S35*1000)/E33,0)</f>
        <v>1.5414577214925682</v>
      </c>
      <c r="U35" s="877">
        <f t="shared" si="6"/>
        <v>0.9</v>
      </c>
      <c r="V35" s="874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3.9560032622694131E-5</v>
      </c>
      <c r="AC35" s="438">
        <f>IF(((D33+I33)*$B$2)&lt;=0,0,((D33+I33)*T35*$B$2))</f>
        <v>4.395559180299348E-5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39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0">
        <f>(E34+E35)/SUM($E$31:$E$49)-($R$51/7)</f>
        <v>1.2920181534352884E-2</v>
      </c>
      <c r="S36" s="441">
        <f>(R36)*DwellingStocks!$I$28/1000</f>
        <v>2.6718791353017655</v>
      </c>
      <c r="T36" s="442">
        <f>IFERROR((S36*1000)/(E34+E35),0)+0.5842</f>
        <v>1.9721891611957223</v>
      </c>
      <c r="U36" s="876">
        <f t="shared" si="6"/>
        <v>0.80677902621722841</v>
      </c>
      <c r="V36" s="876">
        <f t="shared" si="10"/>
        <v>0.13251764473730226</v>
      </c>
      <c r="W36" s="443">
        <v>20</v>
      </c>
      <c r="X36" s="872">
        <f t="shared" si="7"/>
        <v>9.4608000000000012E-2</v>
      </c>
      <c r="Y36" s="443"/>
      <c r="Z36" s="443"/>
      <c r="AA36" s="443"/>
      <c r="AB36" s="444">
        <f t="shared" si="8"/>
        <v>3.3497961470155421E-2</v>
      </c>
      <c r="AC36" s="445">
        <f>IF(((D34+I34+D35+I35)*$B$2)&lt;=0,0,((D34+I34+D35+I35)*T36*$B$2))</f>
        <v>4.1520615164251887E-2</v>
      </c>
      <c r="AD36" s="867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LEFT(SETUP!B3,1)&amp;"-"&amp;RIGHT(COMM!$O$15,6)&amp;"_"&amp;RIGHT(O38,LEN(O38)-3)&amp;"_"&amp;SETUP!$B$64</f>
        <v>R-WH_Apt_ELC_X0</v>
      </c>
      <c r="N37" s="332" t="str">
        <f>COMM!$P$15&amp;"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COMM!$O$15</f>
        <v>RSDWH_Apt</v>
      </c>
      <c r="R37" s="433">
        <f>(ArchetypeDemand!P50*SUM(E36+E49))/SUM($E$31:$E$49)-($R$51/7)</f>
        <v>0.33425398197860517</v>
      </c>
      <c r="S37" s="434">
        <f>R37*DwellingStocks!$I$28/1000</f>
        <v>69.123350779985628</v>
      </c>
      <c r="T37" s="435">
        <f>IFERROR((S37*1000)/E49,0)-0.482</f>
        <v>1.3480156406858421</v>
      </c>
      <c r="U37" s="874">
        <f t="shared" si="6"/>
        <v>1</v>
      </c>
      <c r="V37" s="874">
        <f t="shared" si="10"/>
        <v>6.2549233288808403E-2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0.40904834025923104</v>
      </c>
      <c r="AC37" s="438">
        <f>IF(((D49+I49)*$B$2)&lt;=0,0,((D49+I49)*T37*$B$2))</f>
        <v>0.40904834025923104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39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0">
        <f>(ArchetypeDemand!Q50*SUM(E36+E49))/SUM($E$31:$E$49)-($R$51/7)</f>
        <v>0.14243538003164713</v>
      </c>
      <c r="S38" s="441">
        <f>R38*DwellingStocks!$I$28/1000</f>
        <v>29.45547777509589</v>
      </c>
      <c r="T38" s="442">
        <f>IFERROR((S38*1000)/E36,0)+0.392</f>
        <v>1.5008912312274929</v>
      </c>
      <c r="U38" s="876">
        <f t="shared" si="6"/>
        <v>3.0701960784313722</v>
      </c>
      <c r="V38" s="876">
        <f t="shared" si="10"/>
        <v>1.5052975614548449</v>
      </c>
      <c r="W38" s="443">
        <v>20</v>
      </c>
      <c r="X38" s="872">
        <f t="shared" si="7"/>
        <v>3.1536000000000002E-2</v>
      </c>
      <c r="Y38" s="443"/>
      <c r="Z38" s="443"/>
      <c r="AA38" s="443"/>
      <c r="AB38" s="444">
        <f t="shared" si="8"/>
        <v>1.3982828676088739</v>
      </c>
      <c r="AC38" s="445">
        <f>IF(((D49+I49)*$B$2)&lt;=0,0,((D49+I49)*T38*$B$2))</f>
        <v>0.45543764368407574</v>
      </c>
      <c r="AD38" s="867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7"/>
        <v>6.3072000000000003E-2</v>
      </c>
      <c r="Y39" s="443"/>
      <c r="Z39" s="443"/>
      <c r="AA39" s="443">
        <f>AC39/AB38</f>
        <v>0.22073647309325201</v>
      </c>
      <c r="AB39" s="444"/>
      <c r="AC39" s="445">
        <f>RSD_Balance!I22</f>
        <v>0.30865202858270147</v>
      </c>
      <c r="AD39" s="867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LEFT(SETUP!B3,1)&amp;"-"&amp;RIGHT(COMM!$O$15,6)&amp;"_"&amp;RIGHT(O40,LEN(O40)-3)&amp;"_"&amp;SETUP!$B$64</f>
        <v>R-WH_Apt_KER_X0</v>
      </c>
      <c r="N40" s="332" t="str">
        <f>COMM!$P$15&amp;"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COMM!$O$15</f>
        <v>RSDWH_Apt</v>
      </c>
      <c r="R40" s="433">
        <f>E37/SUM($E$31:$E$49)-($R$51/7)</f>
        <v>2.6940963000981786E-2</v>
      </c>
      <c r="S40" s="434">
        <f>R40*DwellingStocks!$I$28/1000</f>
        <v>5.5713611094292865</v>
      </c>
      <c r="T40" s="500">
        <f>IFERROR((S40*1000)/E37,0)-0.1727</f>
        <v>1.2911363398395392</v>
      </c>
      <c r="U40" s="874">
        <f>U14</f>
        <v>0.81016216216216219</v>
      </c>
      <c r="V40" s="874">
        <f t="shared" si="10"/>
        <v>0.11217003351062309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5.9124301035885181E-2</v>
      </c>
      <c r="AC40" s="438">
        <f>IF(((D37+I37)*$B$2)&lt;=0,0,((D37+I37)*T40*$B$2))</f>
        <v>7.2978353960760328E-2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70" t="s">
        <v>254</v>
      </c>
      <c r="M41" s="570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R-WH_Apt_GAS,RSDBGS_X0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LEFT(SETUP!B3,1)&amp;"-"&amp;RIGHT(COMM!$O$15,6)&amp;"_"&amp;RIGHT(O42,LEN(O42)-3)&amp;"_"&amp;SETUP!$B$64</f>
        <v>R-WH_Apt_GAS,RSDBGS_X0</v>
      </c>
      <c r="N42" s="332" t="str">
        <f>COMM!$P$15&amp;"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COMM!$O$15</f>
        <v>RSDWH_Apt</v>
      </c>
      <c r="R42" s="433">
        <f>E39/SUM($E$31:$E$49)-($R$51/7)</f>
        <v>0.40480139622151279</v>
      </c>
      <c r="S42" s="434">
        <f>R42*DwellingStocks!$I$28/1000</f>
        <v>83.71247738505204</v>
      </c>
      <c r="T42" s="500">
        <f>IFERROR((S42*1000)/E39,0)-0.441</f>
        <v>1.0950369435228544</v>
      </c>
      <c r="U42" s="874">
        <f>U16</f>
        <v>0.81026881720430111</v>
      </c>
      <c r="V42" s="874">
        <f>AB42/S42/X42</f>
        <v>7.5045615347050301E-2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0.59435152215477582</v>
      </c>
      <c r="AC42" s="438">
        <f>IF(((D39+I39)*$B$2)&lt;=0,0,((D39+I39)*T42*$B$2))</f>
        <v>0.73352387446611567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70" t="s">
        <v>254</v>
      </c>
      <c r="M43" s="570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LEFT(SETUP!B3,1)&amp;"-"&amp;RIGHT(COMM!$O$15,6)&amp;"_"&amp;RIGHT(O44,LEN(O44)-3)&amp;"_"&amp;SETUP!$B$64</f>
        <v>R-WH_Apt_PEA_X0</v>
      </c>
      <c r="N44" s="332" t="str">
        <f>COMM!$P$15&amp;"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COMM!$O$15</f>
        <v>RSDWH_Apt</v>
      </c>
      <c r="R44" s="433">
        <f>(E41+E42)/SUM($E$31:$E$49)</f>
        <v>9.6900669360008349E-5</v>
      </c>
      <c r="S44" s="434">
        <f>R44*DwellingStocks!$I$28/1000</f>
        <v>2.0038950379403387E-2</v>
      </c>
      <c r="T44" s="435">
        <f>(S44*1000)/(E42+E41)</f>
        <v>1.5414577214925684</v>
      </c>
      <c r="U44" s="874">
        <f>U18</f>
        <v>0.52500000000000002</v>
      </c>
      <c r="V44" s="874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1.7181511664629578E-4</v>
      </c>
      <c r="AC44" s="438">
        <f>IF(((D41+I41+D42+I42)*$B$2)&lt;=0,0,((D41+I41+D42+I42)*T44*$B$2))</f>
        <v>3.2726688885008717E-4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70" t="s">
        <v>254</v>
      </c>
      <c r="M45" s="570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0">
        <f>E43/SUM($E$31:$E$49)</f>
        <v>2.9070200808002503E-3</v>
      </c>
      <c r="S46" s="441">
        <f>R46*DwellingStocks!$I$28/1000</f>
        <v>0.6011685113821017</v>
      </c>
      <c r="T46" s="442">
        <f>(S46*1000)/E43-0.1377</f>
        <v>1.4037577214925685</v>
      </c>
      <c r="U46" s="875">
        <f>U20</f>
        <v>0.58177777777777773</v>
      </c>
      <c r="V46" s="876">
        <f>SUM(AB46:AB48)/S46/X46</f>
        <v>9.0196313138344253E-2</v>
      </c>
      <c r="W46" s="443">
        <v>20</v>
      </c>
      <c r="X46" s="872">
        <f t="shared" ref="X46" si="13">31.536*(AD46/1000)</f>
        <v>9.4608000000000012E-2</v>
      </c>
      <c r="Y46" s="577">
        <f>RSD_Balance!H2</f>
        <v>0.19400000000000001</v>
      </c>
      <c r="Z46" s="443">
        <v>5</v>
      </c>
      <c r="AA46" s="443"/>
      <c r="AB46" s="444">
        <f>AC46*$U$46</f>
        <v>9.9520970360352586E-4</v>
      </c>
      <c r="AC46" s="445">
        <f>IF(((D43+I43)*$B$2)&lt;=0,0,((D43+I43)*T46*$B$2))*Y46</f>
        <v>1.7106354721985739E-3</v>
      </c>
      <c r="AD46" s="867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RSD_Balance!H3</f>
        <v>0.74399999999999999</v>
      </c>
      <c r="Z47" s="437">
        <v>5</v>
      </c>
      <c r="AA47" s="437"/>
      <c r="AB47" s="438">
        <f t="shared" ref="AB47:AB48" si="15">AC47*$U$46</f>
        <v>3.8166805127887796E-3</v>
      </c>
      <c r="AC47" s="438">
        <f>IF(((D43+I43)*$B$2)&lt;=0,0,((D43+I43)*T46*$B$2))*Y47</f>
        <v>6.560375212967727E-3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RSD_Balance!H4</f>
        <v>6.2E-2</v>
      </c>
      <c r="Z48" s="443">
        <v>5</v>
      </c>
      <c r="AA48" s="443"/>
      <c r="AB48" s="444">
        <f t="shared" si="15"/>
        <v>3.1805670939906498E-4</v>
      </c>
      <c r="AC48" s="445">
        <f>IF(((D43+I43)*$B$2)&lt;=0,0,((D43+I43)*T46*$B$2))*Y48</f>
        <v>5.4669793441397725E-4</v>
      </c>
      <c r="AD48" s="867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LEFT(SETUP!B3,1)&amp;"-"&amp;RIGHT(COMM!$O$15,6)&amp;"_"&amp;RIGHT(O49,LEN(O49)-3)&amp;"_"&amp;SETUP!B64</f>
        <v>R-WH_Apt_WOO_X0</v>
      </c>
      <c r="N49" s="332" t="str">
        <f>COMM!P15&amp;"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COMM!$O$15</f>
        <v>RSDWH_Apt</v>
      </c>
      <c r="R49" s="433">
        <f>(E47+E44+E45+E46)/SUM($E$31:$E$49)</f>
        <v>1.319339882824729E-3</v>
      </c>
      <c r="S49" s="434">
        <f>R49*DwellingStocks!$I$28/1000</f>
        <v>0.27283801670418462</v>
      </c>
      <c r="T49" s="435">
        <f>(S49*1000)/(E47+E44+E45+E46)+0.2475</f>
        <v>1.7889577214925685</v>
      </c>
      <c r="U49" s="874">
        <f>U23</f>
        <v>0.6880451127819549</v>
      </c>
      <c r="V49" s="874">
        <f>AB49/S49/X49</f>
        <v>0.10316120676872415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2.6628650610511649E-3</v>
      </c>
      <c r="AC49" s="438">
        <f>IF(((D44+I44+D45+I45+D46+I46+D47+I47)*$B$2)&lt;=0,0,((D44+I44+D45+I45+D46+I46+D47+I47)*T49*$B$2))</f>
        <v>3.8701896308578837E-3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509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39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0">
        <f>E48/SUM($E$31:$E$49)-($R$51/7)</f>
        <v>6.3919749208289578E-2</v>
      </c>
      <c r="S50" s="441">
        <f>R50*DwellingStocks!$I$28/1000</f>
        <v>13.218532865753916</v>
      </c>
      <c r="T50" s="442">
        <f>(S50*1000)/E48</f>
        <v>1.507760107876573</v>
      </c>
      <c r="U50" s="876">
        <f>U24</f>
        <v>0.39838442187649958</v>
      </c>
      <c r="V50" s="876">
        <f>AB50/S50/X50</f>
        <v>3.2373195740855918E-3</v>
      </c>
      <c r="W50" s="443">
        <v>20</v>
      </c>
      <c r="X50" s="872">
        <f t="shared" si="16"/>
        <v>9.4608000000000012E-2</v>
      </c>
      <c r="Y50" s="443"/>
      <c r="Z50" s="443"/>
      <c r="AA50" s="443"/>
      <c r="AB50" s="444">
        <f>AC50*U50</f>
        <v>4.048523737611589E-3</v>
      </c>
      <c r="AC50" s="445">
        <f>IF(((D48+I48)*$B$2)&lt;=0,0,((D48+I48)*T50*$B$2))</f>
        <v>1.0162354538216969E-2</v>
      </c>
      <c r="AD50" s="867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LEFT(SETUP!B3,1)&amp;"-"&amp;RIGHT(COMM!$O$15,6)&amp;"_"&amp;RIGHT(O51,LEN(O51)-3)&amp;"_"&amp;SETUP!B64</f>
        <v>R-WH_Apt_SOL_X0</v>
      </c>
      <c r="N51" s="332" t="str">
        <f>COMM!P15&amp;"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COMM!$O$15</f>
        <v>RSDWH_Apt</v>
      </c>
      <c r="R51" s="510">
        <v>0.01</v>
      </c>
      <c r="S51" s="434">
        <f>R51*DwellingStocks!$I$28/1000</f>
        <v>2.0679888499999999</v>
      </c>
      <c r="T51" s="435">
        <f>MAX(T33:T50)</f>
        <v>1.9721891611957223</v>
      </c>
      <c r="U51" s="874">
        <v>1</v>
      </c>
      <c r="V51" s="874">
        <f>AB51/S51/X51</f>
        <v>0.14315911375389945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206.79888499999998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2.5375350627830495</v>
      </c>
      <c r="AC54" s="426">
        <f>SUM(AC31:AC52)</f>
        <v>2.0777342997741606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710</v>
      </c>
      <c r="Z57" s="47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LEFT(SETUP!B3,1)&amp;"-"&amp;RIGHT(COMM!$O$18,6)&amp;"_"&amp;SETUP!B64</f>
        <v>R-LT_Apt_X0</v>
      </c>
      <c r="N59" s="332" t="str">
        <f>COMM!$P$18&amp;" "&amp;SETUP!$C$64</f>
        <v>Residential Lighting Apartment Existing 00</v>
      </c>
      <c r="O59" s="332" t="str">
        <f>COMM!E24</f>
        <v>RSDELC</v>
      </c>
      <c r="P59" s="332"/>
      <c r="Q59" s="332" t="str">
        <f>COMM!$O$18</f>
        <v>RSDLT_Apt</v>
      </c>
      <c r="R59" s="332">
        <v>1</v>
      </c>
      <c r="S59" s="435">
        <f>DwellingStocks!I28/1000</f>
        <v>206.79888499999998</v>
      </c>
      <c r="T59" s="332">
        <f>(S59*1000)/SUM(G54:G62)-0.1838</f>
        <v>1.350350500382056</v>
      </c>
      <c r="U59" s="874">
        <v>0.4</v>
      </c>
      <c r="V59" s="874">
        <f t="shared" ref="V59" si="17">AB59/S59/X59</f>
        <v>0.2102922497157135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438">
        <f>AC59*U59</f>
        <v>0.13371578633479098</v>
      </c>
      <c r="AC59" s="438">
        <f>((D54+D55+D56+D57+D58+D59+D60+D61+D62)*T59*$B$2)</f>
        <v>0.33428946583697744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LEFT(SETUP!B3,1)&amp;"-"&amp;RIGHT(COMM!$O$21,6)&amp;"_"&amp;SETUP!$B$64</f>
        <v>R-PF_Apt_X0</v>
      </c>
      <c r="N60" s="439" t="str">
        <f>COMM!$P$21&amp;" "&amp;SETUP!$C$64</f>
        <v>Residential Pumps &amp; Fans Apartment Existing 00</v>
      </c>
      <c r="O60" s="439" t="str">
        <f>COMM!E24</f>
        <v>RSDELC</v>
      </c>
      <c r="P60" s="439"/>
      <c r="Q60" s="439" t="str">
        <f>COMM!$O$21</f>
        <v>RSDPF_Apt</v>
      </c>
      <c r="R60" s="439">
        <v>1</v>
      </c>
      <c r="S60" s="880">
        <f>DwellingStocks!I28/1000</f>
        <v>206.79888499999998</v>
      </c>
      <c r="T60" s="439">
        <f>(S60*1000)/SUM(G54:G62)-0.1838</f>
        <v>1.350350500382056</v>
      </c>
      <c r="U60" s="881">
        <v>0.6</v>
      </c>
      <c r="V60" s="881">
        <f>AB60/S60/X60</f>
        <v>0.12674775641390004</v>
      </c>
      <c r="W60" s="882">
        <v>15</v>
      </c>
      <c r="X60" s="883">
        <f t="shared" ref="X60" si="18">31.536*(AD60/1000)</f>
        <v>1.5768000000000002E-3</v>
      </c>
      <c r="Y60" s="882"/>
      <c r="Z60" s="882"/>
      <c r="AA60" s="882"/>
      <c r="AB60" s="884">
        <f>AC60*U60</f>
        <v>4.1329969487132412E-2</v>
      </c>
      <c r="AC60" s="445">
        <f>(F54+F55+F56+F57+F58+F59+F60+F61+F62)*T60*$B$2</f>
        <v>6.888328247855402E-2</v>
      </c>
      <c r="AD60" s="866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8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0" zoomScale="90" zoomScaleNormal="90" workbookViewId="0">
      <selection activeCell="S59" sqref="S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8" t="s">
        <v>643</v>
      </c>
      <c r="C4" s="1139"/>
      <c r="D4" s="1139"/>
      <c r="E4" s="1139"/>
      <c r="F4" s="1139"/>
      <c r="G4" s="1140"/>
      <c r="H4" s="1138" t="s">
        <v>644</v>
      </c>
      <c r="I4" s="1139"/>
      <c r="J4" s="1140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LEFT(SETUP!B3,1)&amp;"-"&amp;RIGHT(COMM!$O$10,6)&amp;"_"&amp;RIGHT(O7,LEN(O7)-3)&amp;"_"&amp;SETUP!$B$64</f>
        <v>R-SH_Att_COA_X0</v>
      </c>
      <c r="N7" s="332" t="str">
        <f>COMM!$P$10&amp;"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COMM!$O$10</f>
        <v>RSDSH_Att</v>
      </c>
      <c r="R7" s="433">
        <f>(E7+E14+E16)/SUM($E$7:$E$25)</f>
        <v>1.6565651697171984E-2</v>
      </c>
      <c r="S7" s="434">
        <f>R7*DwellingStocks!$J$28/1000</f>
        <v>12.695115687614317</v>
      </c>
      <c r="T7" s="500">
        <f>(S7*1000)/(E7+E14+E16)*DwellingStocks!$U$27+1.1037</f>
        <v>2.3958070314999231</v>
      </c>
      <c r="U7" s="874">
        <f>(G7+G14+G16)/300</f>
        <v>0.55798087905732663</v>
      </c>
      <c r="V7" s="874">
        <f>AB7/S7/X7</f>
        <v>0.31784775894057787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2.5450271467347139</v>
      </c>
      <c r="AC7" s="438">
        <f>IF(((D7+I7+D14+I14+D16+I16)*$B$2)&lt;=0,0,((D7+I7+D14+I14+D16+I16)*T7*$B$2))</f>
        <v>4.5611368458259287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0">
        <f>E8/SUM($E$7:$E$25)</f>
        <v>2.4098998686604574E-6</v>
      </c>
      <c r="S8" s="441">
        <f>R8*DwellingStocks!$J$28/1000</f>
        <v>1.8468309117856149E-3</v>
      </c>
      <c r="T8" s="442">
        <f>(S8*1000)/E8*DwellingStocks!$U$27</f>
        <v>1.292107031499923</v>
      </c>
      <c r="U8" s="876">
        <f>(G8)/100</f>
        <v>1</v>
      </c>
      <c r="V8" s="876">
        <f>AB8/S8/X8</f>
        <v>2.4658929270484013E-2</v>
      </c>
      <c r="W8" s="443">
        <v>20</v>
      </c>
      <c r="X8" s="872">
        <f t="shared" ref="X8:X13" si="1">31.536*(AD8/1000)</f>
        <v>0.63072000000000006</v>
      </c>
      <c r="Y8" s="443"/>
      <c r="Z8" s="443"/>
      <c r="AA8" s="443"/>
      <c r="AB8" s="444">
        <f>AC8*U8</f>
        <v>2.872353931024329E-5</v>
      </c>
      <c r="AC8" s="445">
        <f>IF(((D8+I8)*$B$2)&lt;=0,0,((D8+I8)*T8*$B$2))</f>
        <v>2.872353931024329E-5</v>
      </c>
      <c r="AD8" s="867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LEFT(SETUP!B3,1)&amp;"-"&amp;RIGHT(COMM!$O$10,6)&amp;"_"&amp;RIGHT(O9,LEN(O9)-3)&amp;"_"&amp;SETUP!B64</f>
        <v>R-SH_Att_ETH_X0</v>
      </c>
      <c r="N9" s="332" t="str">
        <f>COMM!P10&amp;"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COMM!$O$10</f>
        <v>RSDSH_Att</v>
      </c>
      <c r="R9" s="433">
        <f>E9/SUM($E$7:$E$25)</f>
        <v>0</v>
      </c>
      <c r="S9" s="434">
        <f>R9*DwellingStocks!$J$28/1000</f>
        <v>0</v>
      </c>
      <c r="T9" s="435">
        <f>IFERROR((S9*1000)/E9*DwellingStocks!$U$27,0)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0">
        <f>(E10+E11)/SUM($E$7:$E$25)</f>
        <v>1.1165066091503898E-2</v>
      </c>
      <c r="S10" s="441">
        <f>(R10)*DwellingStocks!$J$28/1000</f>
        <v>8.5563676143027525</v>
      </c>
      <c r="T10" s="442">
        <f>(S10*1000)/(E10+E11)*DwellingStocks!$U$27+0.5842</f>
        <v>1.8763070314999231</v>
      </c>
      <c r="U10" s="876">
        <f>(G10+G11)/200</f>
        <v>0.8070757743362833</v>
      </c>
      <c r="V10" s="876">
        <f t="shared" ref="V10:V12" si="2">AB10/S10/X10</f>
        <v>4.9050090196469505E-2</v>
      </c>
      <c r="W10" s="443">
        <v>20</v>
      </c>
      <c r="X10" s="872">
        <f t="shared" si="1"/>
        <v>0.63072000000000006</v>
      </c>
      <c r="Y10" s="443"/>
      <c r="Z10" s="443"/>
      <c r="AA10" s="443"/>
      <c r="AB10" s="444">
        <f>AC10*U10</f>
        <v>0.26470725727282113</v>
      </c>
      <c r="AC10" s="445">
        <f>IF(((D10+I10+D11+I11)*T10*$B$2)&lt;=0,0,((D10+I10+D11+I11)*T10*$B$2))</f>
        <v>0.32798315311906001</v>
      </c>
      <c r="AD10" s="867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LEFT(SETUP!B3,1)&amp;"-"&amp;RIGHT(COMM!$O$10,6)&amp;"_"&amp;RIGHT(O12,LEN(O12)-3)&amp;"_"&amp;SETUP!B64</f>
        <v>R-SH_Att_ELC_X0</v>
      </c>
      <c r="N11" s="332" t="str">
        <f>COMM!P10&amp;"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COMM!$O$10</f>
        <v>RSDSH_Att</v>
      </c>
      <c r="R11" s="433">
        <f>(ArchetypeDemand!P51*SUM(E12+E25))/SUM($E$7:$E$25)</f>
        <v>5.4427347543709564E-2</v>
      </c>
      <c r="S11" s="434">
        <f>(R11)*DwellingStocks!$J$28/1000</f>
        <v>41.710491459586933</v>
      </c>
      <c r="T11" s="435">
        <f>(S11*1000)/(E25)*DwellingStocks!$U$27-0.482</f>
        <v>1.8076907097467723</v>
      </c>
      <c r="U11" s="874">
        <f>(G25)/100</f>
        <v>1</v>
      </c>
      <c r="V11" s="874">
        <f t="shared" si="2"/>
        <v>3.7537381358533739E-2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0.98751995936902981</v>
      </c>
      <c r="AC11" s="438">
        <f>IF(((D25+I25)*T11*$B$2)&lt;=0,0,((D25+I25)*T11*$B$2))</f>
        <v>0.98751995936902981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0">
        <f>(ArchetypeDemand!Q51*SUM(E12+E25))/SUM($E$7:$E$25)</f>
        <v>2.9307033292766682E-2</v>
      </c>
      <c r="S12" s="441">
        <f>R12*DwellingStocks!$J$28/1000</f>
        <v>22.45949540131604</v>
      </c>
      <c r="T12" s="442">
        <f>(S12*1000)/E12*DwellingStocks!$U$27+0.392</f>
        <v>1.1062149366289584</v>
      </c>
      <c r="U12" s="876">
        <f>G12/100</f>
        <v>3.1157627118644071</v>
      </c>
      <c r="V12" s="876">
        <f t="shared" si="2"/>
        <v>0.11320438554411126</v>
      </c>
      <c r="W12" s="443">
        <v>20</v>
      </c>
      <c r="X12" s="872">
        <f t="shared" si="1"/>
        <v>0.220752</v>
      </c>
      <c r="Y12" s="443"/>
      <c r="Z12" s="443"/>
      <c r="AA12" s="443"/>
      <c r="AB12" s="444">
        <f>AC12*U12</f>
        <v>0.56126491289724612</v>
      </c>
      <c r="AC12" s="445">
        <f>IF(((D12+I12)*T12*$B$2)&lt;=0,0,((D12+I12)*T12*$B$2))</f>
        <v>0.18013724561245453</v>
      </c>
      <c r="AD12" s="867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79"/>
      <c r="V13" s="879"/>
      <c r="X13" s="873">
        <f t="shared" si="1"/>
        <v>0.409968</v>
      </c>
      <c r="AA13" s="923">
        <f>AC13/AB12</f>
        <v>0.18763384898112581</v>
      </c>
      <c r="AC13" s="864">
        <f>RSD_Balance!G22</f>
        <v>0.10531229590496662</v>
      </c>
      <c r="AD13" s="864">
        <v>13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LEFT(SETUP!B3,1)&amp;"-"&amp;RIGHT(COMM!$O$10,6)&amp;"_"&amp;RIGHT(O14,LEN(O14)-3)&amp;"_"&amp;SETUP!B64</f>
        <v>R-SH_Att_KER_X0</v>
      </c>
      <c r="N14" s="332" t="str">
        <f>COMM!P10&amp;"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COMM!$O$10</f>
        <v>RSDSH_Att</v>
      </c>
      <c r="R14" s="433">
        <f>E13/SUM($E$7:$E$25)</f>
        <v>0.29959152197226208</v>
      </c>
      <c r="S14" s="434">
        <f>R14*DwellingStocks!$J$28/1000</f>
        <v>229.5924784604523</v>
      </c>
      <c r="T14" s="435">
        <f>(S14*1000)/E13*DwellingStocks!$U$27+0.2413</f>
        <v>1.5334070314999231</v>
      </c>
      <c r="U14" s="874">
        <f>G13/100</f>
        <v>0.81941558441558437</v>
      </c>
      <c r="V14" s="874">
        <f>AB14/S14/X14</f>
        <v>4.4978376179101436E-2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6.5132542461166167</v>
      </c>
      <c r="AC14" s="438">
        <f>IF(((D13+I13)*$B$2)&lt;=0,0,((D13+I13)*T14*$B$2))</f>
        <v>7.9486580069891355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70" t="s">
        <v>254</v>
      </c>
      <c r="M15" s="570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LEFT(SETUP!B3,1)&amp;"-"&amp;RIGHT(COMM!$O$10,6)&amp;"_"&amp;RIGHT(O16,LEN(O16)-3)&amp;"_"&amp;SETUP!B64</f>
        <v>R-SH_Att_GAS,RSDBGS_X0</v>
      </c>
      <c r="N16" s="332" t="str">
        <f>COMM!P10&amp;"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COMM!$O$10</f>
        <v>RSDSH_Att</v>
      </c>
      <c r="R16" s="433">
        <f>E15/SUM($E$7:$E$25)</f>
        <v>0.54312877299948192</v>
      </c>
      <c r="S16" s="434">
        <f>R16*DwellingStocks!$J$28/1000</f>
        <v>416.2276699127712</v>
      </c>
      <c r="T16" s="435">
        <f>(S16*1000)/E15*DwellingStocks!$U$27</f>
        <v>1.292107031499923</v>
      </c>
      <c r="U16" s="874">
        <f>G15/100</f>
        <v>0.81729411764705884</v>
      </c>
      <c r="V16" s="874">
        <f>AB16/S16/X16</f>
        <v>3.5032805879028385E-2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9.1969213604429889</v>
      </c>
      <c r="AC16" s="438">
        <f>IF(((D15+I15)*$B$2)&lt;=0,0,((D15+I15)*T16*$B$2))</f>
        <v>11.252890681411458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R-SH_Att_GAS,RSDBGS_X0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70" t="s">
        <v>254</v>
      </c>
      <c r="M17" s="570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LEFT(SETUP!B3,1)&amp;"-"&amp;RIGHT(COMM!$O$10,6)&amp;"_"&amp;RIGHT(O18,LEN(O18)-3)&amp;"_"&amp;SETUP!B64</f>
        <v>R-SH_Att_PEA_X0</v>
      </c>
      <c r="N18" s="332" t="str">
        <f>COMM!P10&amp;"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COMM!$O$10</f>
        <v>RSDSH_Att</v>
      </c>
      <c r="R18" s="433">
        <f>(E17+E18)/SUM($E$7:$E$25)</f>
        <v>1.4917280187008229E-3</v>
      </c>
      <c r="S18" s="434">
        <f>R18*DwellingStocks!$J$28/1000</f>
        <v>1.1431883343952955</v>
      </c>
      <c r="T18" s="435">
        <f>(S18*1000)/(E17+E18)*DwellingStocks!$U$27</f>
        <v>1.2921070314999228</v>
      </c>
      <c r="U18" s="874">
        <f>(G17+G18)/200</f>
        <v>0.5509294871794872</v>
      </c>
      <c r="V18" s="874">
        <f>AB18/S18/X18</f>
        <v>7.0893554801410574E-2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5.1116503617734892E-2</v>
      </c>
      <c r="AC18" s="438">
        <f>IF(((D17+I17)+D18+I18*$B$2)&lt;=0,0,((D17+I17+D18+I18)*T18*$B$2))</f>
        <v>9.2782297566660565E-2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0">
        <f>E19/SUM($E$7:$E$25)</f>
        <v>4.0705618681543779E-2</v>
      </c>
      <c r="S20" s="441">
        <f>R20*DwellingStocks!$J$28/1000</f>
        <v>31.194820930970817</v>
      </c>
      <c r="T20" s="442">
        <f>(S20*1000)/E19*DwellingStocks!$U$27-0.1377</f>
        <v>1.1544070314999231</v>
      </c>
      <c r="U20" s="875">
        <f>G19/100</f>
        <v>0.57113772455089817</v>
      </c>
      <c r="V20" s="876">
        <f>SUM(AB20:AB22)/S20/X20</f>
        <v>7.3631430941556025E-2</v>
      </c>
      <c r="W20" s="443">
        <v>20</v>
      </c>
      <c r="X20" s="872">
        <f>31.536*(AD20/1000)</f>
        <v>0.63072000000000006</v>
      </c>
      <c r="Y20" s="577">
        <f>RSD_Balance!$H$2</f>
        <v>0.19400000000000001</v>
      </c>
      <c r="Z20" s="443">
        <v>5</v>
      </c>
      <c r="AA20" s="443"/>
      <c r="AB20" s="444">
        <f>AC20*$U$20</f>
        <v>0.28105031091472776</v>
      </c>
      <c r="AC20" s="445">
        <f>IF(((D19+I19)*$B$2)&lt;=0,0,((D19+I19)*T20*$B$2))*Y20</f>
        <v>0.4920885083115909</v>
      </c>
      <c r="AD20" s="867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1.0778424294874096</v>
      </c>
      <c r="AC21" s="438">
        <f>IF(((D19+I19)*$B$2)&lt;=0,0,((D19+I19)*T20*$B$2))*Y21</f>
        <v>1.8871847947619775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8.9820202457284129E-2</v>
      </c>
      <c r="AC22" s="445">
        <f>IF(((D19+I19)*$B$2)&lt;=0,0,((D19+I19)*T20*$B$2))*Y22</f>
        <v>0.15726539956349811</v>
      </c>
      <c r="AD22" s="867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LEFT(SETUP!B3,1)&amp;"-"&amp;RIGHT(COMM!$O$10,6)&amp;"_"&amp;RIGHT(O23,LEN(O23)-3)&amp;"_"&amp;SETUP!B64</f>
        <v>R-SH_Att_WOO_X0</v>
      </c>
      <c r="N23" s="332" t="str">
        <f>COMM!P10&amp;"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COMM!$O$10</f>
        <v>RSDSH_Att</v>
      </c>
      <c r="R23" s="433">
        <f>(E20+E21+E22+E23)/SUM($E$7:$E$25)</f>
        <v>1.1639816365630008E-3</v>
      </c>
      <c r="S23" s="434">
        <f>R23*DwellingStocks!$J$28/1000</f>
        <v>0.89201933039245196</v>
      </c>
      <c r="T23" s="435">
        <f>(S23*1000)/(E20+E21+E22+E23)*DwellingStocks!$U$27+0.2475</f>
        <v>1.5396070314999231</v>
      </c>
      <c r="U23" s="874">
        <f>(G21+G22+G23)/300</f>
        <v>0.70400656814449913</v>
      </c>
      <c r="V23" s="874">
        <f>AB23/S23/X23</f>
        <v>0.11901773597318666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6.6961095930231682E-2</v>
      </c>
      <c r="AC23" s="438">
        <f>IF(((D20+I20+D21+I21+D22+I22+D23+I23)*$B$2)&lt;=0,0,((D20+I20+D21+I21+D22+I22+D23+I23)*T23*$B$2))</f>
        <v>9.5114305689954506E-2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39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0">
        <f>E24/SUM($E$7:$E$25)</f>
        <v>2.4508681664276851E-3</v>
      </c>
      <c r="S24" s="441">
        <f>R24*DwellingStocks!$J$28/1000</f>
        <v>1.8782270372859704</v>
      </c>
      <c r="T24" s="442">
        <f>(S24*1000)/E24*DwellingStocks!$U$27</f>
        <v>1.292107031499923</v>
      </c>
      <c r="U24" s="876">
        <f>G24/100</f>
        <v>0.60949973059968388</v>
      </c>
      <c r="V24" s="876">
        <f>AB24/S24/X24</f>
        <v>2.2872893208017001E-2</v>
      </c>
      <c r="W24" s="443">
        <v>20</v>
      </c>
      <c r="X24" s="872">
        <f t="shared" si="4"/>
        <v>0.63072000000000006</v>
      </c>
      <c r="Y24" s="443"/>
      <c r="Z24" s="443"/>
      <c r="AA24" s="443"/>
      <c r="AB24" s="444">
        <f>AC24*U24</f>
        <v>2.7096038010118728E-2</v>
      </c>
      <c r="AC24" s="445">
        <f>IF(((D24+I24)*$B$2)&lt;=0,0,((D24+I24)*T24*$B$2))</f>
        <v>4.4456193579378724E-2</v>
      </c>
      <c r="AD24" s="867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766.35172099999988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21.662610186790236</v>
      </c>
      <c r="AC27" s="426">
        <f>SUM(AC6:AC25)</f>
        <v>28.132558411244403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8" t="s">
        <v>643</v>
      </c>
      <c r="C28" s="1139"/>
      <c r="D28" s="1139"/>
      <c r="E28" s="1139"/>
      <c r="F28" s="1139"/>
      <c r="G28" s="1140"/>
      <c r="H28" s="1138" t="s">
        <v>644</v>
      </c>
      <c r="I28" s="1139"/>
      <c r="J28" s="114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LEFT(SETUP!B3,1)&amp;"-"&amp;RIGHT(COMM!$O$16,6)&amp;"_"&amp;RIGHT(O33,LEN(O33)-3)&amp;"_"&amp;SETUP!$B$64</f>
        <v>R-WH_Att_COA_X0</v>
      </c>
      <c r="N33" s="332" t="str">
        <f>COMM!$P$16&amp;"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COMM!$O$16</f>
        <v>RSDWH_Att</v>
      </c>
      <c r="R33" s="433">
        <f>(E31+E38+E40)/SUM($E$31:$E$49)-($R$51/7)</f>
        <v>1.4005877019013029E-2</v>
      </c>
      <c r="S33" s="434">
        <f>R33*DwellingStocks!$J$28/1000</f>
        <v>10.733427957634982</v>
      </c>
      <c r="T33" s="500">
        <f>IFERROR((S33*1000)/(E31+E38+E40),0)+1.1037</f>
        <v>2.7897552870931479</v>
      </c>
      <c r="U33" s="874">
        <f>U7</f>
        <v>0.55798087905732663</v>
      </c>
      <c r="V33" s="874">
        <f>IFERROR(AB33/S33/X33,0)</f>
        <v>0.10435985757663384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0.17662351956477004</v>
      </c>
      <c r="AC33" s="438">
        <f>IF(((D31+I31+D38+I38+D40+I40)*$B$2)&lt;=0,0,((D31+I31+D38+I38+D40+I40)*T33*$B$2))</f>
        <v>0.31654045182186941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39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0">
        <f>E32/SUM($E$31:$E$49)</f>
        <v>7.2735383824620442E-6</v>
      </c>
      <c r="S34" s="441">
        <f>R34*DwellingStocks!$J$28/1000</f>
        <v>5.574088657159343E-3</v>
      </c>
      <c r="T34" s="442">
        <f>IFERROR((S34*1000)/E32,0)</f>
        <v>1.8580295523864476</v>
      </c>
      <c r="U34" s="876">
        <f>U8</f>
        <v>1</v>
      </c>
      <c r="V34" s="876">
        <f>AB34/S34/X34</f>
        <v>8.8919330289193299E-2</v>
      </c>
      <c r="W34" s="443">
        <v>20</v>
      </c>
      <c r="X34" s="872">
        <f t="shared" si="5"/>
        <v>0.15768000000000001</v>
      </c>
      <c r="Y34" s="443"/>
      <c r="Z34" s="443"/>
      <c r="AA34" s="443"/>
      <c r="AB34" s="444">
        <f>AC34*U34</f>
        <v>7.8153182244299725E-5</v>
      </c>
      <c r="AC34" s="445">
        <f>IF(((D32+I32)*$B$2)&lt;=0,0,((D32+I32)*T34*$B$2))</f>
        <v>7.8153182244299725E-5</v>
      </c>
      <c r="AD34" s="867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LEFT(SETUP!B3,1)&amp;"-"&amp;RIGHT(COMM!$O$16,6)&amp;"_"&amp;RIGHT(O35,LEN(O35)-3)&amp;"_"&amp;SETUP!$B$64</f>
        <v>R-WH_Att_ETH_X0</v>
      </c>
      <c r="N35" s="332" t="str">
        <f>COMM!$P$16&amp;"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COMM!$O$16</f>
        <v>RSDWH_Att</v>
      </c>
      <c r="R35" s="433">
        <f>E33/SUM($E$31:$E$49)</f>
        <v>2.4245127941540146E-6</v>
      </c>
      <c r="S35" s="434">
        <f>R35*DwellingStocks!$J$28/1000</f>
        <v>1.8580295523864473E-3</v>
      </c>
      <c r="T35" s="435">
        <f>IFERROR((S35*1000)/E33,0)</f>
        <v>1.8580295523864474</v>
      </c>
      <c r="U35" s="877">
        <v>0.9</v>
      </c>
      <c r="V35" s="874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1.9691471517373664E-5</v>
      </c>
      <c r="AC35" s="438">
        <f>IF(((D33+I33)*$B$2)&lt;=0,0,((D33+I33)*T35*$B$2))</f>
        <v>2.1879412797081848E-5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39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0">
        <f>(E34+E35)/SUM($E$31:$E$49)-($R$51/7)</f>
        <v>9.9423935760109012E-3</v>
      </c>
      <c r="S36" s="441">
        <f>(R36)*DwellingStocks!$J$28/1000</f>
        <v>7.6193704278352961</v>
      </c>
      <c r="T36" s="442">
        <f>IFERROR((S36*1000)/(E34+E35),0)+0.5842</f>
        <v>2.2087992383444126</v>
      </c>
      <c r="U36" s="876">
        <f>U10</f>
        <v>0.8070757743362833</v>
      </c>
      <c r="V36" s="876">
        <f t="shared" ref="V36:V42" si="7">AB36/S36/X36</f>
        <v>0.10056741867817068</v>
      </c>
      <c r="W36" s="443">
        <v>20</v>
      </c>
      <c r="X36" s="872">
        <f t="shared" si="5"/>
        <v>0.15768000000000001</v>
      </c>
      <c r="Y36" s="443"/>
      <c r="Z36" s="443"/>
      <c r="AA36" s="443"/>
      <c r="AB36" s="444">
        <f>AC36*U36</f>
        <v>0.12082394237598752</v>
      </c>
      <c r="AC36" s="445">
        <f>IF(((D34+I34+D35+I35)*$B$2)&lt;=0,0,((D34+I34+D35+I35)*T36*$B$2))</f>
        <v>0.14970582220157677</v>
      </c>
      <c r="AD36" s="867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LEFT(SETUP!B3,1)&amp;"-"&amp;RIGHT(COMM!$O$16,6)&amp;"_"&amp;RIGHT(O38,LEN(O38)-3)&amp;"_"&amp;SETUP!$B$64</f>
        <v>R-WH_Att_ELC_X0</v>
      </c>
      <c r="N37" s="332" t="str">
        <f>COMM!$P$16&amp;"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COMM!$O$16</f>
        <v>RSDWH_Att</v>
      </c>
      <c r="R37" s="433">
        <f>(ArchetypeDemand!P51*SUM(E36+E49))/SUM($E$31:$E$49)-($R$51/7)</f>
        <v>5.2846571981360342E-2</v>
      </c>
      <c r="S37" s="434">
        <f>R37*DwellingStocks!$J$28/1000</f>
        <v>40.499061386865868</v>
      </c>
      <c r="T37" s="435">
        <f>IFERROR((S37*1000)/E49,0)-0.482</f>
        <v>2.6956431060702917</v>
      </c>
      <c r="U37" s="874">
        <f>U11</f>
        <v>1</v>
      </c>
      <c r="V37" s="874">
        <f t="shared" si="7"/>
        <v>6.6402541005538829E-2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0.42403945535248022</v>
      </c>
      <c r="AC37" s="438">
        <f>IF(((D49+I49)*$B$2)&lt;=0,0,((D49+I49)*T37*$B$2))</f>
        <v>0.42403945535248022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39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0">
        <f>(ArchetypeDemand!Q51*SUM(E36+E49))/SUM($E$31:$E$49)-($R$51/7)</f>
        <v>2.7796505792161065E-2</v>
      </c>
      <c r="S38" s="441">
        <f>R38*DwellingStocks!$J$28/1000</f>
        <v>21.301900051609092</v>
      </c>
      <c r="T38" s="442">
        <f>IFERROR((S38*1000)/E36,0)+0.392</f>
        <v>1.3738806200326845</v>
      </c>
      <c r="U38" s="876">
        <f>U12</f>
        <v>3.1157627118644071</v>
      </c>
      <c r="V38" s="876">
        <f t="shared" si="7"/>
        <v>0.66825318875216821</v>
      </c>
      <c r="W38" s="443">
        <v>20</v>
      </c>
      <c r="X38" s="872">
        <f t="shared" si="5"/>
        <v>4.7304000000000006E-2</v>
      </c>
      <c r="Y38" s="443"/>
      <c r="Z38" s="443"/>
      <c r="AA38" s="443"/>
      <c r="AB38" s="444">
        <f>AC38*U38</f>
        <v>0.67337540293181863</v>
      </c>
      <c r="AC38" s="445">
        <f>IF(((D49+I49)*$B$2)&lt;=0,0,((D49+I49)*T38*$B$2))</f>
        <v>0.21611896193753627</v>
      </c>
      <c r="AD38" s="921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/>
      <c r="Y39" s="443"/>
      <c r="Z39" s="443"/>
      <c r="AA39" s="443">
        <f>AC39/AB38</f>
        <v>0.21866075770868068</v>
      </c>
      <c r="AB39" s="444"/>
      <c r="AC39" s="445">
        <f>RSD_Balance!J22</f>
        <v>0.14724077582745962</v>
      </c>
      <c r="AD39" s="921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LEFT(SETUP!B3,1)&amp;"-"&amp;RIGHT(COMM!$O$16,6)&amp;"_"&amp;RIGHT(O40,LEN(O40)-3)&amp;"_"&amp;SETUP!$B$64</f>
        <v>R-WH_Att_KER_X0</v>
      </c>
      <c r="N40" s="332" t="str">
        <f>COMM!$P$16&amp;"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COMM!$O$16</f>
        <v>RSDWH_Att</v>
      </c>
      <c r="R40" s="433">
        <f>E37/SUM($E$31:$E$49)-($R$51/7)</f>
        <v>0.2981830216218051</v>
      </c>
      <c r="S40" s="434">
        <f>R40*DwellingStocks!$J$28/1000</f>
        <v>228.51307179285047</v>
      </c>
      <c r="T40" s="500">
        <f>IFERROR((S40*1000)/E37,0)-0.1727</f>
        <v>1.6764703226585298</v>
      </c>
      <c r="U40" s="874">
        <f>U14</f>
        <v>0.81941558441558437</v>
      </c>
      <c r="V40" s="874">
        <f t="shared" si="7"/>
        <v>6.9705277866978943E-2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2.5116164706651145</v>
      </c>
      <c r="AC40" s="438">
        <f>IF(((D37+I37)*$B$2)&lt;=0,0,((D37+I37)*T40*$B$2))</f>
        <v>3.0651314405454286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R-WH_Att_GAS,RSDBGS_X0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LEFT(SETUP!B3,1)&amp;"-"&amp;RIGHT(COMM!$O$16,6)&amp;"_"&amp;RIGHT(O42,LEN(O42)-3)&amp;"_"&amp;SETUP!$B$64</f>
        <v>R-WH_Att_GAS,RSDBGS_X0</v>
      </c>
      <c r="N42" s="332" t="str">
        <f>COMM!$P$16&amp;"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COMM!$O$16</f>
        <v>RSDWH_Att</v>
      </c>
      <c r="R42" s="433">
        <f>E39/SUM($E$31:$E$49)-($R$51/7)</f>
        <v>0.54301032357547752</v>
      </c>
      <c r="S42" s="434">
        <f>R42*DwellingStocks!$J$28/1000</f>
        <v>416.13689599283396</v>
      </c>
      <c r="T42" s="500">
        <f>IFERROR((S42*1000)/E39,0)-0.441</f>
        <v>1.4121542064911823</v>
      </c>
      <c r="U42" s="874">
        <f>U16</f>
        <v>0.81729411764705884</v>
      </c>
      <c r="V42" s="874">
        <f t="shared" si="7"/>
        <v>5.8388567987470351E-2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3.831251472134042</v>
      </c>
      <c r="AC42" s="438">
        <f>IF(((D39+I39)*$B$2)&lt;=0,0,((D39+I39)*T42*$B$2))</f>
        <v>4.6877267184596745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LEFT(SETUP!B3,1)&amp;"-"&amp;RIGHT(COMM!$O$16,6)&amp;"_"&amp;RIGHT(O44,LEN(O44)-3)&amp;"_"&amp;SETUP!$B$64</f>
        <v>R-WH_Att_PEA_X0</v>
      </c>
      <c r="N44" s="332" t="str">
        <f>COMM!$P$16&amp;"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COMM!$O$16</f>
        <v>RSDWH_Att</v>
      </c>
      <c r="R44" s="433">
        <f>(E41+E42)/SUM($E$31:$E$49)</f>
        <v>1.5516881882585694E-3</v>
      </c>
      <c r="S44" s="434">
        <f>R44*DwellingStocks!$J$28/1000</f>
        <v>1.1891389135273265</v>
      </c>
      <c r="T44" s="435">
        <f>(S44*1000)/(E42+E41)</f>
        <v>1.8580295523864474</v>
      </c>
      <c r="U44" s="874">
        <f>U18</f>
        <v>0.5509294871794872</v>
      </c>
      <c r="V44" s="874">
        <f>AB44/S44/X44</f>
        <v>6.8944308925102074E-2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1.2927293980841035E-2</v>
      </c>
      <c r="AC44" s="438">
        <f>IF(((D41+I41+D42+I42)*$B$2)&lt;=0,0,((D41+I41+D42+I42)*T44*$B$2))</f>
        <v>2.3464516388518254E-2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0">
        <f>E43/SUM($E$31:$E$49)-($R$51/7)</f>
        <v>3.9012301977917531E-2</v>
      </c>
      <c r="S46" s="441">
        <f>R46*DwellingStocks!$J$28/1000</f>
        <v>29.897144760948795</v>
      </c>
      <c r="T46" s="442">
        <f>(S46*1000)/E43-0.1377</f>
        <v>1.654694769841055</v>
      </c>
      <c r="U46" s="875">
        <f>U20</f>
        <v>0.57113772455089817</v>
      </c>
      <c r="V46" s="876">
        <f>SUM(AB46:AB48)/S46/X46</f>
        <v>5.9040638752358883E-2</v>
      </c>
      <c r="W46" s="443">
        <v>20</v>
      </c>
      <c r="X46" s="872">
        <f t="shared" ref="X46" si="9">31.536*(AD46/1000)</f>
        <v>0.15768000000000001</v>
      </c>
      <c r="Y46" s="577">
        <f>RSD_Balance!$H$2</f>
        <v>0.19400000000000001</v>
      </c>
      <c r="Z46" s="443">
        <v>5</v>
      </c>
      <c r="AA46" s="443"/>
      <c r="AB46" s="444">
        <f>AC46*$U$46</f>
        <v>5.3995690943922141E-2</v>
      </c>
      <c r="AC46" s="445">
        <f>IF(((D43+I43)*$B$2)&lt;=0,0,((D43+I43)*T46*$B$2))*Y46</f>
        <v>9.4540578608041492E-2</v>
      </c>
      <c r="AD46" s="867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>AC47*$U$46</f>
        <v>0.20707625805297974</v>
      </c>
      <c r="AC47" s="438">
        <f>IF(((D43+I43)*$B$2)&lt;=0,0,((D43+I43)*T46*$B$2))*Y47</f>
        <v>0.36256799218754054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ref="AB48" si="10">AC48*$U$46</f>
        <v>1.7256354837748313E-2</v>
      </c>
      <c r="AC48" s="445">
        <f>IF(((D43+I43)*$B$2)&lt;=0,0,((D43+I43)*T46*$B$2))*Y48</f>
        <v>3.0213999348961715E-2</v>
      </c>
      <c r="AD48" s="867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LEFT(SETUP!B3,1)&amp;"-"&amp;RIGHT(COMM!$O$16,6)&amp;"_"&amp;RIGHT(O49,LEN(O49)-3)&amp;"_"&amp;SETUP!B64</f>
        <v>R-WH_Att_WOO_X0</v>
      </c>
      <c r="N49" s="332" t="str">
        <f>COMM!P16&amp;"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COMM!$O$16</f>
        <v>RSDWH_Att</v>
      </c>
      <c r="R49" s="433">
        <f>(E47+E44+E45+E46)/SUM($E$31:$E$49)</f>
        <v>1.1758887051646972E-3</v>
      </c>
      <c r="S49" s="434">
        <f>R49*DwellingStocks!$J$28/1000</f>
        <v>0.90114433290742701</v>
      </c>
      <c r="T49" s="435">
        <f>(S49*1000)/(E47+E44+E45+E46)+0.2475</f>
        <v>2.1055295523864475</v>
      </c>
      <c r="U49" s="874">
        <f>U23</f>
        <v>0.70400656814449913</v>
      </c>
      <c r="V49" s="874">
        <f>AB49/S49/X49</f>
        <v>6.8778139627583293E-2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9.7728535691823017E-3</v>
      </c>
      <c r="AC49" s="438">
        <f>IF(((D44+I44+D45+I45+D46+I46+D47+I47)*$B$2)&lt;=0,0,((D44+I44+D45+I45+D46+I46+D47+I47)*T49*$B$2))</f>
        <v>1.3881764761002058E-2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39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0">
        <f>E48/SUM($E$31:$E$49)</f>
        <v>2.465729511654633E-3</v>
      </c>
      <c r="S50" s="441">
        <f>R50*DwellingStocks!$J$28/1000</f>
        <v>1.8896160547770171</v>
      </c>
      <c r="T50" s="442">
        <f>(S50*1000)/E48</f>
        <v>1.8580295523864474</v>
      </c>
      <c r="U50" s="876">
        <f>U24</f>
        <v>0.60949973059968388</v>
      </c>
      <c r="V50" s="876">
        <f t="shared" ref="V50" si="14">AB50/S50/X50</f>
        <v>4.8794584261943356E-3</v>
      </c>
      <c r="W50" s="443">
        <v>20</v>
      </c>
      <c r="X50" s="872">
        <f t="shared" si="13"/>
        <v>0.15768000000000001</v>
      </c>
      <c r="Y50" s="443"/>
      <c r="Z50" s="443"/>
      <c r="AA50" s="443"/>
      <c r="AB50" s="444">
        <f>AC50*U50</f>
        <v>1.4538573740052615E-3</v>
      </c>
      <c r="AC50" s="445">
        <f>IF(((D48+I48)*$B$2)&lt;=0,0,((D48+I48)*T50*$B$2))</f>
        <v>2.3853289854202531E-3</v>
      </c>
      <c r="AD50" s="867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LEFT(SETUP!B3,1)&amp;"-"&amp;RIGHT(COMM!$O$16,6)&amp;"_"&amp;RIGHT(O51,LEN(O51)-3)&amp;"_"&amp;SETUP!B64</f>
        <v>R-WH_Att_SOL_X0</v>
      </c>
      <c r="N51" s="332" t="str">
        <f>COMM!P16&amp;"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COMM!$O$16</f>
        <v>RSDWH_Att</v>
      </c>
      <c r="R51" s="433">
        <v>0.01</v>
      </c>
      <c r="S51" s="434">
        <f>R51*DwellingStocks!$J$28/1000</f>
        <v>7.6635172099999984</v>
      </c>
      <c r="T51" s="435">
        <f>MAX(T33:T50)</f>
        <v>2.7897552870931479</v>
      </c>
      <c r="U51" s="874">
        <v>1</v>
      </c>
      <c r="V51" s="874">
        <f>AB51/S51/X51</f>
        <v>0.22019827509567122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766.35172099999966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8.3063943553776554</v>
      </c>
      <c r="AC54" s="426">
        <f>SUM(AC31:AC52)</f>
        <v>9.7997417779615574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LEFT(SETUP!B3,1)&amp;"-"&amp;RIGHT(COMM!$O$19,6)&amp;"_"&amp;SETUP!B64</f>
        <v>R-LT_Att_X0</v>
      </c>
      <c r="N59" s="332" t="str">
        <f>COMM!$P$19&amp;" "&amp;SETUP!$C$64</f>
        <v>Residential Lighting Attached Existing 00</v>
      </c>
      <c r="O59" s="332" t="str">
        <f>COMM!E24</f>
        <v>RSDELC</v>
      </c>
      <c r="P59" s="332"/>
      <c r="Q59" s="332" t="str">
        <f>COMM!$O$19</f>
        <v>RSDLT_Att</v>
      </c>
      <c r="R59" s="332">
        <v>1</v>
      </c>
      <c r="S59" s="435">
        <f>DwellingStocks!J28/1000</f>
        <v>766.35172099999977</v>
      </c>
      <c r="T59" s="332">
        <f>(S59*1000)/SUM(G54:G62)-0.188</f>
        <v>1.6588175598494301</v>
      </c>
      <c r="U59" s="874">
        <v>0.4</v>
      </c>
      <c r="V59" s="874">
        <f>AB59/S59/X59</f>
        <v>0.29754218668175686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0.70111282274148767</v>
      </c>
      <c r="AC59" s="438">
        <f>(D54+D55+D56+D57+D58+D59+D60+D61+D62)*T59*$B$2</f>
        <v>1.7527820568537191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LEFT(SETUP!B3,1)&amp;"-"&amp;RIGHT(COMM!$O$22,6)&amp;"_"&amp;SETUP!$B$64</f>
        <v>R-PF_Att_X0</v>
      </c>
      <c r="N60" s="439" t="str">
        <f>COMM!$P$22&amp;" "&amp;SETUP!$C$64</f>
        <v>Residential Pumps &amp; Fans Attached Existing 00</v>
      </c>
      <c r="O60" s="439" t="str">
        <f>COMM!E24</f>
        <v>RSDELC</v>
      </c>
      <c r="P60" s="439"/>
      <c r="Q60" s="439" t="str">
        <f>COMM!$O$22</f>
        <v>RSDPF_Att</v>
      </c>
      <c r="R60" s="439">
        <v>1</v>
      </c>
      <c r="S60" s="880">
        <f>DwellingStocks!J28/1000</f>
        <v>766.35172099999977</v>
      </c>
      <c r="T60" s="439">
        <f>(S60*1000)/SUM(G54:G62)-0.188</f>
        <v>1.6588175598494301</v>
      </c>
      <c r="U60" s="881">
        <v>0.6</v>
      </c>
      <c r="V60" s="881">
        <f>AB60/S60/X60</f>
        <v>0.24100352965976166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0.29122466305738604</v>
      </c>
      <c r="AC60" s="445">
        <f>(F54+F55+F56+F57+F58+F59+F60+F61+F62)*T60*$B$2</f>
        <v>0.48537443842897676</v>
      </c>
      <c r="AD60" s="866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" zoomScale="60" zoomScaleNormal="6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8" t="s">
        <v>643</v>
      </c>
      <c r="C4" s="1139"/>
      <c r="D4" s="1139"/>
      <c r="E4" s="1139"/>
      <c r="F4" s="1139"/>
      <c r="G4" s="1140"/>
      <c r="H4" s="1138" t="s">
        <v>644</v>
      </c>
      <c r="I4" s="1139"/>
      <c r="J4" s="1140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LEFT(SETUP!B3,1)&amp;"-"&amp;RIGHT(COMM!$O$11,6)&amp;"_"&amp;RIGHT(O7,LEN(O7)-3)&amp;"_"&amp;SETUP!$B$64</f>
        <v>R-SH_Det_COA_X0</v>
      </c>
      <c r="N7" s="332" t="str">
        <f>COMM!$P$11&amp;"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COMM!$O$11</f>
        <v>RSDSH_Det</v>
      </c>
      <c r="R7" s="433">
        <f>(E7+E14+E16)/SUM($E$7:$E$25)</f>
        <v>6.0080307972788707E-3</v>
      </c>
      <c r="S7" s="434">
        <f>R7*DwellingStocks!$K$28/1000</f>
        <v>4.3523961222963861</v>
      </c>
      <c r="T7" s="435">
        <f>(S7*1000)/(E7+E14+E16)*DwellingStocks!$V$27+1.1037</f>
        <v>3.049421603110841</v>
      </c>
      <c r="U7" s="874">
        <f>(G7+G14+G16)/300</f>
        <v>0.61986329460013678</v>
      </c>
      <c r="V7" s="874">
        <f>AB7/S7/X7</f>
        <v>0.47278411842156054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1.9467902199625406</v>
      </c>
      <c r="AC7" s="438">
        <f>IF(((D7+I7+D14+I14+D16+I16)*$B$2)&lt;=0,0,((D7+I7+D14+I14+D16+I16)*T7*$B$2))</f>
        <v>3.1406767216606717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0">
        <f>E8/SUM($E$7:$E$25)</f>
        <v>0</v>
      </c>
      <c r="S8" s="441">
        <f>R8*DwellingStocks!$K$28/1000</f>
        <v>0</v>
      </c>
      <c r="T8" s="442">
        <f>IFERROR((S8*1000)/E8*DwellingStocks!$V$27,0)</f>
        <v>0</v>
      </c>
      <c r="U8" s="875">
        <v>0.9</v>
      </c>
      <c r="V8" s="876">
        <f>IFERROR(AB8/S8/X8,0)</f>
        <v>0</v>
      </c>
      <c r="W8" s="443">
        <v>20</v>
      </c>
      <c r="X8" s="872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67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LEFT(SETUP!B3,1)&amp;"-"&amp;RIGHT(COMM!$O$11,6)&amp;"_"&amp;RIGHT(O9,LEN(O9)-3)&amp;"_"&amp;SETUP!B64</f>
        <v>R-SH_Det_ETH_X0</v>
      </c>
      <c r="N9" s="332" t="str">
        <f>COMM!$P$11&amp;"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COMM!$O$11</f>
        <v>RSDSH_Det</v>
      </c>
      <c r="R9" s="433">
        <f>E9/SUM($E$7:$E$25)</f>
        <v>0</v>
      </c>
      <c r="S9" s="434">
        <f>R9*DwellingStocks!$K$28/1000</f>
        <v>0</v>
      </c>
      <c r="T9" s="435">
        <f>IFERROR((S9*1000)/E9*DwellingStocks!$V$27,0)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0">
        <f>(E10+E11)/SUM($E$7:$E$25)</f>
        <v>2.2058324983614461E-2</v>
      </c>
      <c r="S10" s="441">
        <f>(R10)*DwellingStocks!$K$28/1000</f>
        <v>15.979706390073751</v>
      </c>
      <c r="T10" s="442">
        <f>(S10*1000)/(E10+E11)*DwellingStocks!$V$27+0.5842</f>
        <v>2.5299216031108407</v>
      </c>
      <c r="U10" s="876">
        <f>(G10+G11)/200</f>
        <v>0.82661774762699336</v>
      </c>
      <c r="V10" s="876">
        <f t="shared" ref="V10:V12" si="2">AB10/S10/X10</f>
        <v>7.0854130591549908E-2</v>
      </c>
      <c r="W10" s="443">
        <v>20</v>
      </c>
      <c r="X10" s="872">
        <f t="shared" si="1"/>
        <v>0.94608000000000003</v>
      </c>
      <c r="Y10" s="443"/>
      <c r="Z10" s="443"/>
      <c r="AA10" s="443"/>
      <c r="AB10" s="444">
        <f>AC10*U10</f>
        <v>1.0711784586508273</v>
      </c>
      <c r="AC10" s="445">
        <f>IF(((D10+I10+D11+I11)*T10*$B$2)&lt;=0,0,((D10+I10+D11+I11)*T10*$B$2))</f>
        <v>1.2958570775015474</v>
      </c>
      <c r="AD10" s="867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LEFT(SETUP!B3,1)&amp;"-"&amp;RIGHT(COMM!$O$11,6)&amp;"_"&amp;RIGHT(O12,LEN(O12)-3)&amp;"_"&amp;SETUP!B64</f>
        <v>R-SH_Det_ELC_X0</v>
      </c>
      <c r="N11" s="332" t="str">
        <f>COMM!$P$11&amp;"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COMM!$O$11</f>
        <v>RSDSH_Det</v>
      </c>
      <c r="R11" s="433">
        <f>(ArchetypeDemand!P52*SUM(E12+E25))/SUM($E$7:$E$25)</f>
        <v>4.7184700803833086E-2</v>
      </c>
      <c r="S11" s="434">
        <f>(R11)*DwellingStocks!$K$28/1000</f>
        <v>34.182000016266883</v>
      </c>
      <c r="T11" s="435">
        <f>(S11*1000)/(E25)*DwellingStocks!$V$27-0.482</f>
        <v>3.3873573045511902</v>
      </c>
      <c r="U11" s="874">
        <f>(G25)/100</f>
        <v>0.99952095808383234</v>
      </c>
      <c r="V11" s="874">
        <f t="shared" si="2"/>
        <v>4.5630448521753353E-2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1.4756388117381141</v>
      </c>
      <c r="AC11" s="438">
        <f>IF(((D25+I25)*T11*$B$2)&lt;=0,0,((D25+I25)*T11*$B$2))</f>
        <v>1.4763460433756592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0">
        <f>(ArchetypeDemand!Q52*SUM(E12+E25))/SUM($E$7:$E$25)</f>
        <v>2.0222014630214179E-2</v>
      </c>
      <c r="S12" s="441">
        <f>R12*DwellingStocks!$K$28/1000</f>
        <v>14.649428578400091</v>
      </c>
      <c r="T12" s="442">
        <f>(S12*1000)/E12*DwellingStocks!$V$27+0.392</f>
        <v>1.2927939312090846</v>
      </c>
      <c r="U12" s="876">
        <f>G12/100</f>
        <v>3.0897837837837834</v>
      </c>
      <c r="V12" s="876">
        <f t="shared" si="2"/>
        <v>0.13766734761320296</v>
      </c>
      <c r="W12" s="443">
        <v>20</v>
      </c>
      <c r="X12" s="872">
        <f t="shared" si="1"/>
        <v>0.31536000000000003</v>
      </c>
      <c r="Y12" s="443"/>
      <c r="Z12" s="443"/>
      <c r="AA12" s="443"/>
      <c r="AB12" s="444">
        <f>AC12*U12</f>
        <v>0.63600164184929697</v>
      </c>
      <c r="AC12" s="445">
        <f>IF(((D12+I12)*T12*$B$2)&lt;=0,0,((D12+I12)*T12*$B$2))</f>
        <v>0.20584017729241957</v>
      </c>
      <c r="AD12" s="867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79"/>
      <c r="V13" s="879"/>
      <c r="X13" s="873">
        <f t="shared" si="1"/>
        <v>0.63072000000000006</v>
      </c>
      <c r="AA13" s="923">
        <f>AC13/AB12</f>
        <v>0.18921147596387924</v>
      </c>
      <c r="AC13" s="864">
        <f>RSD_Balance!H22</f>
        <v>0.12033880936975599</v>
      </c>
      <c r="AD13" s="864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LEFT(SETUP!B3,1)&amp;"-"&amp;RIGHT(COMM!$O$11,6)&amp;"_"&amp;RIGHT(O14,LEN(O14)-3)&amp;"_"&amp;SETUP!B64</f>
        <v>R-SH_Det_KER_X0</v>
      </c>
      <c r="N14" s="332" t="str">
        <f>COMM!$P$11&amp;"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COMM!$O$11</f>
        <v>RSDSH_Det</v>
      </c>
      <c r="R14" s="433">
        <f>E13/SUM($E$7:$E$25)</f>
        <v>0.69522898319258097</v>
      </c>
      <c r="S14" s="434">
        <f>R14*DwellingStocks!$K$28/1000</f>
        <v>503.64454388714694</v>
      </c>
      <c r="T14" s="435">
        <f>(S14*1000)/E13*DwellingStocks!$V$27+0.2413</f>
        <v>2.1870216031108405</v>
      </c>
      <c r="U14" s="874">
        <f>G13/100</f>
        <v>0.82280373831775711</v>
      </c>
      <c r="V14" s="874">
        <f>AB14/S14/X14</f>
        <v>4.9278843201866235E-2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23.480778921915501</v>
      </c>
      <c r="AC14" s="438">
        <f>IF(((D13+I13)*$B$2)&lt;=0,0,((D13+I13)*T14*$B$2))</f>
        <v>28.537520952350732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LEFT(SETUP!B3,1)&amp;"-"&amp;RIGHT(COMM!$O$11,6)&amp;"_"&amp;RIGHT(O16,LEN(O16)-3)&amp;"_"&amp;SETUP!B64</f>
        <v>R-SH_Det_GAS,RSDBGS_X0</v>
      </c>
      <c r="N16" s="332" t="str">
        <f>COMM!$P$11&amp;"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COMM!$O$11</f>
        <v>RSDSH_Det</v>
      </c>
      <c r="R16" s="433">
        <f>E15/SUM($E$7:$E$25)</f>
        <v>0.15689058980405157</v>
      </c>
      <c r="S16" s="434">
        <f>R16*DwellingStocks!$K$28/1000</f>
        <v>113.65620745439924</v>
      </c>
      <c r="T16" s="435">
        <f>(S16*1000)/E15*DwellingStocks!$V$27</f>
        <v>1.9457216031108406</v>
      </c>
      <c r="U16" s="874">
        <f>G15/100</f>
        <v>0.82728758169934635</v>
      </c>
      <c r="V16" s="874">
        <f>AB16/S16/X16</f>
        <v>3.9151690301129409E-2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4.2098976593733592</v>
      </c>
      <c r="AC16" s="438">
        <f>IF(((D15+I15)*$B$2)&lt;=0,0,((D15+I15)*T16*$B$2))</f>
        <v>5.0887959066492119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R-SH_Det_GAS,RSDBGS_X0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LEFT(SETUP!B3,1)&amp;"-"&amp;RIGHT(COMM!$O$11,6)&amp;"_"&amp;RIGHT(O18,LEN(O18)-3)&amp;"_"&amp;SETUP!B64</f>
        <v>R-SH_Det_PEA_X0</v>
      </c>
      <c r="N18" s="332" t="str">
        <f>COMM!$P$11&amp;"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COMM!$O$11</f>
        <v>RSDSH_Det</v>
      </c>
      <c r="R18" s="433">
        <f>(E17+E18)/SUM($E$7:$E$25)</f>
        <v>2.90419545122383E-3</v>
      </c>
      <c r="S18" s="434">
        <f>R18*DwellingStocks!$K$28/1000</f>
        <v>2.1038855236931115</v>
      </c>
      <c r="T18" s="435">
        <f>(S18*1000)/(E17+E18)*DwellingStocks!$V$27+0.16</f>
        <v>2.1057216031108408</v>
      </c>
      <c r="U18" s="874">
        <f>(G17+G18)/200</f>
        <v>0.5457894736842106</v>
      </c>
      <c r="V18" s="874">
        <f>AB18/S18/X18</f>
        <v>0.10042021043323532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0.19988080696795932</v>
      </c>
      <c r="AC18" s="438">
        <f>IF(((D17+I17)+D18+I18*$B$2)&lt;=0,0,((D17+I17+D18+I18)*T18*$B$2))</f>
        <v>0.36622327216887429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0">
        <f>E19/SUM($E$7:$E$25)</f>
        <v>4.3826607101153388E-2</v>
      </c>
      <c r="S20" s="441">
        <f>R20*DwellingStocks!$K$28/1000</f>
        <v>31.749297105278025</v>
      </c>
      <c r="T20" s="442">
        <f>(S20*1000)/E19*DwellingStocks!$V$27-0.1377</f>
        <v>1.8080216031108407</v>
      </c>
      <c r="U20" s="875">
        <f>G19/100</f>
        <v>0.61474226804123711</v>
      </c>
      <c r="V20" s="876">
        <f>SUM(AB20:AB22)/S20/X20</f>
        <v>0.13720876081054353</v>
      </c>
      <c r="W20" s="443">
        <v>20</v>
      </c>
      <c r="X20" s="872">
        <f>31.536*(AD20/1000)</f>
        <v>0.94608000000000003</v>
      </c>
      <c r="Y20" s="577">
        <f>RSD_Balance!$H$2</f>
        <v>0.19400000000000001</v>
      </c>
      <c r="Z20" s="443">
        <v>5</v>
      </c>
      <c r="AA20" s="443"/>
      <c r="AB20" s="444">
        <f>AC20*$U$20</f>
        <v>0.7995498544825238</v>
      </c>
      <c r="AC20" s="445">
        <f>IF(((D19+I19)*$B$2)&lt;=0,0,((D19+I19)*T20*$B$2))*Y20</f>
        <v>1.3006261258561933</v>
      </c>
      <c r="AD20" s="867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3.0663149058505033</v>
      </c>
      <c r="AC21" s="438">
        <f>IF(((D19+I19)*$B$2)&lt;=0,0,((D19+I19)*T20*$B$2))*Y21</f>
        <v>4.9879682352423078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0.2555262421542086</v>
      </c>
      <c r="AC22" s="445">
        <f>IF(((D19+I19)*$B$2)&lt;=0,0,((D19+I19)*T20*$B$2))*Y22</f>
        <v>0.41566401960352567</v>
      </c>
      <c r="AD22" s="867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LEFT(SETUP!B3,1)&amp;"-"&amp;RIGHT(COMM!$O$11,6)&amp;"_"&amp;RIGHT(O23,LEN(O23)-3)&amp;"_"&amp;SETUP!B64</f>
        <v>R-SH_Det_WOO_X0</v>
      </c>
      <c r="N23" s="332" t="str">
        <f>COMM!$P$11&amp;"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COMM!$O$11</f>
        <v>RSDSH_Det</v>
      </c>
      <c r="R23" s="433">
        <f>(E20+E21+E22+E23)/SUM($E$7:$E$25)</f>
        <v>4.9608630470321458E-3</v>
      </c>
      <c r="S23" s="434">
        <f>R23*DwellingStocks!$K$28/1000</f>
        <v>3.5937966727676112</v>
      </c>
      <c r="T23" s="435">
        <f>(S23*1000)/(E20+E21+E22+E23)*DwellingStocks!$V$27+0.2475</f>
        <v>2.1932216031108407</v>
      </c>
      <c r="U23" s="874">
        <f>(G21+G22+G23)/300</f>
        <v>0.72928609692169366</v>
      </c>
      <c r="V23" s="874">
        <f>AB23/S23/X23</f>
        <v>9.6348966878171544E-2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0.32758833306316304</v>
      </c>
      <c r="AC23" s="438">
        <f>IF(((D20+I20+D21+I21+D22+I22+D23+I23)*$B$2)&lt;=0,0,((D20+I20+D21+I21+D22+I22+D23+I23)*T23*$B$2))</f>
        <v>0.44919042670072662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39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0">
        <f>E24/SUM($E$7:$E$25)</f>
        <v>7.156901890175457E-4</v>
      </c>
      <c r="S24" s="441">
        <f>R24*DwellingStocks!$K$28/1000</f>
        <v>0.51846724967793933</v>
      </c>
      <c r="T24" s="442">
        <f>(S24*1000)/E24*DwellingStocks!$V$27</f>
        <v>1.9457216031108402</v>
      </c>
      <c r="U24" s="876">
        <f>G24/100</f>
        <v>0.65865731206453049</v>
      </c>
      <c r="V24" s="876">
        <f>AB24/S24/X24</f>
        <v>0.20082509173370536</v>
      </c>
      <c r="W24" s="443">
        <v>20</v>
      </c>
      <c r="X24" s="872">
        <f t="shared" si="3"/>
        <v>0.94608000000000003</v>
      </c>
      <c r="Y24" s="443"/>
      <c r="Z24" s="443"/>
      <c r="AA24" s="443"/>
      <c r="AB24" s="444">
        <f>AC24*U24</f>
        <v>9.8507016095347608E-2</v>
      </c>
      <c r="AC24" s="445">
        <f>IF(((D24+I24)*$B$2)&lt;=0,0,((D24+I24)*T24*$B$2))</f>
        <v>0.14955731044202938</v>
      </c>
      <c r="AD24" s="867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724.42972899999995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37.567652872103345</v>
      </c>
      <c r="AC27" s="426">
        <f>SUM(AC6:AC25)</f>
        <v>47.534605078213644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8" t="s">
        <v>643</v>
      </c>
      <c r="C28" s="1139"/>
      <c r="D28" s="1139"/>
      <c r="E28" s="1139"/>
      <c r="F28" s="1139"/>
      <c r="G28" s="1140"/>
      <c r="H28" s="1138" t="s">
        <v>644</v>
      </c>
      <c r="I28" s="1139"/>
      <c r="J28" s="1140"/>
      <c r="K28" s="297"/>
      <c r="L28" s="297"/>
      <c r="M28" s="297"/>
      <c r="N28" s="297"/>
      <c r="O28" s="297"/>
      <c r="P28" s="297"/>
      <c r="Q28" s="297"/>
      <c r="R28" s="297"/>
      <c r="S28" s="297"/>
      <c r="T28" s="499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LEFT(SETUP!B3,1)&amp;"-"&amp;RIGHT(COMM!$O$17,6)&amp;"_"&amp;RIGHT(O33,LEN(O33)-3)&amp;"_"&amp;SETUP!$B$64</f>
        <v>R-WH_Det_COA_X0</v>
      </c>
      <c r="N33" s="332" t="str">
        <f>COMM!$P$17&amp;"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COMM!$O$17</f>
        <v>RSDWH_Det</v>
      </c>
      <c r="R33" s="433">
        <f>(E31+E38+E40)/SUM($E$31:$E$49)-($R$51/7)</f>
        <v>4.2750604037060293E-3</v>
      </c>
      <c r="S33" s="434">
        <f>R33*DwellingStocks!$K$28/1000</f>
        <v>3.096980849715389</v>
      </c>
      <c r="T33" s="500">
        <f>IFERROR((S33*1000)/(E31+E38+E40),0)+1.1037</f>
        <v>3.1697312539795788</v>
      </c>
      <c r="U33" s="874">
        <f>U7</f>
        <v>0.61986329460013678</v>
      </c>
      <c r="V33" s="874">
        <f>IFERROR(AB33/S33/X33,0)</f>
        <v>7.2518315131287633E-2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5.666081526620232E-2</v>
      </c>
      <c r="AC33" s="438">
        <f>IF(((D31+I31+D38+I38+D40+I40)*$B$2)&lt;=0,0,((D31+I31+D38+I38+D40+I40)*T33*$B$2))</f>
        <v>9.1408566630410415E-2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39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0">
        <f>E32/SUM($E$31:$E$49)</f>
        <v>7.6099157201833988E-6</v>
      </c>
      <c r="S34" s="441">
        <f>R34*DwellingStocks!$K$28/1000</f>
        <v>5.5128491828852991E-3</v>
      </c>
      <c r="T34" s="442">
        <f>IFERROR((S34*1000)/E32,0)</f>
        <v>2.7564245914426495</v>
      </c>
      <c r="U34" s="875">
        <v>0.9</v>
      </c>
      <c r="V34" s="876">
        <f>AB34/S34/X34</f>
        <v>4.2328767123287675E-2</v>
      </c>
      <c r="W34" s="443">
        <v>20</v>
      </c>
      <c r="X34" s="872">
        <f t="shared" si="4"/>
        <v>0.25228800000000001</v>
      </c>
      <c r="Y34" s="443"/>
      <c r="Z34" s="443"/>
      <c r="AA34" s="443"/>
      <c r="AB34" s="444">
        <f>AC34*U34</f>
        <v>5.8871936937999427E-5</v>
      </c>
      <c r="AC34" s="445">
        <f>IF(((D32+I32)*$B$2)&lt;=0,0,((D32+I32)*T34*$B$2))</f>
        <v>6.5413263264443806E-5</v>
      </c>
      <c r="AD34" s="867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LEFT(SETUP!B3,1)&amp;"-"&amp;RIGHT(COMM!$O$17,6)&amp;"_"&amp;RIGHT(O35,LEN(O35)-3)&amp;"_"&amp;SETUP!$B$64</f>
        <v>R-WH_Det_ETH_X0</v>
      </c>
      <c r="N35" s="332" t="str">
        <f>COMM!$P$17&amp;"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COMM!$O$17</f>
        <v>RSDWH_Det</v>
      </c>
      <c r="R35" s="433">
        <f>E33/SUM($E$31:$E$49)</f>
        <v>7.6099157201833988E-6</v>
      </c>
      <c r="S35" s="434">
        <f>R35*DwellingStocks!$K$28/1000</f>
        <v>5.5128491828852991E-3</v>
      </c>
      <c r="T35" s="435">
        <f>IFERROR((S35*1000)/E33,0)</f>
        <v>2.7564245914426495</v>
      </c>
      <c r="U35" s="877">
        <v>0.9</v>
      </c>
      <c r="V35" s="874">
        <f>IFERROR(AB35/S35/X35,0)</f>
        <v>4.7947345890410963E-2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6.6686400654739344E-5</v>
      </c>
      <c r="AC35" s="438">
        <f>IF(((D33+I33)*$B$2)&lt;=0,0,((D33+I33)*T35*$B$2))</f>
        <v>7.4096000727488155E-5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39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0">
        <f>(E34+E35)/SUM($E$31:$E$49)-($R$51/7)</f>
        <v>2.0773357685063637E-2</v>
      </c>
      <c r="S36" s="441">
        <f>(R36)*DwellingStocks!$K$28/1000</f>
        <v>15.048837878210716</v>
      </c>
      <c r="T36" s="442">
        <f>IFERROR((S36*1000)/(E34+E35),0)+0.5842</f>
        <v>3.1632639037207739</v>
      </c>
      <c r="U36" s="876">
        <f>U10</f>
        <v>0.82661774762699336</v>
      </c>
      <c r="V36" s="876">
        <f t="shared" ref="V36:V44" si="6">AB36/S36/X36</f>
        <v>6.8787509731139285E-2</v>
      </c>
      <c r="W36" s="443">
        <v>20</v>
      </c>
      <c r="X36" s="872">
        <f t="shared" si="4"/>
        <v>0.25228800000000001</v>
      </c>
      <c r="Y36" s="443"/>
      <c r="Z36" s="443"/>
      <c r="AA36" s="443"/>
      <c r="AB36" s="444">
        <f>AC36*U36</f>
        <v>0.2611614942210318</v>
      </c>
      <c r="AC36" s="445">
        <f>IF(((D34+I34+D35+I35)*$B$2)&lt;=0,0,((D34+I34+D35+I35)*T36*$B$2))</f>
        <v>0.31593985850262613</v>
      </c>
      <c r="AD36" s="867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LEFT(SETUP!B3,1)&amp;"-"&amp;RIGHT(COMM!$O$17,6)&amp;"_"&amp;RIGHT(O38,LEN(O38)-3)&amp;"_"&amp;SETUP!$B$64</f>
        <v>R-WH_Det_ELC_X0</v>
      </c>
      <c r="N37" s="332" t="str">
        <f>COMM!$P$17&amp;"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COMM!$O$17</f>
        <v>RSDWH_Det</v>
      </c>
      <c r="R37" s="433">
        <f>(ArchetypeDemand!P52*SUM(E36+E49))/SUM($E$31:$E$49)-($R$51/7)</f>
        <v>4.604512680022068E-2</v>
      </c>
      <c r="S37" s="434">
        <f>R37*DwellingStocks!$K$28/1000</f>
        <v>33.356458729654499</v>
      </c>
      <c r="T37" s="435">
        <f>IFERROR((S37*1000)/E49,0)-0.482</f>
        <v>4.8135165470161132</v>
      </c>
      <c r="U37" s="874">
        <f>U11</f>
        <v>0.99952095808383234</v>
      </c>
      <c r="V37" s="874">
        <f t="shared" si="6"/>
        <v>4.6514457045213335E-2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0.39143935540298547</v>
      </c>
      <c r="AC37" s="438">
        <f>IF(((D49+I49)*$B$2)&lt;=0,0,((D49+I49)*T37*$B$2))</f>
        <v>0.39162696113286949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39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0">
        <f>(ArchetypeDemand!Q52*SUM(E36+E49)/SUM($E$31:$E$49)-($R$51/7))</f>
        <v>1.8917299240910908E-2</v>
      </c>
      <c r="S38" s="441">
        <f>R38*DwellingStocks!$K$28/1000</f>
        <v>13.704253962504994</v>
      </c>
      <c r="T38" s="442">
        <f>IFERROR((S38*1000)/E36,0)+0.392</f>
        <v>1.5810892809114963</v>
      </c>
      <c r="U38" s="876">
        <f>U12</f>
        <v>3.0897837837837834</v>
      </c>
      <c r="V38" s="876">
        <f t="shared" si="6"/>
        <v>0.45983560612561974</v>
      </c>
      <c r="W38" s="443">
        <v>20</v>
      </c>
      <c r="X38" s="872">
        <f t="shared" si="4"/>
        <v>6.3072000000000003E-2</v>
      </c>
      <c r="Y38" s="443"/>
      <c r="Z38" s="443"/>
      <c r="AA38" s="443"/>
      <c r="AB38" s="444">
        <f>AC38*U38</f>
        <v>0.39746107010568743</v>
      </c>
      <c r="AC38" s="445">
        <f>IF(((D49+I49)*$B$2)&lt;=0,0,((D49+I49)*T38*$B$2))</f>
        <v>0.12863717914233863</v>
      </c>
      <c r="AD38" s="867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4"/>
        <v>0.18921600000000002</v>
      </c>
      <c r="Y39" s="443"/>
      <c r="Z39" s="443"/>
      <c r="AA39" s="443">
        <f>AC39/AB38</f>
        <v>0.22070399655275286</v>
      </c>
      <c r="AB39" s="444"/>
      <c r="AC39" s="445">
        <f>RSD_Balance!K22</f>
        <v>8.7721246646459097E-2</v>
      </c>
      <c r="AD39" s="867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LEFT(SETUP!B3,1)&amp;"-"&amp;RIGHT(COMM!$O$17,6)&amp;"_"&amp;RIGHT(O40,LEN(O40)-3)&amp;"_"&amp;SETUP!$B$64</f>
        <v>R-WH_Det_KER_X0</v>
      </c>
      <c r="N40" s="332" t="str">
        <f>COMM!$P$17&amp;"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COMM!$O$17</f>
        <v>RSDWH_Det</v>
      </c>
      <c r="R40" s="433">
        <f>E37/SUM($E$31:$E$49)-($R$51/7)</f>
        <v>0.69549131518368434</v>
      </c>
      <c r="S40" s="434">
        <f>R40*DwellingStocks!$K$28/1000</f>
        <v>503.83458498037004</v>
      </c>
      <c r="T40" s="500">
        <f>IFERROR((S40*1000)/E37,0)-0.1727</f>
        <v>2.5780743732583358</v>
      </c>
      <c r="U40" s="874">
        <f>U14</f>
        <v>0.82280373831775711</v>
      </c>
      <c r="V40" s="874">
        <f t="shared" si="6"/>
        <v>5.3657823067608468E-2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6.8205220721877682</v>
      </c>
      <c r="AC40" s="438">
        <f>IF(((D37+I37)*$B$2)&lt;=0,0,((D37+I37)*T40*$B$2))</f>
        <v>8.2893668982745474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R-WH_Det_GAS,RSDBGS_X0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LEFT(SETUP!B3,1)&amp;"-"&amp;RIGHT(COMM!$O$17,6)&amp;"_"&amp;RIGHT(O42,LEN(O42)-3)&amp;"_"&amp;SETUP!$B$64</f>
        <v>R-WH_Det_GAS,RSDBGS_X0</v>
      </c>
      <c r="N42" s="332" t="str">
        <f>COMM!$P$17&amp;"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COMM!$O$17</f>
        <v>RSDWH_Det</v>
      </c>
      <c r="R42" s="433">
        <f>E39/SUM($E$31:$E$49)-($R$51/7)</f>
        <v>0.15662937807963778</v>
      </c>
      <c r="S42" s="434">
        <f>R42*DwellingStocks!$K$28/1000</f>
        <v>113.46697791567054</v>
      </c>
      <c r="T42" s="500">
        <f>IFERROR((S42*1000)/E39,0)-0.441</f>
        <v>2.2905112642193197</v>
      </c>
      <c r="U42" s="874">
        <f>U16</f>
        <v>0.82728758169934635</v>
      </c>
      <c r="V42" s="874">
        <f t="shared" si="6"/>
        <v>4.6985228618266657E-2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1.3450159246005033</v>
      </c>
      <c r="AC42" s="438">
        <f>IF(((D39+I39)*$B$2)&lt;=0,0,((D39+I39)*T42*$B$2))</f>
        <v>1.6258142323829905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LEFT(SETUP!B3,1)&amp;"-"&amp;RIGHT(COMM!$O$17,6)&amp;"_"&amp;RIGHT(O44,LEN(O44)-3)&amp;"_"&amp;SETUP!$B$64</f>
        <v>R-WH_Det_PEA_X0</v>
      </c>
      <c r="N44" s="332" t="str">
        <f>COMM!$P$17&amp;"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COMM!$O$17</f>
        <v>RSDWH_Det</v>
      </c>
      <c r="R44" s="433">
        <f>(E41+E42)/SUM($E$31:$E$49)</f>
        <v>3.0135266251926258E-3</v>
      </c>
      <c r="S44" s="434">
        <f>R44*DwellingStocks!$K$28/1000</f>
        <v>2.1830882764225783</v>
      </c>
      <c r="T44" s="435">
        <f>IFERROR((S38*1000)/E36,0)+0.16</f>
        <v>1.349089280911496</v>
      </c>
      <c r="U44" s="874">
        <f>U18</f>
        <v>0.5457894736842106</v>
      </c>
      <c r="V44" s="874">
        <f t="shared" si="6"/>
        <v>2.3631578918934824E-2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1.3015493237595644E-2</v>
      </c>
      <c r="AC44" s="438">
        <f>IF(((D41+I41+D42+I42)*$B$2)&lt;=0,0,((D41+I41+D42+I42)*T44*$B$2))</f>
        <v>2.384709464940378E-2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0">
        <f>E43/SUM($E$31:$E$49)-($R$51/7)</f>
        <v>3.9265452885109291E-2</v>
      </c>
      <c r="S46" s="441">
        <f>R46*DwellingStocks!$K$28/1000</f>
        <v>28.445061392621987</v>
      </c>
      <c r="T46" s="442">
        <f>(S46*1000)/E43-0.1377</f>
        <v>2.5219597842563801</v>
      </c>
      <c r="U46" s="875">
        <f>U20</f>
        <v>0.61474226804123711</v>
      </c>
      <c r="V46" s="876">
        <f>SUM(AB46:AB48)/S46/X46</f>
        <v>4.4737576657325105E-2</v>
      </c>
      <c r="W46" s="443">
        <v>20</v>
      </c>
      <c r="X46" s="872">
        <f t="shared" ref="X46" si="9">31.536*(AD46/1000)</f>
        <v>0.25228800000000001</v>
      </c>
      <c r="Y46" s="577">
        <f>RSD_Balance!$H$2</f>
        <v>0.19400000000000001</v>
      </c>
      <c r="Z46" s="443">
        <v>5</v>
      </c>
      <c r="AA46" s="443"/>
      <c r="AB46" s="444">
        <f>AC46*$U$46</f>
        <v>6.2284166191667649E-2</v>
      </c>
      <c r="AC46" s="445">
        <f>IF(((D43+I43)*$B$2)&lt;=0,0,((D43+I43)*T46*$B$2))*Y46</f>
        <v>0.10131752675820496</v>
      </c>
      <c r="AD46" s="867">
        <v>8</v>
      </c>
      <c r="AE46" s="579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 t="shared" ref="AB47:AB48" si="10">AC47*$U$46</f>
        <v>0.23886298786907589</v>
      </c>
      <c r="AC47" s="438">
        <f>IF(((D43+I43)*$B$2)&lt;=0,0,((D43+I43)*T46*$B$2))*Y47</f>
        <v>0.38855793767064167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si="10"/>
        <v>1.9905248989089661E-2</v>
      </c>
      <c r="AC48" s="445">
        <f>IF(((D43+I43)*$B$2)&lt;=0,0,((D43+I43)*T46*$B$2))*Y48</f>
        <v>3.2379828139220142E-2</v>
      </c>
      <c r="AD48" s="867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LEFT(SETUP!B3,1)&amp;"-"&amp;RIGHT(COMM!$O$17,6)&amp;"_"&amp;RIGHT(O49,LEN(O49)-3)&amp;"_"&amp;SETUP!B64</f>
        <v>R-WH_Det_WOO_X0</v>
      </c>
      <c r="N49" s="332" t="str">
        <f>COMM!$P$17&amp;"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COMM!$O$17</f>
        <v>RSDWH_Det</v>
      </c>
      <c r="R49" s="433">
        <f>(E47+E44+E45+E46)/SUM($E$31:$E$49)</f>
        <v>4.8513212716169169E-3</v>
      </c>
      <c r="S49" s="434">
        <f>R49*DwellingStocks!$K$28/1000</f>
        <v>3.5144413540893784</v>
      </c>
      <c r="T49" s="435">
        <f>(S49*1000)/(E47+E44+E45+E46)+0.2475</f>
        <v>3.0039245914426496</v>
      </c>
      <c r="U49" s="874">
        <f>U23</f>
        <v>0.72928609692169366</v>
      </c>
      <c r="V49" s="874">
        <f t="shared" ref="V49:V50" si="13">AB49/S49/X49</f>
        <v>5.7798878941989311E-2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5.1247455796048343E-2</v>
      </c>
      <c r="AC49" s="438">
        <f>IF(((D44+I44+D45+I45+D46+I46+D47+I47)*$B$2)&lt;=0,0,((D44+I44+D45+I45+D46+I46+D47+I47)*T49*$B$2))</f>
        <v>7.0270715446740489E-2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39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0">
        <f>E48/SUM($E$31:$E$49)</f>
        <v>7.2294199341742292E-4</v>
      </c>
      <c r="S50" s="441">
        <f>R50*DwellingStocks!$K$28/1000</f>
        <v>0.52372067237410336</v>
      </c>
      <c r="T50" s="442">
        <f>(S50*1000)/E48</f>
        <v>2.7564245914426495</v>
      </c>
      <c r="U50" s="876">
        <f>U24</f>
        <v>0.65865731206453049</v>
      </c>
      <c r="V50" s="876">
        <f t="shared" si="13"/>
        <v>5.1032329364559198E-3</v>
      </c>
      <c r="W50" s="443">
        <v>20</v>
      </c>
      <c r="X50" s="872">
        <f t="shared" si="14"/>
        <v>0.25228800000000001</v>
      </c>
      <c r="Y50" s="443"/>
      <c r="Z50" s="443"/>
      <c r="AA50" s="443"/>
      <c r="AB50" s="444">
        <f>AC50*U50</f>
        <v>6.7428221191252746E-4</v>
      </c>
      <c r="AC50" s="445">
        <f>IF(((D48+I48)*$B$2)&lt;=0,0,((D48+I48)*T50*$B$2))</f>
        <v>1.0237223508519498E-3</v>
      </c>
      <c r="AD50" s="867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LEFT(SETUP!B3,1)&amp;"-"&amp;RIGHT(COMM!$O$17,6)&amp;"_"&amp;RIGHT(O51,LEN(O51)-3)&amp;"_"&amp;SETUP!B64</f>
        <v>R-WH_Det_SOL_X0</v>
      </c>
      <c r="N51" s="332" t="str">
        <f>COMM!$P$17&amp;"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COMM!$O$17</f>
        <v>RSDWH_Det</v>
      </c>
      <c r="R51" s="433">
        <v>0.01</v>
      </c>
      <c r="S51" s="434">
        <f>R51*DwellingStocks!$K$28/1000</f>
        <v>7.2442972899999996</v>
      </c>
      <c r="T51" s="435">
        <f>MAX(T33:T50)</f>
        <v>4.8135165470161132</v>
      </c>
      <c r="U51" s="874">
        <v>1</v>
      </c>
      <c r="V51" s="874">
        <f>AB51/S51/X51</f>
        <v>0.14558807459639667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724.42972899999995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9.924459863358166</v>
      </c>
      <c r="AC54" s="426">
        <f>SUM(AC31:AC52)</f>
        <v>11.8141352159323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LEFT(SETUP!B3,1)&amp;"-"&amp;RIGHT(COMM!$O$20,6)&amp;"_"&amp;SETUP!B64</f>
        <v>R-LT_Det_X0</v>
      </c>
      <c r="N59" s="332" t="str">
        <f>COMM!$P$20&amp;" "&amp;SETUP!$C$64</f>
        <v>Residential Lighting Detached Existing 00</v>
      </c>
      <c r="O59" s="332" t="str">
        <f>COMM!E24</f>
        <v>RSDELC</v>
      </c>
      <c r="P59" s="332"/>
      <c r="Q59" s="332" t="str">
        <f>COMM!$O$20</f>
        <v>RSDLT_Det</v>
      </c>
      <c r="R59" s="332">
        <v>1</v>
      </c>
      <c r="S59" s="435">
        <f>DwellingStocks!K28/1000</f>
        <v>724.42972899999995</v>
      </c>
      <c r="T59" s="332">
        <f>(S59*1000)/SUM(G54:G62)-0.188</f>
        <v>2.540641381440425</v>
      </c>
      <c r="U59" s="874">
        <v>0.4</v>
      </c>
      <c r="V59" s="874">
        <f>AB59/S59/X59</f>
        <v>0.49011428261671697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1.0917038597696378</v>
      </c>
      <c r="AC59" s="438">
        <f>IF(((D54+D55+D56+D57+D58+D59+D60+D61+D62)*$B$2)&lt;=0,0,((D54+D55+D56+D57+D58+D59+D60+D61+D62)*T59*$B$2))</f>
        <v>2.7292596494240944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LEFT(SETUP!B3,1)&amp;"-"&amp;RIGHT(COMM!$O$23,6)&amp;"_"&amp;SETUP!$B$64</f>
        <v>R-PF_Det_X0</v>
      </c>
      <c r="N60" s="439" t="str">
        <f>COMM!$P$23&amp;" "&amp;SETUP!$C$64</f>
        <v>Residential Pumps &amp; Fans Detached Existing 00</v>
      </c>
      <c r="O60" s="439" t="str">
        <f>COMM!E24</f>
        <v>RSDELC</v>
      </c>
      <c r="P60" s="439"/>
      <c r="Q60" s="439" t="str">
        <f>COMM!$O$23</f>
        <v>RSDPF_Det</v>
      </c>
      <c r="R60" s="439">
        <v>1</v>
      </c>
      <c r="S60" s="880">
        <f>DwellingStocks!K28/1000</f>
        <v>724.42972899999995</v>
      </c>
      <c r="T60" s="439">
        <f>(S60*1000)/SUM(G54:G62)-0.188</f>
        <v>2.540641381440425</v>
      </c>
      <c r="U60" s="881">
        <v>0.6</v>
      </c>
      <c r="V60" s="881">
        <f t="shared" ref="V60" si="16">AB60/S60/X60</f>
        <v>0.29839165082681329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0.34084705263126108</v>
      </c>
      <c r="AC60" s="445">
        <f>IF(((F54+F55+F56+F57+F58+F59+F60+F61+F62)*$B$2)&lt;=0,0,((F54+F55+F56+F57+F58+F59+F60+F61+F62)*T60*$B$2))</f>
        <v>0.56807842105210182</v>
      </c>
      <c r="AD60" s="866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1" t="s">
        <v>413</v>
      </c>
      <c r="B1" s="1141"/>
      <c r="C1" s="1141"/>
      <c r="D1" s="1141"/>
      <c r="E1" s="1141"/>
      <c r="F1" s="1141"/>
      <c r="G1" s="1141"/>
      <c r="H1" s="1141"/>
      <c r="I1" s="1141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1" t="s">
        <v>480</v>
      </c>
      <c r="B1" s="1141"/>
      <c r="C1" s="1141"/>
      <c r="D1" s="1141"/>
      <c r="E1" s="1141"/>
      <c r="F1" s="1141"/>
      <c r="G1" s="1141"/>
      <c r="H1" s="1141"/>
      <c r="I1" s="1141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1" t="s">
        <v>482</v>
      </c>
      <c r="B1" s="1141"/>
      <c r="C1" s="1141"/>
      <c r="D1" s="1141"/>
      <c r="E1" s="1141"/>
      <c r="F1" s="1141"/>
      <c r="G1" s="1141"/>
      <c r="H1" s="1141"/>
      <c r="I1" s="1141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2021-12-13T13:30:19Z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370418727397918</vt:r8>
  </property>
</Properties>
</file>