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DDC2ECFB-CB59-4B1A-AF6A-C2E80D7F9F6D}" xr6:coauthVersionLast="45" xr6:coauthVersionMax="47" xr10:uidLastSave="{00000000-0000-0000-0000-000000000000}"/>
  <bookViews>
    <workbookView xWindow="-60" yWindow="-16320" windowWidth="29040" windowHeight="15840" firstSheet="3" activeTab="3" xr2:uid="{2CC7CA6E-3559-4BC7-B5C1-253B80EF543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externalReferences>
    <externalReference r:id="rId9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8" i="55" l="1"/>
  <c r="X38" i="55"/>
  <c r="Y38" i="55"/>
  <c r="W39" i="55"/>
  <c r="X39" i="55"/>
  <c r="Y39" i="55"/>
  <c r="W40" i="55"/>
  <c r="X40" i="55"/>
  <c r="Y40" i="55"/>
  <c r="W41" i="55"/>
  <c r="X41" i="55"/>
  <c r="Y41" i="55"/>
  <c r="W42" i="55"/>
  <c r="X42" i="55"/>
  <c r="Y42" i="55"/>
  <c r="W43" i="55"/>
  <c r="X43" i="55"/>
  <c r="Y43" i="55"/>
  <c r="V39" i="55"/>
  <c r="V40" i="55"/>
  <c r="V41" i="55"/>
  <c r="V42" i="55"/>
  <c r="V43" i="55"/>
  <c r="V38" i="55"/>
  <c r="V32" i="55"/>
  <c r="W36" i="55"/>
  <c r="X36" i="55"/>
  <c r="Y36" i="55"/>
  <c r="W37" i="55"/>
  <c r="X37" i="55"/>
  <c r="Y37" i="55"/>
  <c r="V37" i="55"/>
  <c r="V36" i="55"/>
  <c r="V35" i="55"/>
  <c r="W35" i="55"/>
  <c r="X35" i="55"/>
  <c r="Y35" i="55"/>
  <c r="V29" i="55"/>
  <c r="V34" i="55"/>
  <c r="W33" i="55"/>
  <c r="X33" i="55"/>
  <c r="Y33" i="55"/>
  <c r="W34" i="55"/>
  <c r="X34" i="55"/>
  <c r="Y34" i="55"/>
  <c r="V33" i="55"/>
  <c r="W32" i="55"/>
  <c r="X32" i="55"/>
  <c r="Y32" i="55"/>
  <c r="V26" i="55"/>
  <c r="W29" i="55"/>
  <c r="X29" i="55"/>
  <c r="Y29" i="55"/>
  <c r="W30" i="55"/>
  <c r="X30" i="55"/>
  <c r="Y30" i="55"/>
  <c r="W31" i="55"/>
  <c r="X31" i="55"/>
  <c r="Y31" i="55"/>
  <c r="V31" i="55"/>
  <c r="V30" i="55"/>
  <c r="V24" i="55"/>
  <c r="V23" i="55"/>
  <c r="W28" i="55"/>
  <c r="X28" i="55"/>
  <c r="Y28" i="55"/>
  <c r="W27" i="55"/>
  <c r="X27" i="55"/>
  <c r="Y27" i="55"/>
  <c r="V28" i="55"/>
  <c r="V27" i="55"/>
  <c r="W26" i="55"/>
  <c r="X26" i="55"/>
  <c r="Y26" i="55"/>
  <c r="V20" i="55"/>
  <c r="Z27" i="55"/>
  <c r="Z28" i="55"/>
  <c r="Z29" i="55"/>
  <c r="Z30" i="55"/>
  <c r="Z31" i="55"/>
  <c r="Z26" i="55"/>
  <c r="Z20" i="55"/>
  <c r="W25" i="55"/>
  <c r="X25" i="55"/>
  <c r="Y25" i="55"/>
  <c r="V25" i="55"/>
  <c r="W24" i="55"/>
  <c r="X24" i="55"/>
  <c r="Y24" i="55"/>
  <c r="W23" i="55"/>
  <c r="W22" i="55"/>
  <c r="X23" i="55"/>
  <c r="Y23" i="55"/>
  <c r="X22" i="55"/>
  <c r="Y22" i="55"/>
  <c r="V22" i="55"/>
  <c r="V21" i="55"/>
  <c r="W21" i="55"/>
  <c r="X21" i="55"/>
  <c r="Y21" i="55"/>
  <c r="Z21" i="55"/>
  <c r="Z22" i="55"/>
  <c r="Z23" i="55"/>
  <c r="Z24" i="55"/>
  <c r="Z25" i="55"/>
  <c r="X20" i="55"/>
  <c r="Y20" i="55"/>
  <c r="W20" i="55"/>
  <c r="V16" i="55"/>
  <c r="H42" i="55"/>
  <c r="I42" i="55"/>
  <c r="J42" i="55"/>
  <c r="K42" i="55"/>
  <c r="H43" i="55"/>
  <c r="I43" i="55"/>
  <c r="J43" i="55"/>
  <c r="K43" i="55"/>
  <c r="K41" i="55"/>
  <c r="K35" i="55"/>
  <c r="J41" i="55"/>
  <c r="J35" i="55"/>
  <c r="I41" i="55"/>
  <c r="I35" i="55"/>
  <c r="H41" i="55"/>
  <c r="H35" i="55"/>
  <c r="H36" i="55"/>
  <c r="I36" i="55"/>
  <c r="J36" i="55"/>
  <c r="K36" i="55"/>
  <c r="H37" i="55"/>
  <c r="I37" i="55"/>
  <c r="J37" i="55"/>
  <c r="K37" i="55"/>
  <c r="K29" i="55"/>
  <c r="J29" i="55"/>
  <c r="I29" i="55"/>
  <c r="H29" i="55"/>
  <c r="H24" i="55"/>
  <c r="I24" i="55"/>
  <c r="J24" i="55"/>
  <c r="K24" i="55"/>
  <c r="H25" i="55"/>
  <c r="I25" i="55"/>
  <c r="J25" i="55"/>
  <c r="K25" i="55"/>
  <c r="K23" i="55"/>
  <c r="J23" i="55"/>
  <c r="I23" i="55"/>
  <c r="H23" i="55"/>
  <c r="J31" i="55"/>
  <c r="K31" i="55"/>
  <c r="I31" i="55"/>
  <c r="K30" i="55"/>
  <c r="J30" i="55"/>
  <c r="I30" i="55"/>
  <c r="H31" i="55"/>
  <c r="H30" i="55"/>
  <c r="AL247" i="55"/>
  <c r="AK247" i="55"/>
  <c r="AJ247" i="55"/>
  <c r="AJ246" i="55"/>
  <c r="AK245" i="55"/>
  <c r="AK246" i="55" s="1"/>
  <c r="AJ245" i="55"/>
  <c r="AK244" i="55"/>
  <c r="AL243" i="55"/>
  <c r="AL244" i="55" s="1"/>
  <c r="AL245" i="55" s="1"/>
  <c r="AL246" i="55" s="1"/>
  <c r="AI246" i="55"/>
  <c r="AI245" i="55"/>
  <c r="AI244" i="55"/>
  <c r="AH245" i="55"/>
  <c r="AI247" i="55"/>
  <c r="AI243" i="55"/>
  <c r="AH246" i="55"/>
  <c r="AH247" i="55" l="1"/>
  <c r="AH244" i="55"/>
  <c r="AG246" i="55"/>
  <c r="AG247" i="55"/>
  <c r="AG245" i="55"/>
  <c r="AG235" i="55"/>
  <c r="AH222" i="55"/>
  <c r="AH220" i="55"/>
  <c r="AL237" i="55" l="1"/>
  <c r="AL236" i="55"/>
  <c r="AL235" i="55"/>
  <c r="AK236" i="55"/>
  <c r="AL234" i="55"/>
  <c r="AL233" i="55"/>
  <c r="AK234" i="55"/>
  <c r="AK237" i="55"/>
  <c r="AJ237" i="55"/>
  <c r="AK235" i="55"/>
  <c r="AJ235" i="55"/>
  <c r="AJ236" i="55"/>
  <c r="AG237" i="55"/>
  <c r="AG236" i="55"/>
  <c r="AI220" i="55" l="1"/>
  <c r="AJ220" i="55"/>
  <c r="AJ224" i="55"/>
  <c r="AJ223" i="55"/>
  <c r="AJ222" i="55"/>
  <c r="AJ221" i="55"/>
  <c r="AI224" i="55"/>
  <c r="AI223" i="55"/>
  <c r="AI222" i="55"/>
  <c r="AI221" i="55"/>
  <c r="AH224" i="55"/>
  <c r="AH223" i="55"/>
  <c r="AH221" i="55"/>
  <c r="AI235" i="55" l="1"/>
  <c r="AI234" i="55"/>
  <c r="AI233" i="55"/>
  <c r="AI237" i="55"/>
  <c r="AI236" i="55"/>
  <c r="AH237" i="55"/>
  <c r="AH236" i="55"/>
  <c r="AH235" i="55"/>
  <c r="AH23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Z115" i="55" l="1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O115" i="55"/>
  <c r="O114" i="55"/>
  <c r="O113" i="55"/>
  <c r="O112" i="55"/>
  <c r="O111" i="55"/>
  <c r="O110" i="55"/>
  <c r="N115" i="55"/>
  <c r="N114" i="55"/>
  <c r="N113" i="55"/>
  <c r="N112" i="55"/>
  <c r="N111" i="55"/>
  <c r="N110" i="55"/>
  <c r="M115" i="55"/>
  <c r="M114" i="55"/>
  <c r="M113" i="55"/>
  <c r="M112" i="55"/>
  <c r="M111" i="55"/>
  <c r="M110" i="55"/>
  <c r="L115" i="55"/>
  <c r="L114" i="55"/>
  <c r="L113" i="55"/>
  <c r="L112" i="55"/>
  <c r="L111" i="55"/>
  <c r="L110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O40" i="55"/>
  <c r="O39" i="55"/>
  <c r="O38" i="55"/>
  <c r="K40" i="55"/>
  <c r="K39" i="55"/>
  <c r="K38" i="55"/>
  <c r="J40" i="55"/>
  <c r="J39" i="55"/>
  <c r="J38" i="55"/>
  <c r="I40" i="55"/>
  <c r="I39" i="55"/>
  <c r="I38" i="55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H39" i="55"/>
  <c r="H38" i="55"/>
  <c r="N40" i="55"/>
  <c r="N39" i="55"/>
  <c r="N38" i="55"/>
  <c r="M40" i="55"/>
  <c r="M39" i="55"/>
  <c r="M38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87" i="55" l="1"/>
  <c r="AG21" i="55"/>
  <c r="AG22" i="55"/>
  <c r="AG23" i="55"/>
  <c r="AG24" i="55"/>
  <c r="J21" i="55"/>
  <c r="K21" i="55"/>
  <c r="J22" i="55"/>
  <c r="K22" i="55"/>
  <c r="K20" i="55"/>
  <c r="J20" i="55"/>
  <c r="I21" i="55"/>
  <c r="I22" i="55"/>
  <c r="I20" i="55"/>
  <c r="H21" i="55"/>
  <c r="H22" i="55"/>
  <c r="H20" i="55"/>
  <c r="V160" i="55" l="1"/>
  <c r="V161" i="55"/>
  <c r="V162" i="55"/>
  <c r="V163" i="55"/>
  <c r="V88" i="55"/>
  <c r="V89" i="55"/>
  <c r="V90" i="55"/>
  <c r="I22" i="56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I10" i="56"/>
  <c r="L10" i="56" s="1"/>
  <c r="I9" i="56"/>
  <c r="L9" i="56" s="1"/>
  <c r="I8" i="56"/>
  <c r="L8" i="56" s="1"/>
  <c r="I6" i="56"/>
  <c r="L6" i="56" s="1"/>
  <c r="W11" i="55" l="1"/>
  <c r="X11" i="55"/>
  <c r="Y11" i="55"/>
  <c r="V11" i="55"/>
  <c r="AE193" i="55" l="1"/>
  <c r="AE120" i="55"/>
  <c r="AE48" i="55"/>
  <c r="I19" i="56" l="1"/>
  <c r="L19" i="56" s="1"/>
  <c r="I13" i="56"/>
  <c r="L13" i="56" s="1"/>
  <c r="I7" i="56"/>
  <c r="L7" i="56" s="1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3" i="55"/>
  <c r="J193" i="55"/>
  <c r="K193" i="55"/>
  <c r="H193" i="55"/>
  <c r="I120" i="55"/>
  <c r="J120" i="55"/>
  <c r="K120" i="55"/>
  <c r="H120" i="55"/>
  <c r="H48" i="55"/>
  <c r="I48" i="55"/>
  <c r="J48" i="55"/>
  <c r="K4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164" i="55" l="1"/>
  <c r="W164" i="55"/>
  <c r="W91" i="55"/>
  <c r="Y91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N85" i="55"/>
  <c r="O85" i="55"/>
  <c r="M85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N19" i="55"/>
  <c r="O19" i="55"/>
  <c r="M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55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165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W155" i="55"/>
  <c r="X155" i="55"/>
  <c r="V177" i="55"/>
  <c r="Y155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82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Y82" i="55"/>
  <c r="X118" i="55"/>
  <c r="V110" i="55"/>
  <c r="W85" i="55"/>
  <c r="Y118" i="55"/>
  <c r="X85" i="55"/>
  <c r="Y85" i="55"/>
  <c r="W82" i="55"/>
  <c r="X82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Y16" i="55"/>
  <c r="X16" i="55"/>
  <c r="W16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Y193" i="55"/>
  <c r="Y48" i="55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X199" i="55" s="1"/>
  <c r="V126" i="55" l="1"/>
  <c r="V125" i="55"/>
  <c r="W199" i="55"/>
  <c r="Y198" i="55"/>
  <c r="X198" i="55"/>
  <c r="V198" i="55"/>
  <c r="W198" i="55"/>
  <c r="Y199" i="55"/>
  <c r="V199" i="55"/>
  <c r="Y126" i="55"/>
  <c r="X126" i="55"/>
  <c r="W125" i="55"/>
  <c r="X125" i="55"/>
  <c r="W126" i="55"/>
  <c r="V56" i="55"/>
  <c r="Y125" i="55"/>
  <c r="V54" i="55"/>
  <c r="V53" i="55"/>
  <c r="X56" i="55"/>
  <c r="Y56" i="55"/>
  <c r="W56" i="55"/>
  <c r="W53" i="55"/>
  <c r="X53" i="55"/>
  <c r="Y53" i="55"/>
  <c r="W54" i="55"/>
  <c r="X54" i="55"/>
  <c r="Y54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44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<sst xmlns="http://schemas.openxmlformats.org/spreadsheetml/2006/main" count="2647" uniqueCount="822">
  <si>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</si>
  <si>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</si>
  <si>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</si>
  <si>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</si>
  <si>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</si>
  <si>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</si>
  <si>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</si>
  <si>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</si>
  <si>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</si>
  <si>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</si>
  <si>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</si>
  <si>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</si>
  <si>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</si>
  <si>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</si>
  <si>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</si>
  <si>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</si>
  <si>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</si>
  <si>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</si>
  <si>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</si>
  <si>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</si>
  <si>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</si>
  <si>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</si>
  <si>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</si>
  <si>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</si>
  <si>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</si>
  <si>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</si>
  <si>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</si>
  <si>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</si>
  <si>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</si>
  <si>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</si>
  <si>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</si>
  <si>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</si>
  <si>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</si>
  <si>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</si>
  <si>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</si>
  <si>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</si>
  <si>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</si>
  <si>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</si>
  <si>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</si>
  <si>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</si>
  <si>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</si>
  <si>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</si>
  <si>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</si>
  <si>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</si>
  <si>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</si>
  <si>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</si>
  <si>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</si>
  <si>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</si>
  <si>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</si>
  <si>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</si>
  <si>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</si>
  <si>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</si>
  <si>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</si>
  <si>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</si>
  <si>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</si>
  <si>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</si>
  <si>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</si>
  <si>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</si>
  <si>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</si>
  <si>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</si>
  <si>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</si>
  <si>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</si>
  <si>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</si>
  <si>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</si>
  <si>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</si>
  <si>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</si>
  <si>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</si>
  <si>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</si>
  <si>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</si>
  <si>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</si>
  <si>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</si>
  <si>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</si>
  <si>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</si>
  <si>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</si>
  <si>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</si>
  <si>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</si>
  <si>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</si>
  <si>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</si>
  <si>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</si>
  <si>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</si>
  <si>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</si>
  <si>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</si>
  <si>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</si>
  <si>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</si>
  <si>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</si>
  <si>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</si>
  <si>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</si>
  <si>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</si>
  <si>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</si>
  <si>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</si>
  <si>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</si>
  <si>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</si>
  <si>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</si>
  <si>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</si>
  <si>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</si>
  <si>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</si>
  <si>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</si>
  <si>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</si>
  <si>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</si>
  <si>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</si>
  <si>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</si>
  <si>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</si>
  <si>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</si>
  <si>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</si>
  <si>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</si>
  <si>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</si>
  <si>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</si>
  <si>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</si>
  <si>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</si>
  <si>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</si>
  <si>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</si>
  <si>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</si>
  <si>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</si>
  <si>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</si>
  <si>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</si>
  <si>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</si>
  <si>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</si>
  <si>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</si>
  <si>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</si>
  <si>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</si>
  <si>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</si>
  <si>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</si>
  <si>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</si>
  <si>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</si>
  <si>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</si>
  <si>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</si>
  <si>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</si>
  <si>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</si>
  <si>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</si>
  <si>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</si>
  <si>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</si>
  <si>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</si>
  <si>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</si>
  <si>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</si>
  <si>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</si>
  <si>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</si>
  <si>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</si>
  <si>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</si>
  <si>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</si>
  <si>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</si>
  <si>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</si>
  <si>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</si>
  <si>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</si>
  <si>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</si>
  <si>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</si>
  <si>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</si>
  <si>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</si>
  <si>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</si>
  <si>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</si>
  <si>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</si>
  <si>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</si>
  <si>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</si>
  <si>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</si>
  <si>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</si>
  <si>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</si>
  <si>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</si>
  <si>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</si>
  <si>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</si>
  <si>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</si>
  <si>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</si>
  <si>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</si>
  <si>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</si>
  <si>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</si>
  <si>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</si>
  <si>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</si>
  <si>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</si>
  <si>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</si>
  <si>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</si>
  <si>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</si>
  <si>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</si>
  <si>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</si>
  <si>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</si>
  <si>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</si>
  <si>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</si>
  <si>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</si>
  <si>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</si>
  <si>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</si>
  <si>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</si>
  <si>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</si>
  <si>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</si>
  <si>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</si>
  <si>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</si>
  <si>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</si>
  <si>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</si>
  <si>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</si>
  <si>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</si>
  <si>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</si>
  <si>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</si>
  <si>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</si>
  <si>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</si>
  <si>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</si>
  <si>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</si>
  <si>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</si>
  <si>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</si>
  <si>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</si>
  <si>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</si>
  <si>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</si>
  <si>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</si>
  <si>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</si>
  <si>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</si>
  <si>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</si>
  <si>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</si>
  <si>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</si>
  <si>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</si>
  <si>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</si>
  <si>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</si>
  <si>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</si>
  <si>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</si>
  <si>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</si>
  <si>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</si>
  <si>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</si>
  <si>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</si>
  <si>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</si>
  <si>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</si>
  <si>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</si>
  <si>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</si>
  <si>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</si>
  <si>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</si>
  <si>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</si>
  <si>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</si>
  <si>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</si>
  <si>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</si>
  <si>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</si>
  <si>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</si>
  <si>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</si>
  <si>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</si>
  <si>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</si>
  <si>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</si>
  <si>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</si>
  <si>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</si>
  <si>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</si>
  <si>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</si>
  <si>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</si>
  <si>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</si>
  <si>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</si>
  <si>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</si>
  <si>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</si>
  <si>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</si>
  <si>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</si>
  <si>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</si>
  <si>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</si>
  <si>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</si>
  <si>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</si>
  <si>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</si>
  <si>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</si>
  <si>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</si>
  <si>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</si>
  <si>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</si>
  <si>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</si>
  <si>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</si>
  <si>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</si>
  <si>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</si>
  <si>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</si>
  <si>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</si>
  <si>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</si>
  <si>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</si>
  <si>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</si>
  <si>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</si>
  <si>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</si>
  <si>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</si>
  <si>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</si>
  <si>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</si>
  <si>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</si>
  <si>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</si>
  <si>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</si>
  <si>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</si>
  <si>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</si>
  <si>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</si>
  <si>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</si>
  <si>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</si>
  <si>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</si>
  <si>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</si>
  <si>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</si>
  <si>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</si>
  <si>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</si>
  <si>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</si>
  <si>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</si>
  <si>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</si>
  <si>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</si>
  <si>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</si>
  <si>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</si>
  <si>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</si>
  <si>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</si>
  <si>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</si>
  <si>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</si>
  <si>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</si>
  <si>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</si>
  <si>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</si>
  <si>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</si>
  <si>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</si>
  <si>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</si>
  <si>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</si>
  <si>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</si>
  <si>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</si>
  <si>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</si>
  <si>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</si>
  <si>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</si>
  <si>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</si>
  <si>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</si>
  <si>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</si>
  <si>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</si>
  <si>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</si>
  <si>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</si>
  <si>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</si>
  <si>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</si>
  <si>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</si>
  <si>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</si>
  <si>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</si>
  <si>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</si>
  <si>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</si>
  <si>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</si>
  <si>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</si>
  <si>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</si>
  <si>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</si>
  <si>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</si>
  <si>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</si>
  <si>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</si>
  <si>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</si>
  <si>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</si>
  <si>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</si>
  <si>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</si>
  <si>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</si>
  <si>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</si>
  <si>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</si>
  <si>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</si>
  <si>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</si>
  <si>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</si>
  <si>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</si>
  <si>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</si>
  <si>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</si>
  <si>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</si>
  <si>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</si>
  <si>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</si>
  <si>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</si>
  <si>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</si>
  <si>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</si>
  <si>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</si>
  <si>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</si>
  <si>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</si>
  <si>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</si>
  <si>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</si>
  <si>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</si>
  <si>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</si>
  <si>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</si>
  <si>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</si>
  <si>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</si>
  <si>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</si>
  <si>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</si>
  <si>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</si>
  <si>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</si>
  <si>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</si>
  <si>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</si>
  <si>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</si>
  <si>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</si>
  <si>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</si>
  <si>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</si>
  <si>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</si>
  <si>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</si>
  <si>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</si>
  <si>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</si>
  <si>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</si>
  <si>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</si>
  <si>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</si>
  <si>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</si>
  <si>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</si>
  <si>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</si>
  <si>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</si>
  <si>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</si>
  <si>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</si>
  <si>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</si>
  <si>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</si>
  <si>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</si>
  <si>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</si>
  <si>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</si>
  <si>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</si>
  <si>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</si>
  <si>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</si>
  <si>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</si>
  <si>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</si>
  <si>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</si>
  <si>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</si>
  <si>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</si>
  <si>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</si>
  <si>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</si>
  <si>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</si>
  <si>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</si>
  <si>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</si>
  <si>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</si>
  <si>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</si>
  <si>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</si>
  <si>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</si>
  <si>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</si>
  <si>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</si>
  <si>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</si>
  <si>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</si>
  <si>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</si>
  <si>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</si>
  <si>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</si>
  <si>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</si>
  <si>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</si>
  <si>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</si>
  <si>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</si>
  <si>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</si>
  <si>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</si>
  <si>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</si>
  <si>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</si>
  <si>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</si>
  <si>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</si>
  <si>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</si>
  <si>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</si>
  <si>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</si>
  <si>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</si>
  <si>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</si>
  <si>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</si>
  <si>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</si>
  <si>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</si>
  <si>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</si>
  <si>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</si>
  <si>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</si>
  <si>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</si>
  <si>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</si>
  <si>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</si>
  <si>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</si>
  <si>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</si>
  <si>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</si>
  <si>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</si>
  <si>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</si>
  <si>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</si>
  <si>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</si>
  <si>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</si>
  <si>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</si>
  <si>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</si>
  <si>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</si>
  <si>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</si>
  <si>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</si>
  <si>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</si>
  <si>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</si>
  <si>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</si>
  <si>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</si>
  <si>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</si>
  <si>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</si>
  <si>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</si>
  <si>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</si>
  <si>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</si>
  <si>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</si>
  <si>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</si>
  <si>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</si>
  <si>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</si>
  <si>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</si>
  <si>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</si>
  <si>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</si>
  <si>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</si>
  <si>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</si>
  <si>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</si>
  <si>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</si>
  <si>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</si>
  <si>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</si>
  <si>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</si>
  <si>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</si>
  <si>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</si>
  <si>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</si>
  <si>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</si>
  <si>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</si>
  <si>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</si>
  <si>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</si>
  <si>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</si>
  <si>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</si>
  <si>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</si>
  <si>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</si>
  <si>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</si>
  <si>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</si>
  <si>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</si>
  <si>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</si>
  <si>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</si>
  <si>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</si>
  <si>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</si>
  <si>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</si>
  <si>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</si>
  <si>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</si>
  <si>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</si>
  <si>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</si>
  <si>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</si>
  <si>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</si>
  <si>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</si>
  <si>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</si>
  <si>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</si>
  <si>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</si>
  <si>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</si>
  <si>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</si>
  <si>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</si>
  <si>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</si>
  <si>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</si>
  <si>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</si>
  <si>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</si>
  <si>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</si>
  <si>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</si>
  <si>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</si>
  <si>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</si>
  <si>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</si>
  <si>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</si>
  <si>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</si>
  <si>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</si>
  <si>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</si>
  <si>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</si>
  <si>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</si>
  <si>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</si>
  <si>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</si>
  <si>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</si>
  <si>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</si>
  <si>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</si>
  <si>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</si>
  <si>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</si>
  <si>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</si>
  <si>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</si>
  <si>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</si>
  <si>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</si>
  <si>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</si>
  <si>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</si>
  <si>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</si>
  <si>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</si>
  <si>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</si>
  <si>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</si>
  <si>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</si>
  <si>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</si>
  <si>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</si>
  <si>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</si>
  <si>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</si>
  <si>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</si>
  <si>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</si>
  <si>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</si>
  <si>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</si>
  <si>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</si>
  <si>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</si>
  <si>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</si>
  <si>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</si>
  <si>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</si>
  <si>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</si>
  <si>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</si>
  <si>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</si>
  <si>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</si>
  <si>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</si>
  <si>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</si>
  <si>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</si>
  <si>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</si>
  <si>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</si>
  <si>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</si>
  <si>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</si>
  <si>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</si>
  <si>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</si>
  <si>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</si>
  <si>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</si>
  <si>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</si>
  <si>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</si>
  <si>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</si>
  <si>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</si>
  <si>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</si>
  <si>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</si>
  <si>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</si>
  <si>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</si>
  <si>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</si>
  <si>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</si>
  <si>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</si>
  <si>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</si>
  <si>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</si>
  <si>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</si>
  <si>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</si>
  <si>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</si>
  <si>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</si>
  <si>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</si>
  <si>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</si>
  <si>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</si>
  <si>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</si>
  <si>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</si>
  <si>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</si>
  <si>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</si>
  <si>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</si>
  <si>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</si>
  <si>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</si>
  <si>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</si>
  <si>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</si>
  <si>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</si>
  <si>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</si>
  <si>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</si>
  <si>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</si>
  <si>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</si>
  <si>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</si>
  <si>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</si>
  <si>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</si>
  <si>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</si>
  <si>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</si>
  <si>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</si>
  <si>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</si>
  <si>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</si>
  <si>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</si>
  <si>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</si>
  <si>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</si>
  <si>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</si>
  <si>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</si>
  <si>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</si>
  <si>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</si>
  <si>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</si>
  <si>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</si>
  <si>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</si>
  <si>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</si>
  <si>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</si>
  <si>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</si>
  <si>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</si>
  <si>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</si>
  <si>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</si>
  <si>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</si>
  <si>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</si>
  <si>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</si>
  <si>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</si>
  <si>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</si>
  <si>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</si>
  <si>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</si>
  <si>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</si>
  <si>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</si>
  <si>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</si>
  <si>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</si>
  <si>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</si>
  <si>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</si>
  <si>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</si>
  <si>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</si>
  <si>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</si>
  <si>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</si>
  <si>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</si>
  <si>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</si>
  <si>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</si>
  <si>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</si>
  <si>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</si>
  <si>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</si>
  <si>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</si>
  <si>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</si>
  <si>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</si>
  <si>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</si>
  <si>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</si>
  <si>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</si>
  <si>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</si>
  <si>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</si>
  <si>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</si>
  <si>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</si>
  <si>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</si>
  <si>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</si>
  <si>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</si>
  <si>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</si>
  <si>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</si>
  <si>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</si>
  <si>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</si>
  <si>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</si>
  <si>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</si>
  <si>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</si>
  <si>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</si>
  <si>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</si>
  <si>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</si>
  <si>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</si>
  <si>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</si>
  <si>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</si>
  <si>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</si>
  <si>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</si>
  <si>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</si>
  <si>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</si>
  <si>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</si>
  <si>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</si>
  <si>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</si>
  <si>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</si>
  <si>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</si>
  <si>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</si>
  <si>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</si>
  <si>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</si>
  <si>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</si>
  <si>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</si>
  <si>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</si>
  <si>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</si>
  <si>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</si>
  <si>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</si>
  <si>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</si>
  <si>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</si>
  <si>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</si>
  <si>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</si>
  <si>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</si>
  <si>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</si>
  <si>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</si>
  <si>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</si>
  <si>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</si>
  <si>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</si>
  <si>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</si>
  <si>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</si>
  <si>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</si>
  <si>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</si>
  <si>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</si>
  <si>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</si>
  <si>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</si>
  <si>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</si>
  <si>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</si>
  <si>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</si>
  <si>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</si>
  <si>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</si>
  <si>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</si>
  <si>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</si>
  <si>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</si>
  <si>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</si>
  <si>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</si>
  <si>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</si>
  <si>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</si>
  <si>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</si>
  <si>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</si>
  <si>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</si>
  <si>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</si>
  <si>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</si>
  <si>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</si>
  <si>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</si>
  <si>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</si>
  <si>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</si>
  <si>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</si>
  <si>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</si>
  <si>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</si>
  <si>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</si>
  <si>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</si>
  <si>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</si>
  <si>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</si>
  <si>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</si>
  <si>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</si>
  <si>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</si>
  <si>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</si>
  <si>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</si>
  <si>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</si>
  <si>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</si>
  <si>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</si>
  <si>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CEFF~2019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</si>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</sst>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4" formatCode="_(* #,##0_);_(* \(#,##0\);_(* &quot;-&quot;??_);_(@_)"/>
    <numFmt numFmtId="175" formatCode="_-&quot;€&quot;* #,##0_-;\-&quot;€&quot;* #,##0_-;_-&quot;€&quot;* &quot;-&quot;??_-;_-@_-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44" fontId="58" fillId="0" borderId="0" applyFont="0" applyFill="0" applyBorder="0" applyAlignment="0" applyProtection="0"/>
  </cellStyleXfs>
  <cellXfs count="64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174" fontId="15" fillId="19" borderId="9" xfId="2" applyNumberFormat="1" applyFont="1" applyFill="1" applyBorder="1"/>
    <xf numFmtId="174" fontId="15" fillId="0" borderId="25" xfId="2" applyNumberFormat="1" applyFont="1" applyBorder="1"/>
    <xf numFmtId="174" fontId="15" fillId="19" borderId="25" xfId="2" applyNumberFormat="1" applyFont="1" applyFill="1" applyBorder="1"/>
    <xf numFmtId="0" fontId="4" fillId="0" borderId="87" xfId="0" applyFont="1" applyBorder="1"/>
    <xf numFmtId="0" fontId="4" fillId="0" borderId="0" xfId="0" applyFont="1" applyBorder="1"/>
    <xf numFmtId="9" fontId="0" fillId="0" borderId="80" xfId="0" applyNumberFormat="1" applyBorder="1"/>
    <xf numFmtId="0" fontId="4" fillId="38" borderId="87" xfId="0" applyFont="1" applyFill="1" applyBorder="1"/>
    <xf numFmtId="0" fontId="4" fillId="38" borderId="0" xfId="0" applyFont="1" applyFill="1" applyBorder="1"/>
    <xf numFmtId="0" fontId="0" fillId="38" borderId="0" xfId="0" applyFill="1" applyBorder="1"/>
    <xf numFmtId="9" fontId="0" fillId="38" borderId="80" xfId="0" applyNumberFormat="1" applyFill="1" applyBorder="1"/>
    <xf numFmtId="0" fontId="4" fillId="0" borderId="88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4" fillId="0" borderId="0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5" fontId="0" fillId="0" borderId="0" xfId="8" applyNumberFormat="1" applyFont="1" applyFill="1" applyBorder="1"/>
    <xf numFmtId="9" fontId="4" fillId="0" borderId="85" xfId="0" applyNumberFormat="1" applyFont="1" applyBorder="1"/>
    <xf numFmtId="0" fontId="0" fillId="37" borderId="87" xfId="0" applyFill="1" applyBorder="1"/>
    <xf numFmtId="0" fontId="0" fillId="37" borderId="0" xfId="0" applyFill="1" applyBorder="1"/>
    <xf numFmtId="0" fontId="0" fillId="37" borderId="80" xfId="0" applyFill="1" applyBorder="1"/>
    <xf numFmtId="164" fontId="0" fillId="15" borderId="80" xfId="2" applyFont="1" applyFill="1" applyBorder="1"/>
    <xf numFmtId="164" fontId="0" fillId="15" borderId="0" xfId="2" applyFont="1" applyFill="1" applyBorder="1"/>
    <xf numFmtId="164" fontId="0" fillId="34" borderId="2" xfId="2" applyFont="1" applyFill="1" applyBorder="1"/>
    <xf numFmtId="164" fontId="0" fillId="34" borderId="85" xfId="2" applyFont="1" applyFill="1" applyBorder="1"/>
    <xf numFmtId="175" fontId="0" fillId="34" borderId="88" xfId="0" applyNumberFormat="1" applyFill="1" applyBorder="1"/>
    <xf numFmtId="175" fontId="0" fillId="34" borderId="2" xfId="0" applyNumberFormat="1" applyFill="1" applyBorder="1"/>
    <xf numFmtId="175" fontId="0" fillId="34" borderId="85" xfId="0" applyNumberFormat="1" applyFill="1" applyBorder="1"/>
    <xf numFmtId="175" fontId="0" fillId="15" borderId="87" xfId="0" applyNumberFormat="1" applyFill="1" applyBorder="1"/>
    <xf numFmtId="175" fontId="0" fillId="15" borderId="0" xfId="0" applyNumberFormat="1" applyFill="1" applyBorder="1"/>
    <xf numFmtId="175" fontId="0" fillId="15" borderId="80" xfId="0" applyNumberFormat="1" applyFill="1" applyBorder="1"/>
    <xf numFmtId="175" fontId="0" fillId="39" borderId="0" xfId="0" applyNumberFormat="1" applyFill="1" applyBorder="1"/>
    <xf numFmtId="175" fontId="0" fillId="39" borderId="80" xfId="0" applyNumberFormat="1" applyFill="1" applyBorder="1"/>
    <xf numFmtId="164" fontId="0" fillId="39" borderId="0" xfId="2" applyFont="1" applyFill="1" applyBorder="1"/>
    <xf numFmtId="164" fontId="0" fillId="39" borderId="80" xfId="2" applyFont="1" applyFill="1" applyBorder="1"/>
    <xf numFmtId="0" fontId="59" fillId="0" borderId="88" xfId="0" applyFont="1" applyBorder="1"/>
    <xf numFmtId="0" fontId="59" fillId="0" borderId="2" xfId="0" applyFont="1" applyFill="1" applyBorder="1"/>
    <xf numFmtId="0" fontId="59" fillId="0" borderId="85" xfId="0" applyFont="1" applyFill="1" applyBorder="1"/>
    <xf numFmtId="0" fontId="59" fillId="0" borderId="2" xfId="0" applyFont="1" applyBorder="1"/>
    <xf numFmtId="175" fontId="0" fillId="34" borderId="87" xfId="0" applyNumberFormat="1" applyFill="1" applyBorder="1"/>
    <xf numFmtId="9" fontId="0" fillId="37" borderId="87" xfId="3" applyFont="1" applyFill="1" applyBorder="1"/>
    <xf numFmtId="9" fontId="0" fillId="37" borderId="0" xfId="3" applyFont="1" applyFill="1" applyBorder="1"/>
    <xf numFmtId="9" fontId="0" fillId="37" borderId="80" xfId="3" applyFont="1" applyFill="1" applyBorder="1"/>
    <xf numFmtId="9" fontId="0" fillId="15" borderId="80" xfId="3" applyFont="1" applyFill="1" applyBorder="1"/>
    <xf numFmtId="9" fontId="0" fillId="15" borderId="0" xfId="3" applyFont="1" applyFill="1" applyBorder="1"/>
    <xf numFmtId="9" fontId="0" fillId="15" borderId="87" xfId="3" applyFont="1" applyFill="1" applyBorder="1"/>
    <xf numFmtId="9" fontId="0" fillId="39" borderId="80" xfId="3" applyFont="1" applyFill="1" applyBorder="1"/>
    <xf numFmtId="9" fontId="0" fillId="39" borderId="0" xfId="3" applyFont="1" applyFill="1" applyBorder="1"/>
    <xf numFmtId="9" fontId="0" fillId="34" borderId="87" xfId="3" applyFont="1" applyFill="1" applyBorder="1"/>
    <xf numFmtId="9" fontId="0" fillId="34" borderId="2" xfId="3" applyFont="1" applyFill="1" applyBorder="1"/>
    <xf numFmtId="9" fontId="0" fillId="34" borderId="85" xfId="3" applyFont="1" applyFill="1" applyBorder="1"/>
    <xf numFmtId="4" fontId="15" fillId="19" borderId="7" xfId="0" applyNumberFormat="1" applyFon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  <sheetName val="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3.1499640433377643E-4</v>
          </cell>
        </row>
        <row r="8">
          <cell r="L8">
            <v>2.5141244794864483E-3</v>
          </cell>
        </row>
        <row r="9">
          <cell r="L9">
            <v>3.0596592500527567E-4</v>
          </cell>
        </row>
        <row r="10">
          <cell r="L10">
            <v>2.1782809199424584E-4</v>
          </cell>
        </row>
        <row r="51">
          <cell r="L51">
            <v>1.3249013578385519E-4</v>
          </cell>
        </row>
        <row r="53">
          <cell r="L53">
            <v>2.6993348022525303E-3</v>
          </cell>
        </row>
        <row r="54">
          <cell r="L54">
            <v>3.2505870170077217E-4</v>
          </cell>
        </row>
        <row r="55">
          <cell r="L55">
            <v>2.4641622412260611E-4</v>
          </cell>
        </row>
        <row r="96">
          <cell r="L96">
            <v>2.4058665241777602E-3</v>
          </cell>
        </row>
        <row r="98">
          <cell r="L98">
            <v>4.2605415152040874E-3</v>
          </cell>
        </row>
        <row r="100">
          <cell r="L100">
            <v>6.686799636959782E-4</v>
          </cell>
        </row>
        <row r="104">
          <cell r="L104">
            <v>1.7683153930356794E-3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94" customWidth="1"/>
    <col min="5" max="6" width="14.140625" style="494" customWidth="1"/>
    <col min="7" max="7" width="12.140625" style="494" customWidth="1"/>
    <col min="8" max="10" width="8.140625" style="494" customWidth="1"/>
    <col min="11" max="11" width="9.7109375" style="494" customWidth="1"/>
    <col min="12" max="12" width="8.140625" style="494" customWidth="1"/>
    <col min="13" max="13" width="10" style="494" customWidth="1"/>
    <col min="14" max="14" width="11.42578125" style="494" customWidth="1"/>
    <col min="15" max="15" width="13.42578125" style="494" customWidth="1"/>
    <col min="16" max="16384" width="8.85546875" style="494"/>
  </cols>
  <sheetData>
    <row r="1" spans="1:26" x14ac:dyDescent="0.25">
      <c r="A1" s="492"/>
      <c r="B1" s="492"/>
      <c r="C1" s="492"/>
      <c r="D1" s="492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</row>
    <row r="2" spans="1:26" x14ac:dyDescent="0.25">
      <c r="A2" s="492"/>
      <c r="B2" s="492"/>
      <c r="C2" s="492"/>
      <c r="D2" s="492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</row>
    <row r="3" spans="1:26" x14ac:dyDescent="0.25">
      <c r="A3" s="492"/>
      <c r="B3" s="492"/>
      <c r="C3" s="492"/>
      <c r="D3" s="492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</row>
    <row r="4" spans="1:26" x14ac:dyDescent="0.25">
      <c r="A4" s="492"/>
      <c r="B4" s="492"/>
      <c r="C4" s="492"/>
      <c r="D4" s="492"/>
      <c r="E4" s="493"/>
      <c r="F4" s="493"/>
      <c r="G4" s="493"/>
      <c r="H4" s="493"/>
      <c r="I4" s="493"/>
      <c r="J4" s="493"/>
      <c r="K4" s="493"/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</row>
    <row r="5" spans="1:26" x14ac:dyDescent="0.25">
      <c r="A5" s="492"/>
      <c r="B5" s="492"/>
      <c r="C5" s="492"/>
      <c r="D5" s="492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</row>
    <row r="6" spans="1:26" x14ac:dyDescent="0.25">
      <c r="A6" s="492"/>
      <c r="B6" s="492"/>
      <c r="C6" s="492"/>
      <c r="D6" s="492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</row>
    <row r="7" spans="1:26" x14ac:dyDescent="0.25">
      <c r="A7" s="492"/>
      <c r="B7" s="492"/>
      <c r="C7" s="492"/>
      <c r="D7" s="492"/>
      <c r="E7" s="493"/>
      <c r="F7" s="493"/>
      <c r="G7" s="493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</row>
    <row r="8" spans="1:26" x14ac:dyDescent="0.25">
      <c r="A8" s="492"/>
      <c r="B8" s="492"/>
      <c r="C8" s="492"/>
      <c r="D8" s="492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</row>
    <row r="9" spans="1:26" x14ac:dyDescent="0.25">
      <c r="A9" s="492"/>
      <c r="B9" s="492"/>
      <c r="C9" s="492"/>
      <c r="D9" s="492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</row>
    <row r="10" spans="1:26" x14ac:dyDescent="0.25">
      <c r="A10" s="492"/>
      <c r="B10" s="492"/>
      <c r="C10" s="492"/>
      <c r="D10" s="492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</row>
    <row r="11" spans="1:26" x14ac:dyDescent="0.25">
      <c r="A11" s="492"/>
      <c r="B11" s="492"/>
      <c r="C11" s="492"/>
      <c r="D11" s="492"/>
      <c r="E11" s="493"/>
      <c r="F11" s="493"/>
      <c r="G11" s="493"/>
      <c r="H11" s="493"/>
      <c r="I11" s="493"/>
      <c r="J11" s="493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</row>
    <row r="12" spans="1:26" x14ac:dyDescent="0.25">
      <c r="A12" s="492"/>
      <c r="B12" s="492"/>
      <c r="C12" s="492"/>
      <c r="D12" s="492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</row>
    <row r="13" spans="1:26" x14ac:dyDescent="0.25">
      <c r="A13" s="492"/>
      <c r="B13" s="492"/>
      <c r="C13" s="492"/>
      <c r="D13" s="492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</row>
    <row r="14" spans="1:26" x14ac:dyDescent="0.25">
      <c r="A14" s="492"/>
      <c r="B14" s="492"/>
      <c r="C14" s="492"/>
      <c r="D14" s="492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</row>
    <row r="15" spans="1:26" x14ac:dyDescent="0.25">
      <c r="A15" s="492"/>
      <c r="B15" s="492"/>
      <c r="C15" s="492"/>
      <c r="D15" s="492"/>
      <c r="E15" s="493"/>
      <c r="F15" s="493"/>
      <c r="G15" s="493"/>
      <c r="H15" s="493"/>
      <c r="I15" s="493"/>
      <c r="J15" s="493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</row>
    <row r="16" spans="1:26" ht="102.75" customHeight="1" x14ac:dyDescent="0.25">
      <c r="A16" s="591" t="s">
        <v>676</v>
      </c>
      <c r="B16" s="591"/>
      <c r="C16" s="591"/>
      <c r="D16" s="591"/>
      <c r="E16" s="495"/>
      <c r="F16" s="495"/>
      <c r="G16" s="496"/>
      <c r="H16" s="496"/>
      <c r="I16" s="496"/>
      <c r="J16" s="496"/>
      <c r="K16" s="496"/>
      <c r="L16" s="496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</row>
    <row r="17" spans="1:26" ht="17.25" customHeight="1" x14ac:dyDescent="0.25">
      <c r="A17" s="497"/>
      <c r="B17" s="497"/>
      <c r="C17" s="497"/>
      <c r="D17" s="497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</row>
    <row r="18" spans="1:26" ht="17.25" customHeight="1" x14ac:dyDescent="0.25">
      <c r="A18" s="497"/>
      <c r="B18" s="497"/>
      <c r="C18" s="497"/>
      <c r="D18" s="497"/>
      <c r="E18" s="498"/>
      <c r="F18" s="498"/>
      <c r="G18" s="499"/>
      <c r="H18" s="499"/>
      <c r="I18" s="499"/>
      <c r="J18" s="499"/>
      <c r="K18" s="499"/>
      <c r="L18" s="499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</row>
    <row r="19" spans="1:26" ht="17.25" customHeight="1" x14ac:dyDescent="0.25">
      <c r="A19" s="500" t="s">
        <v>0</v>
      </c>
      <c r="B19" s="590" t="s">
        <v>692</v>
      </c>
      <c r="C19" s="590"/>
      <c r="D19" s="590"/>
      <c r="E19" s="501"/>
      <c r="F19" s="501"/>
      <c r="G19" s="502"/>
      <c r="H19" s="502"/>
      <c r="I19" s="502"/>
      <c r="J19" s="502"/>
      <c r="K19" s="502"/>
      <c r="L19" s="502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</row>
    <row r="20" spans="1:26" ht="17.25" customHeight="1" x14ac:dyDescent="0.25">
      <c r="A20" s="500" t="s">
        <v>677</v>
      </c>
      <c r="B20" s="590" t="s">
        <v>687</v>
      </c>
      <c r="C20" s="590"/>
      <c r="D20" s="590"/>
      <c r="E20" s="501"/>
      <c r="F20" s="501"/>
      <c r="G20" s="502"/>
      <c r="H20" s="502"/>
      <c r="I20" s="502"/>
      <c r="J20" s="502"/>
      <c r="K20" s="502"/>
      <c r="L20" s="502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</row>
    <row r="21" spans="1:26" ht="17.25" customHeight="1" x14ac:dyDescent="0.25">
      <c r="A21" s="500" t="s">
        <v>678</v>
      </c>
      <c r="B21" s="503" t="s">
        <v>688</v>
      </c>
      <c r="C21" s="503"/>
      <c r="D21" s="503"/>
      <c r="E21" s="501"/>
      <c r="F21" s="501"/>
      <c r="G21" s="502"/>
      <c r="H21" s="502"/>
      <c r="I21" s="502"/>
      <c r="J21" s="502"/>
      <c r="K21" s="502"/>
      <c r="L21" s="502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</row>
    <row r="22" spans="1:26" ht="17.25" customHeight="1" x14ac:dyDescent="0.25">
      <c r="A22" s="500"/>
      <c r="B22" s="503"/>
      <c r="C22" s="503"/>
      <c r="D22" s="503"/>
      <c r="E22" s="501"/>
      <c r="F22" s="501"/>
      <c r="G22" s="502"/>
      <c r="H22" s="502"/>
      <c r="I22" s="502"/>
      <c r="J22" s="502"/>
      <c r="K22" s="502"/>
      <c r="L22" s="502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</row>
    <row r="23" spans="1:26" ht="17.25" customHeight="1" x14ac:dyDescent="0.25">
      <c r="A23" s="500" t="s">
        <v>679</v>
      </c>
      <c r="B23" s="590" t="s">
        <v>689</v>
      </c>
      <c r="C23" s="590"/>
      <c r="D23" s="590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</row>
    <row r="24" spans="1:26" ht="17.25" customHeight="1" x14ac:dyDescent="0.25">
      <c r="A24" s="500"/>
      <c r="B24" s="590" t="s">
        <v>690</v>
      </c>
      <c r="C24" s="590"/>
      <c r="D24" s="590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</row>
    <row r="25" spans="1:26" ht="17.25" customHeight="1" x14ac:dyDescent="0.25">
      <c r="A25" s="500"/>
      <c r="B25" s="590" t="s">
        <v>691</v>
      </c>
      <c r="C25" s="590"/>
      <c r="D25" s="590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</row>
    <row r="26" spans="1:26" ht="17.25" customHeight="1" x14ac:dyDescent="0.25">
      <c r="A26" s="500" t="s">
        <v>680</v>
      </c>
      <c r="B26" s="590" t="s">
        <v>689</v>
      </c>
      <c r="C26" s="590"/>
      <c r="D26" s="590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</row>
    <row r="27" spans="1:26" ht="17.25" customHeight="1" x14ac:dyDescent="0.25">
      <c r="A27" s="500"/>
      <c r="B27" s="590" t="s">
        <v>691</v>
      </c>
      <c r="C27" s="590"/>
      <c r="D27" s="590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</row>
    <row r="28" spans="1:26" ht="17.25" customHeight="1" x14ac:dyDescent="0.25">
      <c r="A28" s="500"/>
      <c r="B28" s="503"/>
      <c r="C28" s="503"/>
      <c r="D28" s="50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</row>
    <row r="29" spans="1:26" ht="17.25" customHeight="1" x14ac:dyDescent="0.25">
      <c r="A29" s="500" t="s">
        <v>681</v>
      </c>
      <c r="B29" s="504">
        <v>1</v>
      </c>
      <c r="C29" s="503"/>
      <c r="D29" s="50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</row>
    <row r="30" spans="1:26" ht="17.25" customHeight="1" x14ac:dyDescent="0.25">
      <c r="A30" s="500" t="s">
        <v>682</v>
      </c>
      <c r="B30" s="592" t="s">
        <v>683</v>
      </c>
      <c r="C30" s="590"/>
      <c r="D30" s="590"/>
      <c r="E30" s="505"/>
      <c r="F30" s="505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</row>
    <row r="31" spans="1:26" ht="17.25" customHeight="1" x14ac:dyDescent="0.25">
      <c r="A31" s="500" t="s">
        <v>684</v>
      </c>
      <c r="B31" s="590" t="s">
        <v>685</v>
      </c>
      <c r="C31" s="590"/>
      <c r="D31" s="590"/>
      <c r="E31" s="505"/>
      <c r="F31" s="505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</row>
    <row r="32" spans="1:26" ht="17.25" customHeight="1" x14ac:dyDescent="0.25">
      <c r="A32" s="506"/>
      <c r="B32" s="507" t="s">
        <v>686</v>
      </c>
      <c r="C32" s="506"/>
      <c r="D32" s="506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</row>
    <row r="33" spans="1:26" x14ac:dyDescent="0.25">
      <c r="A33" s="492"/>
      <c r="B33" s="492"/>
      <c r="C33" s="492"/>
      <c r="D33" s="492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</row>
    <row r="34" spans="1:26" x14ac:dyDescent="0.25">
      <c r="A34" s="492"/>
      <c r="B34" s="492"/>
      <c r="C34" s="492"/>
      <c r="D34" s="492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</row>
    <row r="35" spans="1:26" x14ac:dyDescent="0.25">
      <c r="A35" s="492"/>
      <c r="B35" s="492"/>
      <c r="C35" s="492"/>
      <c r="D35" s="492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</row>
    <row r="36" spans="1:26" x14ac:dyDescent="0.25">
      <c r="A36" s="492"/>
      <c r="B36" s="492"/>
      <c r="C36" s="492"/>
      <c r="D36" s="492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</row>
    <row r="37" spans="1:26" x14ac:dyDescent="0.25">
      <c r="A37" s="492"/>
      <c r="B37" s="492"/>
      <c r="C37" s="492"/>
      <c r="D37" s="492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</row>
    <row r="38" spans="1:26" x14ac:dyDescent="0.25">
      <c r="A38" s="492"/>
      <c r="B38" s="492"/>
      <c r="C38" s="492"/>
      <c r="D38" s="492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</row>
    <row r="39" spans="1:26" x14ac:dyDescent="0.25">
      <c r="A39" s="492"/>
      <c r="B39" s="492"/>
      <c r="C39" s="492"/>
      <c r="D39" s="492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</row>
    <row r="40" spans="1:26" x14ac:dyDescent="0.25">
      <c r="A40" s="492"/>
      <c r="B40" s="492"/>
      <c r="C40" s="492"/>
      <c r="D40" s="492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</row>
    <row r="41" spans="1:26" x14ac:dyDescent="0.25">
      <c r="A41" s="492"/>
      <c r="B41" s="492"/>
      <c r="C41" s="492"/>
      <c r="D41" s="492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</row>
    <row r="42" spans="1:26" x14ac:dyDescent="0.25">
      <c r="A42" s="492"/>
      <c r="B42" s="492"/>
      <c r="C42" s="492"/>
      <c r="D42" s="492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</row>
    <row r="43" spans="1:26" x14ac:dyDescent="0.25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</row>
    <row r="44" spans="1:26" x14ac:dyDescent="0.25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</row>
    <row r="45" spans="1:26" x14ac:dyDescent="0.25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</row>
    <row r="46" spans="1:26" x14ac:dyDescent="0.25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</row>
    <row r="47" spans="1:26" x14ac:dyDescent="0.25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</row>
    <row r="48" spans="1:26" x14ac:dyDescent="0.25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</row>
    <row r="49" spans="1:26" x14ac:dyDescent="0.25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</row>
    <row r="50" spans="1:26" x14ac:dyDescent="0.25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</row>
    <row r="51" spans="1:26" x14ac:dyDescent="0.25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</row>
    <row r="52" spans="1:26" x14ac:dyDescent="0.25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</row>
    <row r="53" spans="1:26" x14ac:dyDescent="0.25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</row>
    <row r="54" spans="1:26" x14ac:dyDescent="0.25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</row>
    <row r="55" spans="1:26" x14ac:dyDescent="0.25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</row>
    <row r="56" spans="1:26" x14ac:dyDescent="0.25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</row>
    <row r="57" spans="1:26" x14ac:dyDescent="0.25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</row>
    <row r="58" spans="1:26" x14ac:dyDescent="0.25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</row>
    <row r="59" spans="1:26" x14ac:dyDescent="0.25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</row>
    <row r="60" spans="1:26" x14ac:dyDescent="0.25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</row>
    <row r="61" spans="1:26" x14ac:dyDescent="0.25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</row>
    <row r="62" spans="1:26" x14ac:dyDescent="0.25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</row>
    <row r="63" spans="1:26" x14ac:dyDescent="0.25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</row>
    <row r="64" spans="1:26" x14ac:dyDescent="0.25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</row>
    <row r="65" spans="1:26" x14ac:dyDescent="0.25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</row>
    <row r="66" spans="1:26" x14ac:dyDescent="0.25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</row>
    <row r="67" spans="1:26" x14ac:dyDescent="0.25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</row>
    <row r="68" spans="1:26" x14ac:dyDescent="0.25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</row>
    <row r="69" spans="1:26" x14ac:dyDescent="0.25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</row>
    <row r="70" spans="1:26" x14ac:dyDescent="0.25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</row>
    <row r="71" spans="1:26" x14ac:dyDescent="0.25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</row>
    <row r="72" spans="1:26" x14ac:dyDescent="0.25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</row>
    <row r="73" spans="1:26" x14ac:dyDescent="0.25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</row>
    <row r="74" spans="1:26" x14ac:dyDescent="0.25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</row>
    <row r="75" spans="1:26" x14ac:dyDescent="0.25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</row>
    <row r="76" spans="1:26" x14ac:dyDescent="0.25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</row>
    <row r="77" spans="1:26" x14ac:dyDescent="0.25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</row>
    <row r="78" spans="1:26" x14ac:dyDescent="0.25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</row>
    <row r="79" spans="1:26" x14ac:dyDescent="0.25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</row>
    <row r="80" spans="1:26" x14ac:dyDescent="0.25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</row>
    <row r="81" spans="1:26" x14ac:dyDescent="0.25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</row>
    <row r="82" spans="1:26" x14ac:dyDescent="0.25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</row>
    <row r="83" spans="1:26" x14ac:dyDescent="0.25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</row>
    <row r="84" spans="1:26" x14ac:dyDescent="0.25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</row>
    <row r="85" spans="1:26" x14ac:dyDescent="0.25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</row>
    <row r="86" spans="1:26" x14ac:dyDescent="0.25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</row>
    <row r="87" spans="1:26" x14ac:dyDescent="0.25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</row>
    <row r="88" spans="1:26" x14ac:dyDescent="0.25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</row>
    <row r="89" spans="1:26" x14ac:dyDescent="0.25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</row>
    <row r="90" spans="1:26" x14ac:dyDescent="0.25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</row>
    <row r="91" spans="1:26" x14ac:dyDescent="0.25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</row>
    <row r="92" spans="1:26" x14ac:dyDescent="0.25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</row>
    <row r="93" spans="1:26" x14ac:dyDescent="0.25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</row>
    <row r="94" spans="1:26" x14ac:dyDescent="0.25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</row>
    <row r="95" spans="1:26" x14ac:dyDescent="0.25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</row>
    <row r="96" spans="1:26" x14ac:dyDescent="0.25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</row>
    <row r="97" spans="1:26" x14ac:dyDescent="0.25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</row>
    <row r="98" spans="1:26" x14ac:dyDescent="0.25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</row>
    <row r="99" spans="1:26" x14ac:dyDescent="0.25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93" t="s">
        <v>1</v>
      </c>
      <c r="C2" s="594"/>
      <c r="D2" s="594"/>
      <c r="E2" s="595"/>
      <c r="G2" s="593" t="s">
        <v>2</v>
      </c>
      <c r="H2" s="595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176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177</v>
      </c>
      <c r="C4" s="155" t="s">
        <v>178</v>
      </c>
      <c r="D4" s="156">
        <v>44136</v>
      </c>
      <c r="E4" s="157" t="s">
        <v>179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180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181</v>
      </c>
      <c r="C6" s="161" t="s">
        <v>182</v>
      </c>
      <c r="D6" s="162">
        <v>44166</v>
      </c>
      <c r="E6" s="163" t="s">
        <v>180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183</v>
      </c>
      <c r="C7" s="161" t="s">
        <v>184</v>
      </c>
      <c r="D7" s="166">
        <v>43862</v>
      </c>
      <c r="E7" s="163" t="s">
        <v>180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185</v>
      </c>
      <c r="D8" s="166">
        <v>44166</v>
      </c>
      <c r="E8" s="163" t="s">
        <v>180</v>
      </c>
      <c r="G8" s="168"/>
      <c r="H8" s="159" t="s">
        <v>186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187</v>
      </c>
      <c r="C9" s="161" t="s">
        <v>188</v>
      </c>
      <c r="D9" s="166">
        <v>44044</v>
      </c>
      <c r="E9" s="163" t="s">
        <v>180</v>
      </c>
      <c r="G9" s="169"/>
      <c r="H9" s="170" t="s">
        <v>7</v>
      </c>
    </row>
    <row r="10" spans="2:20" x14ac:dyDescent="0.2">
      <c r="B10" s="160" t="s">
        <v>189</v>
      </c>
      <c r="C10" s="161" t="s">
        <v>42</v>
      </c>
      <c r="D10" s="166">
        <v>44136</v>
      </c>
      <c r="E10" s="163" t="s">
        <v>180</v>
      </c>
    </row>
    <row r="11" spans="2:20" x14ac:dyDescent="0.2">
      <c r="B11" s="160" t="s">
        <v>190</v>
      </c>
      <c r="C11" s="161" t="s">
        <v>44</v>
      </c>
      <c r="D11" s="166">
        <v>44013</v>
      </c>
      <c r="E11" s="163" t="s">
        <v>180</v>
      </c>
    </row>
    <row r="12" spans="2:20" x14ac:dyDescent="0.2">
      <c r="B12" s="160" t="s">
        <v>191</v>
      </c>
      <c r="C12" s="161" t="s">
        <v>45</v>
      </c>
      <c r="D12" s="166">
        <v>44136</v>
      </c>
      <c r="E12" s="163" t="s">
        <v>179</v>
      </c>
    </row>
    <row r="13" spans="2:20" ht="15" thickBot="1" x14ac:dyDescent="0.25">
      <c r="B13" s="160" t="s">
        <v>192</v>
      </c>
      <c r="C13" s="161" t="s">
        <v>193</v>
      </c>
      <c r="D13" s="166">
        <v>44136</v>
      </c>
      <c r="E13" s="163" t="s">
        <v>180</v>
      </c>
    </row>
    <row r="14" spans="2:20" ht="19.5" thickBot="1" x14ac:dyDescent="0.25">
      <c r="B14" s="160" t="s">
        <v>194</v>
      </c>
      <c r="C14" s="161" t="s">
        <v>195</v>
      </c>
      <c r="D14" s="166">
        <v>44105</v>
      </c>
      <c r="E14" s="163" t="s">
        <v>180</v>
      </c>
      <c r="G14" s="593" t="s">
        <v>11</v>
      </c>
      <c r="H14" s="595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180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180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180</v>
      </c>
      <c r="G17" s="183" t="s">
        <v>14</v>
      </c>
      <c r="H17" s="184" t="s">
        <v>196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180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96" t="s">
        <v>54</v>
      </c>
      <c r="C20" s="597"/>
      <c r="D20" s="597"/>
      <c r="E20" s="598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176</v>
      </c>
      <c r="F21" s="178" t="s">
        <v>661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180</v>
      </c>
      <c r="F22" s="484" t="s">
        <v>662</v>
      </c>
    </row>
    <row r="23" spans="2:8" ht="15" customHeight="1" x14ac:dyDescent="0.25">
      <c r="B23" s="485" t="s">
        <v>663</v>
      </c>
      <c r="C23" s="488" t="s">
        <v>664</v>
      </c>
      <c r="D23" s="486">
        <v>43952</v>
      </c>
      <c r="E23" s="487" t="s">
        <v>180</v>
      </c>
      <c r="F23" s="491" t="s">
        <v>665</v>
      </c>
      <c r="G23" s="146" t="s">
        <v>675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180</v>
      </c>
      <c r="F24" s="489" t="s">
        <v>662</v>
      </c>
    </row>
    <row r="25" spans="2:8" ht="15" customHeight="1" x14ac:dyDescent="0.25">
      <c r="B25" s="181" t="s">
        <v>197</v>
      </c>
      <c r="C25" s="190" t="s">
        <v>58</v>
      </c>
      <c r="D25" s="189">
        <v>43952</v>
      </c>
      <c r="E25" s="163" t="s">
        <v>180</v>
      </c>
      <c r="F25" s="489" t="s">
        <v>662</v>
      </c>
    </row>
    <row r="26" spans="2:8" ht="15" customHeight="1" x14ac:dyDescent="0.25">
      <c r="B26" s="181" t="s">
        <v>198</v>
      </c>
      <c r="C26" s="190" t="s">
        <v>199</v>
      </c>
      <c r="D26" s="189">
        <v>43983</v>
      </c>
      <c r="E26" s="163" t="s">
        <v>180</v>
      </c>
      <c r="F26" s="484" t="s">
        <v>662</v>
      </c>
    </row>
    <row r="27" spans="2:8" ht="15" customHeight="1" x14ac:dyDescent="0.25">
      <c r="B27" s="181" t="s">
        <v>200</v>
      </c>
      <c r="C27" s="190" t="s">
        <v>666</v>
      </c>
      <c r="D27" s="189">
        <v>43983</v>
      </c>
      <c r="E27" s="163" t="s">
        <v>180</v>
      </c>
      <c r="F27" s="489" t="s">
        <v>662</v>
      </c>
    </row>
    <row r="28" spans="2:8" ht="15" x14ac:dyDescent="0.25">
      <c r="B28" s="181" t="s">
        <v>668</v>
      </c>
      <c r="C28" s="201" t="s">
        <v>667</v>
      </c>
      <c r="D28" s="189">
        <v>43983</v>
      </c>
      <c r="E28" s="163" t="s">
        <v>180</v>
      </c>
      <c r="F28" s="484" t="s">
        <v>662</v>
      </c>
    </row>
    <row r="29" spans="2:8" x14ac:dyDescent="0.2">
      <c r="B29" s="146" t="s">
        <v>670</v>
      </c>
      <c r="C29" s="201" t="s">
        <v>669</v>
      </c>
      <c r="D29" s="189">
        <v>44013</v>
      </c>
      <c r="E29" s="163" t="s">
        <v>180</v>
      </c>
      <c r="F29" s="491" t="s">
        <v>665</v>
      </c>
      <c r="G29" s="146" t="s">
        <v>671</v>
      </c>
    </row>
    <row r="30" spans="2:8" x14ac:dyDescent="0.2">
      <c r="B30" s="146" t="s">
        <v>672</v>
      </c>
      <c r="C30" s="146" t="s">
        <v>673</v>
      </c>
      <c r="D30" s="490">
        <v>44287</v>
      </c>
      <c r="E30" s="163" t="s">
        <v>180</v>
      </c>
      <c r="F30" s="484" t="s">
        <v>662</v>
      </c>
      <c r="G30" s="146" t="s">
        <v>674</v>
      </c>
    </row>
    <row r="35" spans="2:8" ht="15" thickBot="1" x14ac:dyDescent="0.25"/>
    <row r="36" spans="2:8" ht="19.5" thickBot="1" x14ac:dyDescent="0.25">
      <c r="B36" s="593" t="s">
        <v>59</v>
      </c>
      <c r="C36" s="594"/>
      <c r="D36" s="594"/>
      <c r="E36" s="595"/>
      <c r="G36" s="599" t="s">
        <v>55</v>
      </c>
      <c r="H36" s="600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176</v>
      </c>
      <c r="G37" s="194" t="s">
        <v>15</v>
      </c>
      <c r="H37" s="194" t="s">
        <v>201</v>
      </c>
    </row>
    <row r="38" spans="2:8" ht="15" x14ac:dyDescent="0.25">
      <c r="B38" s="194">
        <v>1</v>
      </c>
      <c r="C38" s="182" t="s">
        <v>202</v>
      </c>
      <c r="D38" s="195">
        <v>44166</v>
      </c>
      <c r="E38" s="196" t="s">
        <v>180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4" t="s">
        <v>142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66" t="s">
        <v>538</v>
      </c>
      <c r="H3" s="18" t="s">
        <v>26</v>
      </c>
      <c r="I3" s="17" t="s">
        <v>235</v>
      </c>
      <c r="J3" s="17" t="s">
        <v>78</v>
      </c>
      <c r="S3" s="601" t="s">
        <v>248</v>
      </c>
      <c r="T3" s="601"/>
      <c r="U3" s="601"/>
      <c r="V3" s="601"/>
      <c r="W3" s="601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  <c r="S4" s="211" t="s">
        <v>249</v>
      </c>
      <c r="T4" s="212" t="s">
        <v>250</v>
      </c>
      <c r="U4" s="212" t="s">
        <v>251</v>
      </c>
      <c r="V4" s="212" t="s">
        <v>252</v>
      </c>
      <c r="W4" s="213" t="s">
        <v>253</v>
      </c>
    </row>
    <row r="5" spans="3:23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234</v>
      </c>
      <c r="J5" s="61" t="s">
        <v>94</v>
      </c>
      <c r="S5" s="214" t="s">
        <v>239</v>
      </c>
      <c r="T5" s="215">
        <v>9418.8988568067343</v>
      </c>
      <c r="U5" s="215">
        <v>15472.073727176739</v>
      </c>
      <c r="V5" s="215">
        <v>20378.706337556119</v>
      </c>
      <c r="W5" s="216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698</v>
      </c>
      <c r="F6" s="21" t="s">
        <v>132</v>
      </c>
      <c r="G6" s="21">
        <v>1</v>
      </c>
      <c r="H6" s="125">
        <v>100</v>
      </c>
      <c r="I6" s="230">
        <f>[1]ArchetypeDemand!$L$51</f>
        <v>1.3249013578385519E-4</v>
      </c>
      <c r="J6" s="123">
        <v>2019</v>
      </c>
      <c r="L6" s="3">
        <f>I6/0.0000036</f>
        <v>36.802815495515333</v>
      </c>
      <c r="S6" s="217" t="s">
        <v>240</v>
      </c>
      <c r="T6" s="218">
        <v>7459.2913438514906</v>
      </c>
      <c r="U6" s="218">
        <v>9537.7783975583752</v>
      </c>
      <c r="V6" s="218">
        <v>9433.9012004747347</v>
      </c>
      <c r="W6" s="219">
        <v>26430.9709418846</v>
      </c>
    </row>
    <row r="7" spans="3:23" ht="15" x14ac:dyDescent="0.2">
      <c r="C7" s="63"/>
      <c r="D7" s="63"/>
      <c r="E7" s="24" t="s">
        <v>128</v>
      </c>
      <c r="F7" s="25"/>
      <c r="G7" s="25"/>
      <c r="H7" s="63"/>
      <c r="I7" s="231">
        <f>0.000214944231847928*0.9</f>
        <v>1.934498086631352E-4</v>
      </c>
      <c r="J7" s="57"/>
      <c r="L7" s="4">
        <f t="shared" ref="L7:L10" si="0">I7/0.0000036</f>
        <v>53.736057961982006</v>
      </c>
      <c r="S7" s="220" t="s">
        <v>241</v>
      </c>
      <c r="T7" s="221">
        <v>14041.847426430093</v>
      </c>
      <c r="U7" s="221">
        <v>17545.09295382088</v>
      </c>
      <c r="V7" s="221">
        <v>20090.949195825138</v>
      </c>
      <c r="W7" s="222">
        <v>51677.889576076108</v>
      </c>
    </row>
    <row r="8" spans="3:23" ht="15" x14ac:dyDescent="0.2">
      <c r="C8" s="62"/>
      <c r="D8" s="62"/>
      <c r="E8" s="30" t="s">
        <v>129</v>
      </c>
      <c r="F8" s="41"/>
      <c r="G8" s="41"/>
      <c r="H8" s="62"/>
      <c r="I8" s="232">
        <f>[1]ArchetypeDemand!$L$53</f>
        <v>2.6993348022525303E-3</v>
      </c>
      <c r="J8" s="58"/>
      <c r="L8" s="4">
        <f t="shared" si="0"/>
        <v>749.81522284792516</v>
      </c>
      <c r="S8" s="217" t="s">
        <v>242</v>
      </c>
      <c r="T8" s="218">
        <v>19924.480375055824</v>
      </c>
      <c r="U8" s="218">
        <v>49768.849685929476</v>
      </c>
      <c r="V8" s="218">
        <v>53466.210043981671</v>
      </c>
      <c r="W8" s="219">
        <v>123159.54010496697</v>
      </c>
    </row>
    <row r="9" spans="3:23" ht="15" x14ac:dyDescent="0.2">
      <c r="C9" s="63"/>
      <c r="D9" s="63"/>
      <c r="E9" s="24" t="s">
        <v>130</v>
      </c>
      <c r="F9" s="25"/>
      <c r="G9" s="25"/>
      <c r="H9" s="63"/>
      <c r="I9" s="231">
        <f>[1]ArchetypeDemand!$L$54</f>
        <v>3.2505870170077217E-4</v>
      </c>
      <c r="J9" s="57"/>
      <c r="L9" s="4">
        <f t="shared" si="0"/>
        <v>90.294083805770057</v>
      </c>
      <c r="S9" s="220" t="s">
        <v>243</v>
      </c>
      <c r="T9" s="221">
        <v>58904.8034364337</v>
      </c>
      <c r="U9" s="221">
        <v>282151.52747564798</v>
      </c>
      <c r="V9" s="221">
        <v>251318.93361374349</v>
      </c>
      <c r="W9" s="222">
        <v>592375.26452582516</v>
      </c>
    </row>
    <row r="10" spans="3:23" ht="15" x14ac:dyDescent="0.2">
      <c r="C10" s="85"/>
      <c r="D10" s="85"/>
      <c r="E10" s="113" t="s">
        <v>131</v>
      </c>
      <c r="F10" s="114"/>
      <c r="G10" s="114"/>
      <c r="H10" s="85"/>
      <c r="I10" s="233">
        <f>[1]ArchetypeDemand!$L$55</f>
        <v>2.4641622412260611E-4</v>
      </c>
      <c r="J10" s="91"/>
      <c r="L10" s="4">
        <f t="shared" si="0"/>
        <v>68.448951145168365</v>
      </c>
      <c r="S10" s="217" t="s">
        <v>244</v>
      </c>
      <c r="T10" s="218">
        <v>43739.341649106158</v>
      </c>
      <c r="U10" s="218">
        <v>187627.02237661046</v>
      </c>
      <c r="V10" s="218">
        <v>166667.79141279124</v>
      </c>
      <c r="W10" s="219">
        <v>398034.15543850785</v>
      </c>
    </row>
    <row r="11" spans="3:23" ht="15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S11" s="220" t="s">
        <v>245</v>
      </c>
      <c r="T11" s="221">
        <v>25767.876472761334</v>
      </c>
      <c r="U11" s="221">
        <v>101418.89596184672</v>
      </c>
      <c r="V11" s="221">
        <v>81396.697989555512</v>
      </c>
      <c r="W11" s="222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727</v>
      </c>
      <c r="F12" s="21" t="s">
        <v>136</v>
      </c>
      <c r="G12" s="21">
        <v>1</v>
      </c>
      <c r="H12" s="125">
        <v>100</v>
      </c>
      <c r="I12" s="230">
        <f>[1]ArchetypeDemand!$L$6</f>
        <v>3.1499640433377643E-4</v>
      </c>
      <c r="J12" s="123">
        <v>2019</v>
      </c>
      <c r="L12" s="4">
        <f>I12/0.0000036</f>
        <v>87.499001203826793</v>
      </c>
      <c r="S12" s="217" t="s">
        <v>246</v>
      </c>
      <c r="T12" s="218">
        <v>12331.173226884033</v>
      </c>
      <c r="U12" s="218">
        <v>50123.806027321167</v>
      </c>
      <c r="V12" s="218">
        <v>43241.005762967114</v>
      </c>
      <c r="W12" s="219">
        <v>105695.98501717232</v>
      </c>
    </row>
    <row r="13" spans="3:23" ht="15.75" thickBot="1" x14ac:dyDescent="0.25">
      <c r="C13" s="63"/>
      <c r="D13" s="63"/>
      <c r="E13" s="24" t="s">
        <v>137</v>
      </c>
      <c r="F13" s="25"/>
      <c r="G13" s="25"/>
      <c r="H13" s="63"/>
      <c r="I13" s="231">
        <f>0.000214944231847928*1</f>
        <v>2.1494423184792799E-4</v>
      </c>
      <c r="J13" s="57"/>
      <c r="L13" s="4">
        <f t="shared" ref="L13:L16" si="1">I13/0.0000036</f>
        <v>59.706731068868891</v>
      </c>
      <c r="S13" s="223" t="s">
        <v>247</v>
      </c>
      <c r="T13" s="224">
        <v>15211.172212670604</v>
      </c>
      <c r="U13" s="224">
        <v>52706.674394088106</v>
      </c>
      <c r="V13" s="224">
        <v>78435.533443104825</v>
      </c>
      <c r="W13" s="222">
        <v>146353.38004986354</v>
      </c>
    </row>
    <row r="14" spans="3:23" ht="15.75" thickBot="1" x14ac:dyDescent="0.25">
      <c r="C14" s="62"/>
      <c r="D14" s="62"/>
      <c r="E14" s="30" t="s">
        <v>138</v>
      </c>
      <c r="F14" s="41"/>
      <c r="G14" s="41"/>
      <c r="H14" s="62"/>
      <c r="I14" s="232">
        <f>[1]ArchetypeDemand!$L$8</f>
        <v>2.5141244794864483E-3</v>
      </c>
      <c r="J14" s="58"/>
      <c r="L14" s="4">
        <f t="shared" si="1"/>
        <v>698.36791096845786</v>
      </c>
      <c r="S14" s="225" t="s">
        <v>254</v>
      </c>
      <c r="T14" s="226">
        <v>206798.88499999998</v>
      </c>
      <c r="U14" s="226">
        <v>766351.72099999979</v>
      </c>
      <c r="V14" s="226">
        <v>724429.72899999993</v>
      </c>
      <c r="W14" s="227">
        <v>1697580.3349999997</v>
      </c>
    </row>
    <row r="15" spans="3:23" ht="15.75" thickBot="1" x14ac:dyDescent="0.25">
      <c r="C15" s="63"/>
      <c r="D15" s="63"/>
      <c r="E15" s="24" t="s">
        <v>139</v>
      </c>
      <c r="F15" s="25"/>
      <c r="G15" s="25"/>
      <c r="H15" s="63"/>
      <c r="I15" s="231">
        <f>[1]ArchetypeDemand!$L$9</f>
        <v>3.0596592500527567E-4</v>
      </c>
      <c r="J15" s="57"/>
      <c r="L15" s="4">
        <f t="shared" si="1"/>
        <v>84.990534723687688</v>
      </c>
      <c r="S15" s="229" t="s">
        <v>255</v>
      </c>
      <c r="T15" s="228">
        <v>0.74286208971025169</v>
      </c>
      <c r="U15" s="228">
        <v>0.69963472197389465</v>
      </c>
      <c r="V15" s="228">
        <v>0.71303848954914961</v>
      </c>
    </row>
    <row r="16" spans="3:23" x14ac:dyDescent="0.2">
      <c r="C16" s="85"/>
      <c r="D16" s="85"/>
      <c r="E16" s="113" t="s">
        <v>140</v>
      </c>
      <c r="F16" s="114"/>
      <c r="G16" s="114"/>
      <c r="H16" s="85"/>
      <c r="I16" s="233">
        <f>[1]ArchetypeDemand!$L$10</f>
        <v>2.1782809199424584E-4</v>
      </c>
      <c r="J16" s="91"/>
      <c r="L16" s="4">
        <f t="shared" si="1"/>
        <v>60.507803331734962</v>
      </c>
    </row>
    <row r="17" spans="2:39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728</v>
      </c>
      <c r="F18" s="21" t="s">
        <v>143</v>
      </c>
      <c r="G18" s="21">
        <v>1</v>
      </c>
      <c r="H18" s="125">
        <v>100</v>
      </c>
      <c r="I18" s="230">
        <f>[1]ArchetypeDemand!$L$96</f>
        <v>2.4058665241777602E-3</v>
      </c>
      <c r="J18" s="123">
        <v>2019</v>
      </c>
      <c r="L18" s="4">
        <f>I18/0.0000036</f>
        <v>668.29625671604458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144</v>
      </c>
      <c r="F19" s="25"/>
      <c r="G19" s="25"/>
      <c r="H19" s="63"/>
      <c r="I19" s="231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145</v>
      </c>
      <c r="F20" s="41"/>
      <c r="G20" s="41"/>
      <c r="H20" s="62"/>
      <c r="I20" s="232">
        <f>[1]ArchetypeDemand!$L$98</f>
        <v>4.2605415152040874E-3</v>
      </c>
      <c r="J20" s="58"/>
      <c r="L20" s="4">
        <f t="shared" si="2"/>
        <v>1183.4837542233577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146</v>
      </c>
      <c r="F21" s="25"/>
      <c r="G21" s="25"/>
      <c r="H21" s="63"/>
      <c r="I21" s="231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3" t="s">
        <v>147</v>
      </c>
      <c r="F22" s="114"/>
      <c r="G22" s="114"/>
      <c r="H22" s="85"/>
      <c r="I22" s="233">
        <f>[1]ArchetypeDemand!$L$100</f>
        <v>6.686799636959782E-4</v>
      </c>
      <c r="J22" s="91"/>
      <c r="L22" s="4">
        <f t="shared" si="2"/>
        <v>185.74443435999396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203</v>
      </c>
      <c r="C27" s="13" t="s">
        <v>204</v>
      </c>
      <c r="D27" s="13" t="s">
        <v>33</v>
      </c>
      <c r="E27" s="13" t="s">
        <v>71</v>
      </c>
      <c r="F27" s="13" t="s">
        <v>72</v>
      </c>
      <c r="G27" s="13" t="s">
        <v>205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16" t="s">
        <v>268</v>
      </c>
      <c r="C28" s="117" t="s">
        <v>122</v>
      </c>
      <c r="D28" s="117" t="s">
        <v>125</v>
      </c>
      <c r="E28" s="117" t="s">
        <v>121</v>
      </c>
      <c r="F28" s="117" t="s">
        <v>121</v>
      </c>
      <c r="G28" s="117"/>
      <c r="H28" s="1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16" t="s">
        <v>268</v>
      </c>
      <c r="C29" s="117" t="s">
        <v>123</v>
      </c>
      <c r="D29" s="117" t="s">
        <v>126</v>
      </c>
      <c r="E29" s="117" t="s">
        <v>121</v>
      </c>
      <c r="F29" s="117" t="s">
        <v>121</v>
      </c>
      <c r="G29" s="117"/>
      <c r="H29" s="1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16" t="s">
        <v>268</v>
      </c>
      <c r="C30" s="119" t="s">
        <v>124</v>
      </c>
      <c r="D30" s="119" t="s">
        <v>127</v>
      </c>
      <c r="E30" s="119" t="s">
        <v>121</v>
      </c>
      <c r="F30" s="119" t="s">
        <v>121</v>
      </c>
      <c r="G30" s="119"/>
      <c r="H30" s="12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251"/>
  <sheetViews>
    <sheetView tabSelected="1" topLeftCell="H25" zoomScale="80" zoomScaleNormal="80" workbookViewId="0">
      <selection activeCell="AB41" sqref="AB41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556</v>
      </c>
      <c r="G3" s="14" t="s">
        <v>24</v>
      </c>
      <c r="H3" s="17" t="s">
        <v>729</v>
      </c>
      <c r="I3" s="17" t="s">
        <v>730</v>
      </c>
      <c r="J3" s="17" t="s">
        <v>731</v>
      </c>
      <c r="K3" s="17" t="s">
        <v>732</v>
      </c>
      <c r="L3" s="17" t="s">
        <v>218</v>
      </c>
      <c r="M3" s="17" t="s">
        <v>219</v>
      </c>
      <c r="N3" s="17" t="s">
        <v>220</v>
      </c>
      <c r="O3" s="17" t="s">
        <v>221</v>
      </c>
      <c r="P3" s="17" t="s">
        <v>222</v>
      </c>
      <c r="Q3" s="17" t="s">
        <v>223</v>
      </c>
      <c r="R3" s="17" t="s">
        <v>224</v>
      </c>
      <c r="S3" s="17" t="s">
        <v>225</v>
      </c>
      <c r="T3" s="18" t="s">
        <v>26</v>
      </c>
      <c r="U3" s="18" t="s">
        <v>76</v>
      </c>
      <c r="V3" s="17" t="s">
        <v>236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280</v>
      </c>
      <c r="AC3" s="17" t="s">
        <v>281</v>
      </c>
      <c r="AD3" s="17" t="s">
        <v>282</v>
      </c>
      <c r="AE3" s="17" t="s">
        <v>693</v>
      </c>
      <c r="AF3" s="17" t="s">
        <v>238</v>
      </c>
      <c r="AG3" s="17" t="s">
        <v>77</v>
      </c>
      <c r="AH3" s="17" t="s">
        <v>267</v>
      </c>
      <c r="AI3" s="17" t="s">
        <v>78</v>
      </c>
      <c r="AJ3" s="17" t="s">
        <v>554</v>
      </c>
    </row>
    <row r="4" spans="3:44" ht="38.25" x14ac:dyDescent="0.2">
      <c r="C4" s="16" t="s">
        <v>278</v>
      </c>
      <c r="D4" s="16" t="s">
        <v>33</v>
      </c>
      <c r="E4" s="16" t="s">
        <v>80</v>
      </c>
      <c r="F4" s="16" t="s">
        <v>557</v>
      </c>
      <c r="G4" s="16" t="s">
        <v>81</v>
      </c>
      <c r="H4" s="611" t="s">
        <v>258</v>
      </c>
      <c r="I4" s="612"/>
      <c r="J4" s="612"/>
      <c r="K4" s="613"/>
      <c r="L4" s="611" t="s">
        <v>83</v>
      </c>
      <c r="M4" s="612"/>
      <c r="N4" s="612"/>
      <c r="O4" s="613"/>
      <c r="P4" s="611" t="s">
        <v>84</v>
      </c>
      <c r="Q4" s="612"/>
      <c r="R4" s="612"/>
      <c r="S4" s="613"/>
      <c r="T4" s="611" t="s">
        <v>85</v>
      </c>
      <c r="U4" s="613"/>
      <c r="V4" s="605" t="s">
        <v>86</v>
      </c>
      <c r="W4" s="606"/>
      <c r="X4" s="606"/>
      <c r="Y4" s="607"/>
      <c r="Z4" s="60"/>
      <c r="AA4" s="60"/>
      <c r="AB4" s="68" t="s">
        <v>207</v>
      </c>
      <c r="AC4" s="70" t="s">
        <v>207</v>
      </c>
      <c r="AD4" s="70" t="s">
        <v>207</v>
      </c>
      <c r="AE4" s="70" t="s">
        <v>207</v>
      </c>
      <c r="AF4" s="70" t="s">
        <v>237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" x14ac:dyDescent="0.2">
      <c r="C5" s="366" t="s">
        <v>277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45" x14ac:dyDescent="0.2">
      <c r="C6" s="37" t="s">
        <v>269</v>
      </c>
      <c r="D6" s="38"/>
      <c r="E6" s="38"/>
      <c r="F6" s="38"/>
      <c r="G6" s="39"/>
      <c r="H6" s="608" t="s">
        <v>34</v>
      </c>
      <c r="I6" s="609"/>
      <c r="J6" s="609"/>
      <c r="K6" s="610"/>
      <c r="L6" s="609" t="s">
        <v>34</v>
      </c>
      <c r="M6" s="609"/>
      <c r="N6" s="609"/>
      <c r="O6" s="610"/>
      <c r="P6" s="608" t="s">
        <v>34</v>
      </c>
      <c r="Q6" s="609"/>
      <c r="R6" s="609"/>
      <c r="S6" s="610"/>
      <c r="T6" s="608" t="s">
        <v>68</v>
      </c>
      <c r="U6" s="610"/>
      <c r="V6" s="608" t="s">
        <v>503</v>
      </c>
      <c r="W6" s="609"/>
      <c r="X6" s="609"/>
      <c r="Y6" s="610"/>
      <c r="Z6" s="520" t="s">
        <v>515</v>
      </c>
      <c r="AA6" s="520" t="s">
        <v>93</v>
      </c>
      <c r="AB6" s="37" t="s">
        <v>34</v>
      </c>
      <c r="AC6" s="520" t="s">
        <v>34</v>
      </c>
      <c r="AD6" s="520" t="s">
        <v>34</v>
      </c>
      <c r="AE6" s="520"/>
      <c r="AF6" s="520"/>
      <c r="AG6" s="69" t="s">
        <v>283</v>
      </c>
      <c r="AH6" s="520" t="s">
        <v>34</v>
      </c>
      <c r="AI6" s="520" t="s">
        <v>94</v>
      </c>
      <c r="AJ6" s="520" t="s">
        <v>555</v>
      </c>
      <c r="AL6" s="205" t="s">
        <v>69</v>
      </c>
      <c r="AM6" s="205" t="s">
        <v>70</v>
      </c>
      <c r="AN6" s="205" t="s">
        <v>33</v>
      </c>
      <c r="AO6" s="205" t="s">
        <v>71</v>
      </c>
      <c r="AP6" s="205" t="s">
        <v>72</v>
      </c>
      <c r="AQ6" s="205" t="s">
        <v>73</v>
      </c>
      <c r="AR6" s="205" t="s">
        <v>74</v>
      </c>
    </row>
    <row r="7" spans="3:44" ht="15" x14ac:dyDescent="0.25">
      <c r="C7" s="19" t="str">
        <f>"R-SH_Apt"&amp;"_"&amp;RIGHT(E7,3)&amp;"_N1"</f>
        <v>R-SH_Apt_KER_N1</v>
      </c>
      <c r="D7" s="19" t="s">
        <v>96</v>
      </c>
      <c r="E7" s="88" t="s">
        <v>259</v>
      </c>
      <c r="F7" s="88"/>
      <c r="G7" s="518" t="s">
        <v>708</v>
      </c>
      <c r="H7" s="240">
        <v>1</v>
      </c>
      <c r="I7" s="241">
        <v>1</v>
      </c>
      <c r="J7" s="241">
        <v>1</v>
      </c>
      <c r="K7" s="242">
        <v>1</v>
      </c>
      <c r="L7" s="46"/>
      <c r="M7" s="47"/>
      <c r="N7" s="47"/>
      <c r="O7" s="48"/>
      <c r="P7" s="240"/>
      <c r="Q7" s="241"/>
      <c r="R7" s="241"/>
      <c r="S7" s="242"/>
      <c r="T7" s="52">
        <v>20</v>
      </c>
      <c r="U7" s="88"/>
      <c r="V7" s="513">
        <f>V9*1.3</f>
        <v>3.6270000000000002</v>
      </c>
      <c r="W7" s="513">
        <f t="shared" ref="W7:Y7" si="0">W9*1.3</f>
        <v>3.6270000000000002</v>
      </c>
      <c r="X7" s="513">
        <f t="shared" si="0"/>
        <v>3.6270000000000002</v>
      </c>
      <c r="Y7" s="513">
        <f t="shared" si="0"/>
        <v>3.6270000000000002</v>
      </c>
      <c r="Z7" s="513">
        <v>0.12</v>
      </c>
      <c r="AA7" s="87"/>
      <c r="AB7" s="254"/>
      <c r="AC7" s="254"/>
      <c r="AD7" s="254"/>
      <c r="AE7" s="254"/>
      <c r="AF7" s="254"/>
      <c r="AG7" s="84">
        <f>31.536*(AJ7/1000)</f>
        <v>0.47304000000000002</v>
      </c>
      <c r="AH7" s="87"/>
      <c r="AI7" s="87">
        <v>2019</v>
      </c>
      <c r="AJ7" s="87">
        <v>15</v>
      </c>
      <c r="AL7" s="100" t="s">
        <v>31</v>
      </c>
      <c r="AM7" s="99" t="str">
        <f t="shared" ref="AM7:AN14" si="1">C7</f>
        <v>R-SH_Apt_KER_N1</v>
      </c>
      <c r="AN7" s="99" t="str">
        <f t="shared" si="1"/>
        <v>Residential Kerosene Heating Oil - New 1 SH</v>
      </c>
      <c r="AO7" s="100" t="s">
        <v>13</v>
      </c>
      <c r="AP7" s="100" t="s">
        <v>175</v>
      </c>
      <c r="AQ7" s="100"/>
      <c r="AR7" s="100" t="s">
        <v>75</v>
      </c>
    </row>
    <row r="8" spans="3:44" ht="15" x14ac:dyDescent="0.25">
      <c r="C8" s="22" t="str">
        <f>"R-SW_Apt"&amp;"_"&amp;RIGHT(E8,3)&amp;"_N1"</f>
        <v>R-SW_Apt_KER_N1</v>
      </c>
      <c r="D8" s="22" t="s">
        <v>97</v>
      </c>
      <c r="E8" s="24" t="s">
        <v>259</v>
      </c>
      <c r="F8" s="24"/>
      <c r="G8" s="57" t="s">
        <v>709</v>
      </c>
      <c r="H8" s="237">
        <v>1</v>
      </c>
      <c r="I8" s="238">
        <v>1</v>
      </c>
      <c r="J8" s="238">
        <v>1</v>
      </c>
      <c r="K8" s="239">
        <v>1</v>
      </c>
      <c r="L8" s="44"/>
      <c r="M8" s="32"/>
      <c r="N8" s="32"/>
      <c r="O8" s="45"/>
      <c r="P8" s="237">
        <f>H8*0.7</f>
        <v>0.7</v>
      </c>
      <c r="Q8" s="238">
        <f t="shared" ref="Q8" si="2">I8*0.7</f>
        <v>0.7</v>
      </c>
      <c r="R8" s="238">
        <f t="shared" ref="R8" si="3">J8*0.7</f>
        <v>0.7</v>
      </c>
      <c r="S8" s="239">
        <f t="shared" ref="S8" si="4">K8*0.7</f>
        <v>0.7</v>
      </c>
      <c r="T8" s="53">
        <v>20</v>
      </c>
      <c r="U8" s="24"/>
      <c r="V8" s="374">
        <f>V10*1.3</f>
        <v>3.6576075949367097</v>
      </c>
      <c r="W8" s="374">
        <f t="shared" ref="W8:Y8" si="5">W10*1.3</f>
        <v>3.6576075949367097</v>
      </c>
      <c r="X8" s="374">
        <f t="shared" si="5"/>
        <v>3.6576075949367097</v>
      </c>
      <c r="Y8" s="374">
        <f t="shared" si="5"/>
        <v>3.6576075949367097</v>
      </c>
      <c r="Z8" s="374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1"/>
        <v>R-SW_Apt_KER_N1</v>
      </c>
      <c r="AN8" s="99" t="str">
        <f t="shared" si="1"/>
        <v>Residential Kerosene Heating Oil - New 2 SH + WH</v>
      </c>
      <c r="AO8" s="100" t="s">
        <v>13</v>
      </c>
      <c r="AP8" s="100" t="s">
        <v>175</v>
      </c>
      <c r="AQ8" s="100"/>
      <c r="AR8" s="100" t="s">
        <v>75</v>
      </c>
    </row>
    <row r="9" spans="3:44" ht="15" x14ac:dyDescent="0.25">
      <c r="C9" s="40" t="str">
        <f>"R-SH_Apt"&amp;"_"&amp;RIGHT(E9,3)&amp;"_N1"</f>
        <v>R-SH_Apt_GAS_N1</v>
      </c>
      <c r="D9" s="40" t="s">
        <v>95</v>
      </c>
      <c r="E9" s="24" t="s">
        <v>694</v>
      </c>
      <c r="F9" s="30"/>
      <c r="G9" s="519" t="s">
        <v>708</v>
      </c>
      <c r="H9" s="234">
        <v>1</v>
      </c>
      <c r="I9" s="235">
        <v>1</v>
      </c>
      <c r="J9" s="235">
        <v>1</v>
      </c>
      <c r="K9" s="236">
        <v>1</v>
      </c>
      <c r="L9" s="42"/>
      <c r="M9" s="31"/>
      <c r="N9" s="31"/>
      <c r="O9" s="43"/>
      <c r="P9" s="234"/>
      <c r="Q9" s="235"/>
      <c r="R9" s="235"/>
      <c r="S9" s="236"/>
      <c r="T9" s="54">
        <v>22</v>
      </c>
      <c r="U9" s="30"/>
      <c r="V9" s="373">
        <f>2.79</f>
        <v>2.79</v>
      </c>
      <c r="W9" s="373">
        <f t="shared" ref="W9:Y9" si="7">2.79</f>
        <v>2.79</v>
      </c>
      <c r="X9" s="373">
        <f t="shared" si="7"/>
        <v>2.79</v>
      </c>
      <c r="Y9" s="373">
        <f t="shared" si="7"/>
        <v>2.79</v>
      </c>
      <c r="Z9" s="373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1"/>
        <v>R-SH_Apt_GAS_N1</v>
      </c>
      <c r="AN9" s="99" t="str">
        <f t="shared" si="1"/>
        <v>Residential Natural Gas Heating - New 1 SH</v>
      </c>
      <c r="AO9" s="100" t="s">
        <v>13</v>
      </c>
      <c r="AP9" s="100" t="s">
        <v>175</v>
      </c>
      <c r="AQ9" s="100"/>
      <c r="AR9" s="100" t="s">
        <v>75</v>
      </c>
    </row>
    <row r="10" spans="3:44" ht="15" x14ac:dyDescent="0.25">
      <c r="C10" s="22" t="str">
        <f>"R-SW_Apt"&amp;"_"&amp;RIGHT(E10,3)&amp;"_N1"</f>
        <v>R-SW_Apt_GAS_N1</v>
      </c>
      <c r="D10" s="22" t="s">
        <v>99</v>
      </c>
      <c r="E10" s="24" t="s">
        <v>694</v>
      </c>
      <c r="F10" s="24"/>
      <c r="G10" s="57" t="s">
        <v>709</v>
      </c>
      <c r="H10" s="237">
        <v>1</v>
      </c>
      <c r="I10" s="238">
        <v>1</v>
      </c>
      <c r="J10" s="238">
        <v>1</v>
      </c>
      <c r="K10" s="239">
        <v>1</v>
      </c>
      <c r="L10" s="44"/>
      <c r="M10" s="32"/>
      <c r="N10" s="32"/>
      <c r="O10" s="45"/>
      <c r="P10" s="237">
        <f>H10*0.7</f>
        <v>0.7</v>
      </c>
      <c r="Q10" s="238">
        <f t="shared" ref="Q10" si="8">I10*0.7</f>
        <v>0.7</v>
      </c>
      <c r="R10" s="238">
        <f t="shared" ref="R10" si="9">J10*0.7</f>
        <v>0.7</v>
      </c>
      <c r="S10" s="239">
        <f t="shared" ref="S10" si="10">K10*0.7</f>
        <v>0.7</v>
      </c>
      <c r="T10" s="53">
        <v>22</v>
      </c>
      <c r="U10" s="24"/>
      <c r="V10" s="374">
        <f>V9*($U$220/$U$219)</f>
        <v>2.8135443037974688</v>
      </c>
      <c r="W10" s="374">
        <f>W9*($U$220/$U$219)</f>
        <v>2.8135443037974688</v>
      </c>
      <c r="X10" s="374">
        <f>X9*($U$220/$U$219)</f>
        <v>2.8135443037974688</v>
      </c>
      <c r="Y10" s="374">
        <f>Y9*($U$220/$U$219)</f>
        <v>2.8135443037974688</v>
      </c>
      <c r="Z10" s="374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1"/>
        <v>R-SW_Apt_GAS_N1</v>
      </c>
      <c r="AN10" s="99" t="str">
        <f t="shared" si="1"/>
        <v>Residential Natural Gas Heating - New 2 SH + WH</v>
      </c>
      <c r="AO10" s="100" t="s">
        <v>13</v>
      </c>
      <c r="AP10" s="100" t="s">
        <v>175</v>
      </c>
      <c r="AQ10" s="100"/>
      <c r="AR10" s="100" t="s">
        <v>75</v>
      </c>
    </row>
    <row r="11" spans="3:44" ht="15" x14ac:dyDescent="0.25">
      <c r="C11" s="40" t="str">
        <f>"R-SH_Apt"&amp;"_"&amp;RIGHT(E11,3)&amp;"_N1"</f>
        <v>R-SH_Apt_LPG_N1</v>
      </c>
      <c r="D11" s="40" t="s">
        <v>103</v>
      </c>
      <c r="E11" s="30" t="s">
        <v>260</v>
      </c>
      <c r="F11" s="30"/>
      <c r="G11" s="519" t="s">
        <v>708</v>
      </c>
      <c r="H11" s="234">
        <v>1</v>
      </c>
      <c r="I11" s="235">
        <v>1</v>
      </c>
      <c r="J11" s="235">
        <v>1</v>
      </c>
      <c r="K11" s="236">
        <v>1</v>
      </c>
      <c r="L11" s="42"/>
      <c r="M11" s="31"/>
      <c r="N11" s="31"/>
      <c r="O11" s="43"/>
      <c r="P11" s="234"/>
      <c r="Q11" s="235"/>
      <c r="R11" s="235"/>
      <c r="S11" s="236"/>
      <c r="T11" s="54">
        <v>22</v>
      </c>
      <c r="U11" s="30"/>
      <c r="V11" s="373">
        <f>2.79+0.35</f>
        <v>3.14</v>
      </c>
      <c r="W11" s="373">
        <f t="shared" ref="W11:Y11" si="11">2.79+0.35</f>
        <v>3.14</v>
      </c>
      <c r="X11" s="373">
        <f t="shared" si="11"/>
        <v>3.14</v>
      </c>
      <c r="Y11" s="373">
        <f t="shared" si="11"/>
        <v>3.14</v>
      </c>
      <c r="Z11" s="373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1"/>
        <v>R-SH_Apt_LPG_N1</v>
      </c>
      <c r="AN11" s="99" t="str">
        <f t="shared" si="1"/>
        <v>Residential Liquid Petroleum Gas- New 1 SH</v>
      </c>
      <c r="AO11" s="100" t="s">
        <v>13</v>
      </c>
      <c r="AP11" s="100" t="s">
        <v>175</v>
      </c>
      <c r="AQ11" s="100"/>
      <c r="AR11" s="100" t="s">
        <v>75</v>
      </c>
    </row>
    <row r="12" spans="3:44" ht="15" x14ac:dyDescent="0.25">
      <c r="C12" s="22" t="str">
        <f>"R-SW_Apt"&amp;"_"&amp;RIGHT(E12,3)&amp;"_N1"</f>
        <v>R-SW_Apt_LPG_N1</v>
      </c>
      <c r="D12" s="22" t="s">
        <v>104</v>
      </c>
      <c r="E12" s="24" t="s">
        <v>260</v>
      </c>
      <c r="F12" s="24"/>
      <c r="G12" s="57" t="s">
        <v>709</v>
      </c>
      <c r="H12" s="237">
        <v>1</v>
      </c>
      <c r="I12" s="238">
        <v>1</v>
      </c>
      <c r="J12" s="238">
        <v>1</v>
      </c>
      <c r="K12" s="239">
        <v>1</v>
      </c>
      <c r="L12" s="44"/>
      <c r="M12" s="32"/>
      <c r="N12" s="32"/>
      <c r="O12" s="45"/>
      <c r="P12" s="237">
        <f>H12*0.7</f>
        <v>0.7</v>
      </c>
      <c r="Q12" s="238">
        <f t="shared" ref="Q12:S12" si="12">I12*0.7</f>
        <v>0.7</v>
      </c>
      <c r="R12" s="238">
        <f t="shared" si="12"/>
        <v>0.7</v>
      </c>
      <c r="S12" s="239">
        <f t="shared" si="12"/>
        <v>0.7</v>
      </c>
      <c r="T12" s="53">
        <v>22</v>
      </c>
      <c r="U12" s="24"/>
      <c r="V12" s="374">
        <f>V10+0.35</f>
        <v>3.1635443037974689</v>
      </c>
      <c r="W12" s="374">
        <f t="shared" ref="W12:Y12" si="13">W10+0.35</f>
        <v>3.1635443037974689</v>
      </c>
      <c r="X12" s="374">
        <f t="shared" si="13"/>
        <v>3.1635443037974689</v>
      </c>
      <c r="Y12" s="374">
        <f t="shared" si="13"/>
        <v>3.1635443037974689</v>
      </c>
      <c r="Z12" s="374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0"/>
      <c r="AM12" s="99" t="str">
        <f t="shared" si="1"/>
        <v>R-SW_Apt_LPG_N1</v>
      </c>
      <c r="AN12" s="99" t="str">
        <f t="shared" si="1"/>
        <v>Residential Liquid Petroleum Gas- New 2 SH + WH</v>
      </c>
      <c r="AO12" s="100" t="s">
        <v>13</v>
      </c>
      <c r="AP12" s="100" t="s">
        <v>175</v>
      </c>
      <c r="AQ12" s="100"/>
      <c r="AR12" s="100" t="s">
        <v>75</v>
      </c>
    </row>
    <row r="13" spans="3:44" ht="15" x14ac:dyDescent="0.25">
      <c r="C13" s="40" t="str">
        <f>"R-SH_Apt"&amp;"_"&amp;RIGHT(E13,3)&amp;"_N1"</f>
        <v>R-SH_Apt_WOO_N1</v>
      </c>
      <c r="D13" s="40" t="s">
        <v>105</v>
      </c>
      <c r="E13" s="30" t="s">
        <v>263</v>
      </c>
      <c r="F13" s="30"/>
      <c r="G13" s="519" t="s">
        <v>708</v>
      </c>
      <c r="H13" s="234">
        <v>1</v>
      </c>
      <c r="I13" s="235">
        <v>1</v>
      </c>
      <c r="J13" s="235">
        <v>1</v>
      </c>
      <c r="K13" s="236">
        <v>1</v>
      </c>
      <c r="L13" s="42"/>
      <c r="M13" s="31"/>
      <c r="N13" s="31"/>
      <c r="O13" s="43"/>
      <c r="P13" s="234"/>
      <c r="Q13" s="235"/>
      <c r="R13" s="235"/>
      <c r="S13" s="236"/>
      <c r="T13" s="54">
        <v>20</v>
      </c>
      <c r="U13" s="30"/>
      <c r="V13" s="373">
        <v>6.25</v>
      </c>
      <c r="W13" s="373">
        <v>6.25</v>
      </c>
      <c r="X13" s="373">
        <f>W13*1.1</f>
        <v>6.8750000000000009</v>
      </c>
      <c r="Y13" s="373">
        <f>W13*1.1</f>
        <v>6.8750000000000009</v>
      </c>
      <c r="Z13" s="373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0"/>
      <c r="AM13" s="99" t="str">
        <f t="shared" si="1"/>
        <v>R-SH_Apt_WOO_N1</v>
      </c>
      <c r="AN13" s="99" t="str">
        <f t="shared" si="1"/>
        <v>Residential Biomass Boiler - New 1 SH</v>
      </c>
      <c r="AO13" s="100" t="s">
        <v>13</v>
      </c>
      <c r="AP13" s="100" t="s">
        <v>175</v>
      </c>
      <c r="AQ13" s="100"/>
      <c r="AR13" s="100" t="s">
        <v>75</v>
      </c>
    </row>
    <row r="14" spans="3:44" ht="15.75" thickBot="1" x14ac:dyDescent="0.3">
      <c r="C14" s="246" t="str">
        <f>"R-SW_Apt"&amp;"_"&amp;RIGHT(E14,3)&amp;"_N1"</f>
        <v>R-SW_Apt_WOO_N1</v>
      </c>
      <c r="D14" s="246" t="s">
        <v>106</v>
      </c>
      <c r="E14" s="27" t="s">
        <v>263</v>
      </c>
      <c r="F14" s="27"/>
      <c r="G14" s="59" t="s">
        <v>709</v>
      </c>
      <c r="H14" s="247">
        <v>1</v>
      </c>
      <c r="I14" s="248">
        <v>1</v>
      </c>
      <c r="J14" s="248">
        <v>1</v>
      </c>
      <c r="K14" s="249">
        <v>1</v>
      </c>
      <c r="L14" s="49"/>
      <c r="M14" s="50"/>
      <c r="N14" s="50"/>
      <c r="O14" s="51"/>
      <c r="P14" s="247">
        <f t="shared" ref="P14:S14" si="14">H14*0.7</f>
        <v>0.7</v>
      </c>
      <c r="Q14" s="248">
        <f t="shared" si="14"/>
        <v>0.7</v>
      </c>
      <c r="R14" s="248">
        <f t="shared" si="14"/>
        <v>0.7</v>
      </c>
      <c r="S14" s="249">
        <f t="shared" si="14"/>
        <v>0.7</v>
      </c>
      <c r="T14" s="55">
        <v>20</v>
      </c>
      <c r="U14" s="27"/>
      <c r="V14" s="516">
        <f>(JRC_Data!BB11/1000)*($U$220/$U$221)</f>
        <v>6.6663223140495873</v>
      </c>
      <c r="W14" s="516">
        <f>(JRC_Data!BC11/1000)*($U$220/$U$221)</f>
        <v>6.6663223140495873</v>
      </c>
      <c r="X14" s="516">
        <f>(JRC_Data!BD11/1000)*($U$220/$U$221)</f>
        <v>7.4070247933884303</v>
      </c>
      <c r="Y14" s="516">
        <f>(JRC_Data!BE11/1000)*($U$220/$U$221)</f>
        <v>7.4070247933884303</v>
      </c>
      <c r="Z14" s="516">
        <v>0.25</v>
      </c>
      <c r="AA14" s="67"/>
      <c r="AB14" s="515"/>
      <c r="AC14" s="515"/>
      <c r="AD14" s="515"/>
      <c r="AE14" s="515"/>
      <c r="AF14" s="515"/>
      <c r="AG14" s="64">
        <f t="shared" si="6"/>
        <v>0.56764799999999993</v>
      </c>
      <c r="AH14" s="67"/>
      <c r="AI14" s="67">
        <v>2019</v>
      </c>
      <c r="AJ14" s="67">
        <v>18</v>
      </c>
      <c r="AL14" s="103"/>
      <c r="AM14" s="102" t="str">
        <f t="shared" si="1"/>
        <v>R-SW_Apt_WOO_N1</v>
      </c>
      <c r="AN14" s="102" t="str">
        <f t="shared" si="1"/>
        <v>Residential Biomass Boiler - New 2 SH + WH</v>
      </c>
      <c r="AO14" s="103" t="s">
        <v>13</v>
      </c>
      <c r="AP14" s="103" t="s">
        <v>175</v>
      </c>
      <c r="AQ14" s="103"/>
      <c r="AR14" s="103" t="s">
        <v>75</v>
      </c>
    </row>
    <row r="15" spans="3:44" ht="15.75" thickBot="1" x14ac:dyDescent="0.3">
      <c r="C15" s="521" t="s">
        <v>270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22"/>
      <c r="AC15" s="522"/>
      <c r="AD15" s="522"/>
      <c r="AE15" s="522"/>
      <c r="AF15" s="522"/>
      <c r="AG15" s="33"/>
      <c r="AH15" s="34"/>
      <c r="AI15" s="34"/>
      <c r="AJ15" s="523"/>
      <c r="AL15" s="104"/>
      <c r="AM15" s="105" t="str">
        <f>C16</f>
        <v>R-SH_Apt_ELC_N1</v>
      </c>
      <c r="AN15" s="105" t="str">
        <f>D16</f>
        <v>Residential Electric Heater - New 1 SH</v>
      </c>
      <c r="AO15" s="104" t="s">
        <v>13</v>
      </c>
      <c r="AP15" s="104" t="s">
        <v>175</v>
      </c>
      <c r="AQ15" s="104"/>
      <c r="AR15" s="104" t="s">
        <v>75</v>
      </c>
    </row>
    <row r="16" spans="3:44" ht="15" x14ac:dyDescent="0.25">
      <c r="C16" s="92" t="str">
        <f>"R-SH_Apt"&amp;"_"&amp;RIGHT(E16,3)&amp;"_N1"</f>
        <v>R-SH_Apt_ELC_N1</v>
      </c>
      <c r="D16" s="79" t="s">
        <v>107</v>
      </c>
      <c r="E16" s="115" t="s">
        <v>148</v>
      </c>
      <c r="F16" s="115"/>
      <c r="G16" s="80" t="s">
        <v>708</v>
      </c>
      <c r="H16" s="243">
        <v>1</v>
      </c>
      <c r="I16" s="244">
        <v>1</v>
      </c>
      <c r="J16" s="244">
        <v>1</v>
      </c>
      <c r="K16" s="245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(JRC_Data!BB48/1000)*($U$219/$U$221)</f>
        <v>3.9173553719008263</v>
      </c>
      <c r="W16" s="78">
        <f>(JRC_Data!BC48/1000)*($U$219/$U$221)</f>
        <v>3.9173553719008263</v>
      </c>
      <c r="X16" s="78">
        <f>(JRC_Data!BD48/1000)*($U$219/$U$221)</f>
        <v>3.9173553719008263</v>
      </c>
      <c r="Y16" s="78">
        <f>(JRC_Data!BE48/1000)*($U$219/$U$221)</f>
        <v>3.9173553719008263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98"/>
      <c r="AM16" s="97" t="str">
        <f t="shared" ref="AM16:AN18" si="15">C18</f>
        <v>R-SH_Apt_ELC_HPN1</v>
      </c>
      <c r="AN16" s="97" t="str">
        <f t="shared" si="15"/>
        <v>Residential Electric Heat Pump - Air to Air - SH</v>
      </c>
      <c r="AO16" s="98" t="s">
        <v>13</v>
      </c>
      <c r="AP16" s="98" t="s">
        <v>175</v>
      </c>
      <c r="AQ16" s="98"/>
      <c r="AR16" s="98" t="s">
        <v>75</v>
      </c>
    </row>
    <row r="17" spans="3:45" ht="15" x14ac:dyDescent="0.25">
      <c r="C17" s="524" t="s">
        <v>271</v>
      </c>
      <c r="D17" s="525"/>
      <c r="E17" s="526"/>
      <c r="F17" s="526"/>
      <c r="G17" s="526"/>
      <c r="H17" s="527"/>
      <c r="I17" s="527"/>
      <c r="J17" s="527"/>
      <c r="K17" s="527"/>
      <c r="L17" s="527"/>
      <c r="M17" s="527"/>
      <c r="N17" s="527"/>
      <c r="O17" s="527"/>
      <c r="P17" s="527"/>
      <c r="Q17" s="527"/>
      <c r="R17" s="527"/>
      <c r="S17" s="527"/>
      <c r="T17" s="526"/>
      <c r="U17" s="526"/>
      <c r="V17" s="525"/>
      <c r="W17" s="525"/>
      <c r="X17" s="525"/>
      <c r="Y17" s="525"/>
      <c r="Z17" s="525"/>
      <c r="AA17" s="526"/>
      <c r="AB17" s="528"/>
      <c r="AC17" s="528"/>
      <c r="AD17" s="528"/>
      <c r="AE17" s="528"/>
      <c r="AF17" s="528"/>
      <c r="AG17" s="525"/>
      <c r="AH17" s="526"/>
      <c r="AI17" s="526"/>
      <c r="AJ17" s="529"/>
      <c r="AL17" s="100"/>
      <c r="AM17" s="99" t="str">
        <f t="shared" si="15"/>
        <v>R-HC_Apt_ELC_HPN1</v>
      </c>
      <c r="AN17" s="99" t="str">
        <f t="shared" si="15"/>
        <v>Residential Electric Heat Pump - Air to Air - SH + SC</v>
      </c>
      <c r="AO17" s="100" t="s">
        <v>13</v>
      </c>
      <c r="AP17" s="100" t="s">
        <v>175</v>
      </c>
      <c r="AQ17" s="100"/>
      <c r="AR17" s="100" t="s">
        <v>75</v>
      </c>
    </row>
    <row r="18" spans="3:45" ht="15" x14ac:dyDescent="0.25">
      <c r="C18" s="40" t="str">
        <f>"R-SH_Apt"&amp;"_"&amp;RIGHT(E18,3)&amp;"_HPN1"</f>
        <v>R-SH_Apt_ELC_HPN1</v>
      </c>
      <c r="D18" s="29" t="s">
        <v>109</v>
      </c>
      <c r="E18" s="30" t="s">
        <v>148</v>
      </c>
      <c r="F18" s="30" t="s">
        <v>558</v>
      </c>
      <c r="G18" s="30" t="s">
        <v>708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12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54"/>
      <c r="AC18" s="254"/>
      <c r="AD18" s="254"/>
      <c r="AE18" s="254"/>
      <c r="AF18" s="254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si="15"/>
        <v>R-SH_Apt_ELC_HPN2-AB</v>
      </c>
      <c r="AN18" s="206" t="str">
        <f t="shared" si="15"/>
        <v>Residential Electric Heat Pump - Air to Water - SH - AB rated dwelling</v>
      </c>
      <c r="AO18" s="100" t="s">
        <v>13</v>
      </c>
      <c r="AP18" s="100" t="s">
        <v>175</v>
      </c>
      <c r="AQ18" s="100"/>
      <c r="AR18" s="100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148</v>
      </c>
      <c r="F19" s="24" t="s">
        <v>558</v>
      </c>
      <c r="G19" s="24" t="s">
        <v>710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v>1</v>
      </c>
      <c r="M19" s="23">
        <f>JRC_Data!AD16/JRC_Data!$AC$16</f>
        <v>1.0666666666666667</v>
      </c>
      <c r="N19" s="23">
        <f>JRC_Data!AE16/JRC_Data!$AC$16</f>
        <v>1.2333333333333334</v>
      </c>
      <c r="O19" s="57">
        <f>JRC_Data!AF16/JRC_Data!$AC$16</f>
        <v>1.3333333333333333</v>
      </c>
      <c r="P19" s="22"/>
      <c r="Q19" s="23"/>
      <c r="R19" s="23"/>
      <c r="S19" s="57"/>
      <c r="T19" s="511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17">C21</f>
        <v>R-SH_Apt_ELC_HPN2-C</v>
      </c>
      <c r="AN19" s="206" t="str">
        <f t="shared" si="17"/>
        <v>Residential Electric Heat Pump - Air to Water - SH - C rated dwelling</v>
      </c>
      <c r="AO19" s="100" t="s">
        <v>13</v>
      </c>
      <c r="AP19" s="100" t="s">
        <v>175</v>
      </c>
      <c r="AQ19" s="100"/>
      <c r="AR19" s="100" t="s">
        <v>75</v>
      </c>
      <c r="AS19" s="4"/>
    </row>
    <row r="20" spans="3:45" ht="15" x14ac:dyDescent="0.25">
      <c r="C20" s="19" t="str">
        <f>"R-SH_Apt"&amp;"_"&amp;RIGHT(E20,3)&amp;"_HPN2-AB"</f>
        <v>R-SH_Apt_ELC_HPN2-AB</v>
      </c>
      <c r="D20" s="88" t="s">
        <v>703</v>
      </c>
      <c r="E20" s="88" t="s">
        <v>148</v>
      </c>
      <c r="F20" s="88" t="s">
        <v>558</v>
      </c>
      <c r="G20" s="88" t="s">
        <v>698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10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89"/>
      <c r="AB20" s="254"/>
      <c r="AC20" s="254"/>
      <c r="AD20" s="254"/>
      <c r="AE20" s="254"/>
      <c r="AF20" s="254"/>
      <c r="AG20" s="84">
        <f t="shared" si="16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18">C22</f>
        <v>R-SH_Apt_ELC_HPN2-D</v>
      </c>
      <c r="AN20" s="206" t="str">
        <f t="shared" si="18"/>
        <v>Residential Electric Heat Pump - Air to Water - SH - D rated dwelling</v>
      </c>
      <c r="AO20" s="100" t="s">
        <v>13</v>
      </c>
      <c r="AP20" s="100" t="s">
        <v>175</v>
      </c>
      <c r="AQ20" s="100"/>
      <c r="AR20" s="100" t="s">
        <v>75</v>
      </c>
      <c r="AS20" s="4"/>
    </row>
    <row r="21" spans="3:45" ht="15" x14ac:dyDescent="0.25">
      <c r="C21" s="22" t="str">
        <f>"R-SH_Apt"&amp;"_"&amp;RIGHT(E21,3)&amp;"_HPN2-C"</f>
        <v>R-SH_Apt_ELC_HPN2-C</v>
      </c>
      <c r="D21" s="24" t="s">
        <v>704</v>
      </c>
      <c r="E21" s="24" t="s">
        <v>148</v>
      </c>
      <c r="F21" s="24" t="s">
        <v>558</v>
      </c>
      <c r="G21" s="24" t="s">
        <v>699</v>
      </c>
      <c r="H21" s="22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57">
        <f>JRC_Data!$AF$18/JRC_Data!$AC$16</f>
        <v>1.3333333333333333</v>
      </c>
      <c r="L21" s="22"/>
      <c r="M21" s="23"/>
      <c r="N21" s="23"/>
      <c r="O21" s="57"/>
      <c r="P21" s="22"/>
      <c r="Q21" s="23"/>
      <c r="R21" s="23"/>
      <c r="S21" s="57"/>
      <c r="T21" s="511">
        <v>20</v>
      </c>
      <c r="U21" s="23"/>
      <c r="V21" s="22">
        <f>JRC_Data!BC18/1000*($U$216/$U$218)</f>
        <v>9.1054231268355998</v>
      </c>
      <c r="W21" s="22">
        <f>JRC_Data!BD18/1000*($U$216/$U$218)</f>
        <v>9.1054231268355998</v>
      </c>
      <c r="X21" s="22">
        <f>JRC_Data!BE18/1000*($U$216/$U$218)</f>
        <v>8.1948808141520395</v>
      </c>
      <c r="Y21" s="22">
        <f>JRC_Data!BF18/1000*($U$216/$U$218)</f>
        <v>8.1948808141520395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19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:AN21" si="20">C23</f>
        <v>R-SH_Apt_ELC_HPN2-E</v>
      </c>
      <c r="AN21" s="206" t="str">
        <f t="shared" si="20"/>
        <v>Residential Electric Heat Pump - Air to Water - SH - E rated dwelling</v>
      </c>
      <c r="AO21" s="100" t="s">
        <v>13</v>
      </c>
      <c r="AP21" s="100" t="s">
        <v>175</v>
      </c>
      <c r="AQ21" s="100"/>
      <c r="AR21" s="100" t="s">
        <v>75</v>
      </c>
      <c r="AS21" s="4"/>
    </row>
    <row r="22" spans="3:45" ht="15" x14ac:dyDescent="0.25">
      <c r="C22" s="40" t="str">
        <f>"R-SH_Apt"&amp;"_"&amp;RIGHT(E22,3)&amp;"_HPN2-D"</f>
        <v>R-SH_Apt_ELC_HPN2-D</v>
      </c>
      <c r="D22" s="30" t="s">
        <v>705</v>
      </c>
      <c r="E22" s="30" t="s">
        <v>148</v>
      </c>
      <c r="F22" s="30" t="s">
        <v>558</v>
      </c>
      <c r="G22" s="30" t="s">
        <v>700</v>
      </c>
      <c r="H22" s="40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8">
        <f>JRC_Data!$AF$18/JRC_Data!$AC$16</f>
        <v>1.3333333333333333</v>
      </c>
      <c r="L22" s="40"/>
      <c r="M22" s="29"/>
      <c r="N22" s="29"/>
      <c r="O22" s="58"/>
      <c r="P22" s="40"/>
      <c r="Q22" s="29"/>
      <c r="R22" s="29"/>
      <c r="S22" s="58"/>
      <c r="T22" s="512">
        <v>20</v>
      </c>
      <c r="U22" s="29"/>
      <c r="V22" s="40">
        <f>JRC_Data!BC18/1000*($U$216/$U$218)</f>
        <v>9.1054231268355998</v>
      </c>
      <c r="W22" s="40">
        <f>JRC_Data!BD18/1000*($U$216/$U$218)</f>
        <v>9.1054231268355998</v>
      </c>
      <c r="X22" s="40">
        <f>JRC_Data!BE18/1000*($U$216/$U$218)</f>
        <v>8.1948808141520395</v>
      </c>
      <c r="Y22" s="40">
        <f>JRC_Data!BF18/1000*($U$216/$U$218)</f>
        <v>8.1948808141520395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19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1">C24</f>
        <v>R-SH_Apt_ELC_HPN2-F</v>
      </c>
      <c r="AN22" s="206" t="str">
        <f t="shared" si="21"/>
        <v>Residential Electric Heat Pump - Air to Water - SH - F rated dwelling</v>
      </c>
      <c r="AO22" s="100" t="s">
        <v>13</v>
      </c>
      <c r="AP22" s="100" t="s">
        <v>175</v>
      </c>
      <c r="AQ22" s="100"/>
      <c r="AR22" s="100" t="s">
        <v>75</v>
      </c>
      <c r="AS22" s="4"/>
    </row>
    <row r="23" spans="3:45" ht="15" x14ac:dyDescent="0.25">
      <c r="C23" s="22" t="str">
        <f>"R-SH_Apt"&amp;"_"&amp;RIGHT(E23,3)&amp;"_HPN2-E"</f>
        <v>R-SH_Apt_ELC_HPN2-E</v>
      </c>
      <c r="D23" s="24" t="s">
        <v>706</v>
      </c>
      <c r="E23" s="24" t="s">
        <v>148</v>
      </c>
      <c r="F23" s="24" t="s">
        <v>558</v>
      </c>
      <c r="G23" s="24" t="s">
        <v>701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511">
        <v>20</v>
      </c>
      <c r="U23" s="23"/>
      <c r="V23" s="22">
        <f>JRC_Data!BC18/1000*($U$216/$U$218)+RSD_Heating!$AG$245/1000</f>
        <v>10.3654231268356</v>
      </c>
      <c r="W23" s="22">
        <f>JRC_Data!BD18/1000*($U$216/$U$218)++RSD_Heating!$AG$245/1000</f>
        <v>10.3654231268356</v>
      </c>
      <c r="X23" s="22">
        <f>JRC_Data!BE18/1000*($U$216/$U$218)+RSD_Heating!$AG$245/1000</f>
        <v>9.4548808141520393</v>
      </c>
      <c r="Y23" s="22">
        <f>JRC_Data!BF18/1000*($U$216/$U$218)+RSD_Heating!$AG$245/1000</f>
        <v>9.4548808141520393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19"/>
        <v>0.15768000000000001</v>
      </c>
      <c r="AH23" s="66"/>
      <c r="AI23" s="66">
        <v>2019</v>
      </c>
      <c r="AJ23" s="66">
        <v>5</v>
      </c>
      <c r="AL23" s="100"/>
      <c r="AM23" s="206" t="str">
        <f t="shared" ref="AM23" si="22">C25</f>
        <v>R-SH_Apt_ELC_HPN2-G</v>
      </c>
      <c r="AN23" s="206" t="str">
        <f t="shared" ref="AN23" si="23">D25</f>
        <v>Residential Electric Heat Pump - Air to Water - SH - G rated dwelling</v>
      </c>
      <c r="AO23" s="100" t="s">
        <v>13</v>
      </c>
      <c r="AP23" s="100" t="s">
        <v>175</v>
      </c>
      <c r="AQ23" s="100"/>
      <c r="AR23" s="100" t="s">
        <v>75</v>
      </c>
      <c r="AS23" s="4"/>
    </row>
    <row r="24" spans="3:45" ht="15" x14ac:dyDescent="0.25">
      <c r="C24" s="40" t="str">
        <f>"R-SH_Apt"&amp;"_"&amp;RIGHT(E24,3)&amp;"_HPN2-F"</f>
        <v>R-SH_Apt_ELC_HPN2-F</v>
      </c>
      <c r="D24" s="30" t="s">
        <v>707</v>
      </c>
      <c r="E24" s="30" t="s">
        <v>148</v>
      </c>
      <c r="F24" s="30" t="s">
        <v>558</v>
      </c>
      <c r="G24" s="30" t="s">
        <v>702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512">
        <v>20</v>
      </c>
      <c r="U24" s="29"/>
      <c r="V24" s="40">
        <f>JRC_Data!BC18/1000*($U$216/$U$218)+RSD_Heating!$AG$246/1000</f>
        <v>10.5229231268356</v>
      </c>
      <c r="W24" s="40">
        <f>JRC_Data!BD18/1000*($U$216/$U$218)+RSD_Heating!$AG$246/1000</f>
        <v>10.5229231268356</v>
      </c>
      <c r="X24" s="40">
        <f>JRC_Data!BE18/1000*($U$216/$U$218)+RSD_Heating!$AG$246/1000</f>
        <v>9.6123808141520399</v>
      </c>
      <c r="Y24" s="40">
        <f>JRC_Data!BF18/1000*($U$216/$U$218)+RSD_Heating!$AG$246/1000</f>
        <v>9.6123808141520399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19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:AN24" si="24">C26</f>
        <v>R-SW_Apt_ELC_HPN1-AB</v>
      </c>
      <c r="AN24" s="206" t="str">
        <f t="shared" si="24"/>
        <v>Residential Electric Heat Pump - Air to Water - SH + WH - AB rated dwelling</v>
      </c>
      <c r="AO24" s="100" t="s">
        <v>13</v>
      </c>
      <c r="AP24" s="100" t="s">
        <v>175</v>
      </c>
      <c r="AQ24" s="100"/>
      <c r="AR24" s="100" t="s">
        <v>75</v>
      </c>
      <c r="AS24" s="4"/>
    </row>
    <row r="25" spans="3:45" ht="15" x14ac:dyDescent="0.25">
      <c r="C25" s="246" t="str">
        <f>"R-SH_Apt"&amp;"_"&amp;RIGHT(E24,3)&amp;"_HPN2-G"</f>
        <v>R-SH_Apt_ELC_HPN2-G</v>
      </c>
      <c r="D25" s="27" t="s">
        <v>733</v>
      </c>
      <c r="E25" s="27" t="s">
        <v>148</v>
      </c>
      <c r="F25" s="27" t="s">
        <v>558</v>
      </c>
      <c r="G25" s="27" t="s">
        <v>734</v>
      </c>
      <c r="H25" s="22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46"/>
      <c r="M25" s="26"/>
      <c r="N25" s="26"/>
      <c r="O25" s="59"/>
      <c r="P25" s="246"/>
      <c r="Q25" s="26"/>
      <c r="R25" s="26"/>
      <c r="S25" s="59"/>
      <c r="T25" s="514">
        <v>20</v>
      </c>
      <c r="U25" s="26"/>
      <c r="V25" s="246">
        <f>JRC_Data!BC18/1000*($U$216/$U$218)+RSD_Heating!$AG$247/1000</f>
        <v>10.680423126835599</v>
      </c>
      <c r="W25" s="246">
        <f>JRC_Data!BD18/1000*($U$216/$U$218)+RSD_Heating!$AG$247/1000</f>
        <v>10.680423126835599</v>
      </c>
      <c r="X25" s="246">
        <f>JRC_Data!BE18/1000*($U$216/$U$218)+RSD_Heating!$AG$247/1000</f>
        <v>9.7698808141520388</v>
      </c>
      <c r="Y25" s="246">
        <f>JRC_Data!BF18/1000*($U$216/$U$218)+RSD_Heating!$AG$247/1000</f>
        <v>9.7698808141520388</v>
      </c>
      <c r="Z25" s="64">
        <f>JRC_Data!$BL$18/1000</f>
        <v>0.15</v>
      </c>
      <c r="AA25" s="67"/>
      <c r="AB25" s="515"/>
      <c r="AC25" s="515"/>
      <c r="AD25" s="515"/>
      <c r="AE25" s="515"/>
      <c r="AF25" s="515"/>
      <c r="AG25" s="64">
        <f t="shared" si="19"/>
        <v>0.15768000000000001</v>
      </c>
      <c r="AH25" s="67"/>
      <c r="AI25" s="67">
        <v>2019</v>
      </c>
      <c r="AJ25" s="67">
        <v>5</v>
      </c>
      <c r="AL25" s="100"/>
      <c r="AM25" s="206" t="str">
        <f>C27</f>
        <v>R-SW_Apt_ELC_HPN1-C</v>
      </c>
      <c r="AN25" s="206" t="str">
        <f>D27</f>
        <v>Residential Electric Heat Pump - Air to Water - SH + WH - C rated dwelling</v>
      </c>
      <c r="AO25" s="100" t="s">
        <v>13</v>
      </c>
      <c r="AP25" s="100" t="s">
        <v>175</v>
      </c>
      <c r="AQ25" s="100"/>
      <c r="AR25" s="100" t="s">
        <v>75</v>
      </c>
      <c r="AS25" s="4"/>
    </row>
    <row r="26" spans="3:45" ht="15" x14ac:dyDescent="0.25">
      <c r="C26" s="19" t="str">
        <f>"R-SW_Apt"&amp;"_"&amp;RIGHT(E26,3)&amp;"_HPN1-AB"</f>
        <v>R-SW_Apt_ELC_HPN1-AB</v>
      </c>
      <c r="D26" s="88" t="s">
        <v>711</v>
      </c>
      <c r="E26" s="88" t="s">
        <v>148</v>
      </c>
      <c r="F26" s="88" t="s">
        <v>660</v>
      </c>
      <c r="G26" s="88" t="s">
        <v>716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5">I26*0.7</f>
        <v>0.76999999999999991</v>
      </c>
      <c r="R26" s="20">
        <f t="shared" si="25"/>
        <v>0.86333333333333329</v>
      </c>
      <c r="S26" s="56">
        <f t="shared" si="25"/>
        <v>0.93333333333333324</v>
      </c>
      <c r="T26" s="531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54"/>
      <c r="AC26" s="254"/>
      <c r="AD26" s="254"/>
      <c r="AE26" s="254"/>
      <c r="AF26" s="254"/>
      <c r="AG26" s="84">
        <f t="shared" si="16"/>
        <v>0.18921600000000002</v>
      </c>
      <c r="AH26" s="87"/>
      <c r="AI26" s="87">
        <v>2019</v>
      </c>
      <c r="AJ26" s="87">
        <v>6</v>
      </c>
      <c r="AL26" s="100"/>
      <c r="AM26" s="206" t="str">
        <f t="shared" ref="AM26" si="26">C28</f>
        <v>R-SW_Apt_ELC_HPN1-D</v>
      </c>
      <c r="AN26" s="206" t="str">
        <f t="shared" ref="AN26" si="27">D28</f>
        <v>Residential Electric Heat Pump - Air to Water - SH + WH - D rated dwelling</v>
      </c>
      <c r="AO26" s="100" t="s">
        <v>13</v>
      </c>
      <c r="AP26" s="100" t="s">
        <v>175</v>
      </c>
      <c r="AQ26" s="100"/>
      <c r="AR26" s="100" t="s">
        <v>75</v>
      </c>
      <c r="AS26" s="4"/>
    </row>
    <row r="27" spans="3:45" ht="15" x14ac:dyDescent="0.25">
      <c r="C27" s="22" t="str">
        <f>"R-SW_Apt"&amp;"_"&amp;RIGHT(E27,3)&amp;"_HPN1-C"</f>
        <v>R-SW_Apt_ELC_HPN1-C</v>
      </c>
      <c r="D27" s="24" t="s">
        <v>712</v>
      </c>
      <c r="E27" s="24" t="s">
        <v>148</v>
      </c>
      <c r="F27" s="24" t="s">
        <v>660</v>
      </c>
      <c r="G27" s="24" t="s">
        <v>717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8">H27*0.7</f>
        <v>0.7</v>
      </c>
      <c r="Q27" s="23">
        <f t="shared" ref="Q27:Q30" si="29">I27*0.7</f>
        <v>0.76999999999999991</v>
      </c>
      <c r="R27" s="23">
        <f t="shared" ref="R27:R30" si="30">J27*0.7</f>
        <v>0.86333333333333329</v>
      </c>
      <c r="S27" s="57">
        <f t="shared" ref="S27:S30" si="31">K27*0.7</f>
        <v>0.93333333333333324</v>
      </c>
      <c r="T27" s="532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2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ref="AM27" si="33">C29</f>
        <v>R-SW_Apt_ELC_HPN1-E</v>
      </c>
      <c r="AN27" s="206" t="str">
        <f t="shared" ref="AN27" si="34">D29</f>
        <v>Residential Electric Heat Pump - Air to Water - SH + WH - E rated dwelling</v>
      </c>
      <c r="AO27" s="100" t="s">
        <v>13</v>
      </c>
      <c r="AP27" s="100" t="s">
        <v>175</v>
      </c>
      <c r="AQ27" s="100"/>
      <c r="AR27" s="100" t="s">
        <v>75</v>
      </c>
      <c r="AS27" s="4"/>
    </row>
    <row r="28" spans="3:45" ht="15" x14ac:dyDescent="0.25">
      <c r="C28" s="40" t="str">
        <f>"R-SW_Apt"&amp;"_"&amp;RIGHT(E28,3)&amp;"_HPN1-D"</f>
        <v>R-SW_Apt_ELC_HPN1-D</v>
      </c>
      <c r="D28" s="30" t="s">
        <v>713</v>
      </c>
      <c r="E28" s="30" t="s">
        <v>148</v>
      </c>
      <c r="F28" s="30" t="s">
        <v>660</v>
      </c>
      <c r="G28" s="30" t="s">
        <v>718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8"/>
        <v>0.7</v>
      </c>
      <c r="Q28" s="29">
        <f t="shared" si="29"/>
        <v>0.76999999999999991</v>
      </c>
      <c r="R28" s="29">
        <f t="shared" si="30"/>
        <v>0.86333333333333329</v>
      </c>
      <c r="S28" s="58">
        <f t="shared" si="31"/>
        <v>0.93333333333333324</v>
      </c>
      <c r="T28" s="533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2"/>
        <v>0.18921600000000002</v>
      </c>
      <c r="AH28" s="65"/>
      <c r="AI28" s="65">
        <v>2019</v>
      </c>
      <c r="AJ28" s="65">
        <v>6</v>
      </c>
      <c r="AM28" s="206" t="str">
        <f t="shared" ref="AM28:AN35" si="35">C30</f>
        <v>R-SW_Apt_ELC_HPN1-F</v>
      </c>
      <c r="AN28" s="206" t="str">
        <f t="shared" si="35"/>
        <v>Residential Electric Heat Pump - Air to Water - SH + WH - F rated dwelling</v>
      </c>
      <c r="AO28" s="100" t="s">
        <v>13</v>
      </c>
      <c r="AP28" s="100" t="s">
        <v>175</v>
      </c>
      <c r="AQ28" s="100"/>
      <c r="AR28" s="100" t="s">
        <v>75</v>
      </c>
      <c r="AS28" s="4"/>
    </row>
    <row r="29" spans="3:45" ht="15" x14ac:dyDescent="0.25">
      <c r="C29" s="22" t="str">
        <f>"R-SW_Apt"&amp;"_"&amp;RIGHT(E29,3)&amp;"_HPN1-E"</f>
        <v>R-SW_Apt_ELC_HPN1-E</v>
      </c>
      <c r="D29" s="24" t="s">
        <v>714</v>
      </c>
      <c r="E29" s="24" t="s">
        <v>148</v>
      </c>
      <c r="F29" s="24" t="s">
        <v>660</v>
      </c>
      <c r="G29" s="24" t="s">
        <v>719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28"/>
        <v>0.59699699699699693</v>
      </c>
      <c r="Q29" s="23">
        <f t="shared" si="29"/>
        <v>0.6566966966966965</v>
      </c>
      <c r="R29" s="23">
        <f t="shared" si="30"/>
        <v>0.73629629629629623</v>
      </c>
      <c r="S29" s="57">
        <f t="shared" si="31"/>
        <v>0.79599599599599591</v>
      </c>
      <c r="T29" s="532">
        <v>20</v>
      </c>
      <c r="U29" s="23"/>
      <c r="V29" s="22">
        <f>JRC_Data!BC18/1000*($U$217/$U$218)+RSD_Heating!$AG$245/1000</f>
        <v>11.053388429752065</v>
      </c>
      <c r="W29" s="22">
        <f>JRC_Data!BD18/1000*($U$217/$U$218)+RSD_Heating!$AG$245/1000</f>
        <v>11.053388429752065</v>
      </c>
      <c r="X29" s="22">
        <f>JRC_Data!BE18/1000*($U$217/$U$218)+RSD_Heating!$AG$245/1000</f>
        <v>10.074049586776859</v>
      </c>
      <c r="Y29" s="22">
        <f>JRC_Data!BF18/1000*($U$217/$U$218)+RSD_Heating!$AG$245/1000</f>
        <v>10.074049586776859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2"/>
        <v>0.18921600000000002</v>
      </c>
      <c r="AH29" s="66"/>
      <c r="AI29" s="66">
        <v>2019</v>
      </c>
      <c r="AJ29" s="66">
        <v>6</v>
      </c>
      <c r="AL29" s="100"/>
      <c r="AM29" s="206" t="str">
        <f t="shared" si="35"/>
        <v>R-SW_Apt_ELC_HPN1-G</v>
      </c>
      <c r="AN29" s="206" t="str">
        <f t="shared" si="35"/>
        <v>Residential Electric Heat Pump - Air to Water - SH + WH - G rated dwelling</v>
      </c>
      <c r="AO29" s="100" t="s">
        <v>13</v>
      </c>
      <c r="AP29" s="100" t="s">
        <v>175</v>
      </c>
      <c r="AQ29" s="100"/>
      <c r="AR29" s="100" t="s">
        <v>75</v>
      </c>
      <c r="AS29" s="4"/>
    </row>
    <row r="30" spans="3:45" ht="15" x14ac:dyDescent="0.25">
      <c r="C30" s="40" t="str">
        <f>"R-SW_Apt"&amp;"_"&amp;RIGHT(E30,3)&amp;"_HPN1-F"</f>
        <v>R-SW_Apt_ELC_HPN1-F</v>
      </c>
      <c r="D30" s="30" t="s">
        <v>715</v>
      </c>
      <c r="E30" s="30" t="s">
        <v>148</v>
      </c>
      <c r="F30" s="30" t="s">
        <v>660</v>
      </c>
      <c r="G30" s="30" t="s">
        <v>720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28"/>
        <v>0.54549549549549547</v>
      </c>
      <c r="Q30" s="29">
        <f t="shared" si="29"/>
        <v>0.60004504504504497</v>
      </c>
      <c r="R30" s="29">
        <f t="shared" si="30"/>
        <v>0.67277777777777781</v>
      </c>
      <c r="S30" s="58">
        <f t="shared" si="31"/>
        <v>0.72732732732732719</v>
      </c>
      <c r="T30" s="533">
        <v>20</v>
      </c>
      <c r="U30" s="29"/>
      <c r="V30" s="40">
        <f>JRC_Data!BC18/1000*($U$217/$U$218)+RSD_Heating!$AG$246/1000</f>
        <v>11.210888429752066</v>
      </c>
      <c r="W30" s="40">
        <f>JRC_Data!BD18/1000*($U$217/$U$218)+RSD_Heating!$AG$246/1000</f>
        <v>11.210888429752066</v>
      </c>
      <c r="X30" s="40">
        <f>JRC_Data!BE18/1000*($U$217/$U$218)+RSD_Heating!$AG$246/1000</f>
        <v>10.231549586776859</v>
      </c>
      <c r="Y30" s="40">
        <f>JRC_Data!BF18/1000*($U$217/$U$218)+RSD_Heating!$AG$246/1000</f>
        <v>10.231549586776859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2"/>
        <v>0.18921600000000002</v>
      </c>
      <c r="AH30" s="65"/>
      <c r="AI30" s="65">
        <v>2019</v>
      </c>
      <c r="AJ30" s="65">
        <v>6</v>
      </c>
      <c r="AL30" s="206"/>
      <c r="AM30" s="99" t="str">
        <f t="shared" si="35"/>
        <v>R-SH_Apt_ELC_HPN3-AB</v>
      </c>
      <c r="AN30" s="99" t="str">
        <f t="shared" si="35"/>
        <v>Residential Electric Heat Pump - Ground to Water - SH - AB rated dwelling</v>
      </c>
      <c r="AO30" s="100" t="s">
        <v>13</v>
      </c>
      <c r="AP30" s="100" t="s">
        <v>175</v>
      </c>
      <c r="AQ30" s="100"/>
      <c r="AR30" s="100" t="s">
        <v>75</v>
      </c>
      <c r="AS30" s="4"/>
    </row>
    <row r="31" spans="3:45" ht="15" x14ac:dyDescent="0.25">
      <c r="C31" s="246" t="str">
        <f>"R-SW_Apt"&amp;"_"&amp;RIGHT(E30,3)&amp;"_HPN1-G"</f>
        <v>R-SW_Apt_ELC_HPN1-G</v>
      </c>
      <c r="D31" s="27" t="s">
        <v>735</v>
      </c>
      <c r="E31" s="27" t="s">
        <v>148</v>
      </c>
      <c r="F31" s="27" t="s">
        <v>660</v>
      </c>
      <c r="G31" s="27" t="s">
        <v>736</v>
      </c>
      <c r="H31" s="246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46"/>
      <c r="M31" s="26"/>
      <c r="N31" s="26"/>
      <c r="O31" s="59"/>
      <c r="P31" s="246">
        <f t="shared" ref="P31" si="36">H31*0.7</f>
        <v>0.49399399399399396</v>
      </c>
      <c r="Q31" s="26">
        <f t="shared" ref="Q31" si="37">I31*0.7</f>
        <v>0.54339339339339332</v>
      </c>
      <c r="R31" s="26">
        <f t="shared" ref="R31" si="38">J31*0.7</f>
        <v>0.60925925925925917</v>
      </c>
      <c r="S31" s="59">
        <f t="shared" ref="S31" si="39">K31*0.7</f>
        <v>0.65865865865865858</v>
      </c>
      <c r="T31" s="530">
        <v>20</v>
      </c>
      <c r="U31" s="26"/>
      <c r="V31" s="246">
        <f>JRC_Data!BC18/1000*($U$217/$U$218)+RSD_Heating!$AG$247/1000</f>
        <v>11.368388429752065</v>
      </c>
      <c r="W31" s="246">
        <f>JRC_Data!BD18/1000*($U$217/$U$218)+RSD_Heating!$AG$247/1000</f>
        <v>11.368388429752065</v>
      </c>
      <c r="X31" s="246">
        <f>JRC_Data!BE18/1000*($U$217/$U$218)+RSD_Heating!$AG$247/1000</f>
        <v>10.389049586776858</v>
      </c>
      <c r="Y31" s="246">
        <f>JRC_Data!BF18/1000*($U$217/$U$218)+RSD_Heating!$AG$247/1000</f>
        <v>10.389049586776858</v>
      </c>
      <c r="Z31" s="64">
        <f>JRC_Data!$BL$18/1000</f>
        <v>0.15</v>
      </c>
      <c r="AA31" s="67"/>
      <c r="AB31" s="515"/>
      <c r="AC31" s="515"/>
      <c r="AD31" s="515"/>
      <c r="AE31" s="515"/>
      <c r="AF31" s="515"/>
      <c r="AG31" s="64">
        <f t="shared" ref="AG31" si="40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5"/>
        <v>R-SH_Apt_ELC_HPN3-C</v>
      </c>
      <c r="AN31" s="206" t="str">
        <f t="shared" si="35"/>
        <v>Residential Electric Heat Pump - Ground to Water - SH - C rated dwelling</v>
      </c>
      <c r="AO31" s="100" t="s">
        <v>13</v>
      </c>
      <c r="AP31" s="100" t="s">
        <v>175</v>
      </c>
      <c r="AQ31" s="100"/>
      <c r="AR31" s="100" t="s">
        <v>75</v>
      </c>
      <c r="AS31" s="4"/>
    </row>
    <row r="32" spans="3:45" ht="15" x14ac:dyDescent="0.25">
      <c r="C32" s="19" t="str">
        <f>"R-SH_Apt"&amp;"_"&amp;RIGHT(E32,3)&amp;"_HPN3-AB"</f>
        <v>R-SH_Apt_ELC_HPN3-AB</v>
      </c>
      <c r="D32" s="88" t="s">
        <v>737</v>
      </c>
      <c r="E32" s="88" t="s">
        <v>148</v>
      </c>
      <c r="F32" s="88" t="s">
        <v>558</v>
      </c>
      <c r="G32" s="88" t="s">
        <v>698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10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54"/>
      <c r="AC32" s="254"/>
      <c r="AD32" s="254"/>
      <c r="AE32" s="254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5"/>
        <v>R-SH_Apt_ELC_HPN3-D</v>
      </c>
      <c r="AN32" s="206" t="str">
        <f t="shared" si="35"/>
        <v>Residential Electric Heat Pump - Ground to Water - SH - D rated dwelling</v>
      </c>
      <c r="AO32" s="100" t="s">
        <v>13</v>
      </c>
      <c r="AP32" s="100" t="s">
        <v>175</v>
      </c>
      <c r="AQ32" s="100"/>
      <c r="AR32" s="100" t="s">
        <v>75</v>
      </c>
      <c r="AS32" s="4"/>
    </row>
    <row r="33" spans="3:45" ht="15" x14ac:dyDescent="0.25">
      <c r="C33" s="22" t="str">
        <f>"R-SH_Apt"&amp;"_"&amp;RIGHT(E33,3)&amp;"_HPN3-C"</f>
        <v>R-SH_Apt_ELC_HPN3-C</v>
      </c>
      <c r="D33" s="24" t="s">
        <v>738</v>
      </c>
      <c r="E33" s="24" t="s">
        <v>148</v>
      </c>
      <c r="F33" s="24" t="s">
        <v>558</v>
      </c>
      <c r="G33" s="24" t="s">
        <v>699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11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1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5"/>
        <v>R-SH_Apt_ELC_HPN3-E</v>
      </c>
      <c r="AN33" s="206" t="str">
        <f t="shared" si="35"/>
        <v>Residential Electric Heat Pump - Ground to Water - SH - E rated dwelling</v>
      </c>
      <c r="AO33" s="100" t="s">
        <v>13</v>
      </c>
      <c r="AP33" s="100" t="s">
        <v>175</v>
      </c>
      <c r="AQ33" s="100"/>
      <c r="AR33" s="100" t="s">
        <v>75</v>
      </c>
      <c r="AS33" s="4"/>
    </row>
    <row r="34" spans="3:45" ht="15" x14ac:dyDescent="0.25">
      <c r="C34" s="40" t="str">
        <f>"R-SH_Apt"&amp;"_"&amp;RIGHT(E34,3)&amp;"_HPN3-D"</f>
        <v>R-SH_Apt_ELC_HPN3-D</v>
      </c>
      <c r="D34" s="30" t="s">
        <v>739</v>
      </c>
      <c r="E34" s="30" t="s">
        <v>148</v>
      </c>
      <c r="F34" s="30" t="s">
        <v>558</v>
      </c>
      <c r="G34" s="30" t="s">
        <v>700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12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1"/>
        <v>0.15768000000000001</v>
      </c>
      <c r="AH34" s="65"/>
      <c r="AI34" s="30">
        <v>2019</v>
      </c>
      <c r="AJ34" s="65">
        <v>5</v>
      </c>
      <c r="AL34" s="206"/>
      <c r="AM34" s="206" t="str">
        <f t="shared" si="35"/>
        <v>R-SH_Apt_ELC_HPN3-F</v>
      </c>
      <c r="AN34" s="206" t="str">
        <f t="shared" si="35"/>
        <v>Residential Electric Heat Pump - Ground to Water - SH - F rated dwelling</v>
      </c>
      <c r="AO34" s="100" t="s">
        <v>13</v>
      </c>
      <c r="AP34" s="100" t="s">
        <v>175</v>
      </c>
      <c r="AQ34" s="100"/>
      <c r="AR34" s="100" t="s">
        <v>75</v>
      </c>
    </row>
    <row r="35" spans="3:45" ht="15" x14ac:dyDescent="0.25">
      <c r="C35" s="22" t="str">
        <f>"R-SH_Apt"&amp;"_"&amp;RIGHT(E35,3)&amp;"_HPN3-E"</f>
        <v>R-SH_Apt_ELC_HPN3-E</v>
      </c>
      <c r="D35" s="24" t="s">
        <v>740</v>
      </c>
      <c r="E35" s="24" t="s">
        <v>148</v>
      </c>
      <c r="F35" s="24" t="s">
        <v>558</v>
      </c>
      <c r="G35" s="24" t="s">
        <v>701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511">
        <v>20</v>
      </c>
      <c r="U35" s="23"/>
      <c r="V35" s="22">
        <f>(JRC_Data!BC20/1000)*($U$217/$U$218)+RSD_Heating!$AG$245/1000</f>
        <v>13.991404958677686</v>
      </c>
      <c r="W35" s="22">
        <f>(JRC_Data!BD20/1000)*($U$217/$U$218)+RSD_Heating!$AG$245/1000</f>
        <v>13.01206611570248</v>
      </c>
      <c r="X35" s="22">
        <f>(JRC_Data!BE20/1000)*($U$217/$U$218)+RSD_Heating!$AG$245/1000</f>
        <v>12.032727272727271</v>
      </c>
      <c r="Y35" s="22">
        <f>(JRC_Data!BF20/1000)*($U$217/$U$218)+RSD_Heating!$AG$245/1000</f>
        <v>12.032727272727271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1"/>
        <v>0.15768000000000001</v>
      </c>
      <c r="AH35" s="66"/>
      <c r="AI35" s="24">
        <v>2019</v>
      </c>
      <c r="AJ35" s="66">
        <v>5</v>
      </c>
      <c r="AL35" s="206"/>
      <c r="AM35" s="206" t="str">
        <f t="shared" si="35"/>
        <v>R-SH_Apt_ELC_HPN3-G</v>
      </c>
      <c r="AN35" s="206" t="str">
        <f t="shared" si="35"/>
        <v>Residential Electric Heat Pump - Ground to Water - SH - G rated dwelling</v>
      </c>
      <c r="AO35" s="100" t="s">
        <v>13</v>
      </c>
      <c r="AP35" s="100" t="s">
        <v>175</v>
      </c>
      <c r="AQ35" s="100"/>
      <c r="AR35" s="100" t="s">
        <v>75</v>
      </c>
      <c r="AS35" s="4"/>
    </row>
    <row r="36" spans="3:45" ht="15" x14ac:dyDescent="0.25">
      <c r="C36" s="40" t="str">
        <f>"R-SH_Apt"&amp;"_"&amp;RIGHT(E36,3)&amp;"_HPN3-F"</f>
        <v>R-SH_Apt_ELC_HPN3-F</v>
      </c>
      <c r="D36" s="30" t="s">
        <v>741</v>
      </c>
      <c r="E36" s="30" t="s">
        <v>148</v>
      </c>
      <c r="F36" s="30" t="s">
        <v>558</v>
      </c>
      <c r="G36" s="30" t="s">
        <v>702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512">
        <v>20</v>
      </c>
      <c r="U36" s="29"/>
      <c r="V36" s="40">
        <f>(JRC_Data!BC20/1000)*($U$217/$U$218)+RSD_Heating!$AG$246/1000</f>
        <v>14.148904958677686</v>
      </c>
      <c r="W36" s="40">
        <f>(JRC_Data!BD20/1000)*($U$217/$U$218)+RSD_Heating!$AG$246/1000</f>
        <v>13.16956611570248</v>
      </c>
      <c r="X36" s="40">
        <f>(JRC_Data!BE20/1000)*($U$217/$U$218)+RSD_Heating!$AG$246/1000</f>
        <v>12.190227272727272</v>
      </c>
      <c r="Y36" s="40">
        <f>(JRC_Data!BF20/1000)*($U$217/$U$218)+RSD_Heating!$AG$246/1000</f>
        <v>12.190227272727272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1"/>
        <v>0.15768000000000001</v>
      </c>
      <c r="AH36" s="65"/>
      <c r="AI36" s="30">
        <v>2019</v>
      </c>
      <c r="AJ36" s="65">
        <v>5</v>
      </c>
      <c r="AL36" s="206"/>
      <c r="AM36" s="206" t="str">
        <f t="shared" ref="AM36:AN41" si="42">C38</f>
        <v>R-HC_Apt_ELC_HPN2-AB</v>
      </c>
      <c r="AN36" s="206" t="str">
        <f t="shared" si="42"/>
        <v>Residential Electric Heat Pump - Ground to Water - SH + SC - AB rated dwelling</v>
      </c>
      <c r="AO36" s="100" t="s">
        <v>13</v>
      </c>
      <c r="AP36" s="100" t="s">
        <v>175</v>
      </c>
      <c r="AQ36" s="100"/>
      <c r="AR36" s="100" t="s">
        <v>75</v>
      </c>
      <c r="AS36" s="4"/>
    </row>
    <row r="37" spans="3:45" ht="15" x14ac:dyDescent="0.25">
      <c r="C37" s="246" t="str">
        <f>"R-SH_Apt"&amp;"_"&amp;RIGHT(E37,3)&amp;"_HPN3-G"</f>
        <v>R-SH_Apt_ELC_HPN3-G</v>
      </c>
      <c r="D37" s="27" t="s">
        <v>742</v>
      </c>
      <c r="E37" s="27" t="s">
        <v>148</v>
      </c>
      <c r="F37" s="27" t="s">
        <v>558</v>
      </c>
      <c r="G37" s="27" t="s">
        <v>734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46"/>
      <c r="M37" s="26"/>
      <c r="N37" s="26"/>
      <c r="O37" s="59"/>
      <c r="P37" s="246"/>
      <c r="Q37" s="26"/>
      <c r="R37" s="26"/>
      <c r="S37" s="59"/>
      <c r="T37" s="514">
        <v>20</v>
      </c>
      <c r="U37" s="26"/>
      <c r="V37" s="246">
        <f>(JRC_Data!BC20/1000)*($U$217/$U$218)+RSD_Heating!$AG$247/1000</f>
        <v>14.306404958677685</v>
      </c>
      <c r="W37" s="246">
        <f>(JRC_Data!BD20/1000)*($U$217/$U$218)+RSD_Heating!$AG$247/1000</f>
        <v>13.327066115702479</v>
      </c>
      <c r="X37" s="246">
        <f>(JRC_Data!BE20/1000)*($U$217/$U$218)+RSD_Heating!$AG$247/1000</f>
        <v>12.347727272727271</v>
      </c>
      <c r="Y37" s="246">
        <f>(JRC_Data!BF20/1000)*($U$217/$U$218)+RSD_Heating!$AG$247/1000</f>
        <v>12.347727272727271</v>
      </c>
      <c r="Z37" s="64">
        <f>JRC_Data!BL20/1000</f>
        <v>0.2</v>
      </c>
      <c r="AA37" s="67"/>
      <c r="AB37" s="515"/>
      <c r="AC37" s="515"/>
      <c r="AD37" s="515"/>
      <c r="AE37" s="515"/>
      <c r="AF37" s="49"/>
      <c r="AG37" s="64">
        <f t="shared" si="41"/>
        <v>0.15768000000000001</v>
      </c>
      <c r="AH37" s="67"/>
      <c r="AI37" s="27">
        <v>2019</v>
      </c>
      <c r="AJ37" s="67">
        <v>5</v>
      </c>
      <c r="AL37" s="206"/>
      <c r="AM37" s="206" t="str">
        <f t="shared" si="42"/>
        <v>R-HC_Apt_ELC_HPN2-C</v>
      </c>
      <c r="AN37" s="206" t="str">
        <f t="shared" si="42"/>
        <v>Residential Electric Heat Pump - Ground to Water - SH + SC - C rated dwelling</v>
      </c>
      <c r="AO37" s="100" t="s">
        <v>13</v>
      </c>
      <c r="AP37" s="100" t="s">
        <v>175</v>
      </c>
      <c r="AQ37" s="100"/>
      <c r="AR37" s="100" t="s">
        <v>75</v>
      </c>
      <c r="AS37" s="4"/>
    </row>
    <row r="38" spans="3:45" ht="15" x14ac:dyDescent="0.25">
      <c r="C38" s="19" t="str">
        <f>"R-HC_Apt"&amp;"_"&amp;RIGHT(E38,3)&amp;"_HPN2-AB"</f>
        <v>R-HC_Apt_ELC_HPN2-AB</v>
      </c>
      <c r="D38" s="88" t="s">
        <v>743</v>
      </c>
      <c r="E38" s="88" t="s">
        <v>148</v>
      </c>
      <c r="F38" s="88" t="s">
        <v>558</v>
      </c>
      <c r="G38" s="88" t="s">
        <v>785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v>1</v>
      </c>
      <c r="M38" s="20">
        <f>JRC_Data!AD20/JRC_Data!$AC$16</f>
        <v>1.1666666666666667</v>
      </c>
      <c r="N38" s="20">
        <f>JRC_Data!AE20/JRC_Data!$AC$16</f>
        <v>1.3333333333333333</v>
      </c>
      <c r="O38" s="56">
        <f>JRC_Data!AF20/JRC_Data!$AC$16</f>
        <v>1.5</v>
      </c>
      <c r="P38" s="19"/>
      <c r="Q38" s="20"/>
      <c r="R38" s="20"/>
      <c r="S38" s="56"/>
      <c r="T38" s="510">
        <v>20</v>
      </c>
      <c r="U38" s="56"/>
      <c r="V38" s="19">
        <f>V32*1.1</f>
        <v>14.004545454545456</v>
      </c>
      <c r="W38" s="19">
        <f t="shared" ref="W38:Y38" si="43">W32*1.1</f>
        <v>12.927272727272729</v>
      </c>
      <c r="X38" s="19">
        <f t="shared" si="43"/>
        <v>11.85</v>
      </c>
      <c r="Y38" s="19">
        <f t="shared" si="43"/>
        <v>11.85</v>
      </c>
      <c r="Z38" s="84">
        <f>JRC_Data!BL20/1000</f>
        <v>0.2</v>
      </c>
      <c r="AA38" s="87"/>
      <c r="AB38" s="254"/>
      <c r="AC38" s="254"/>
      <c r="AD38" s="254"/>
      <c r="AE38" s="254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2"/>
        <v>R-HC_Apt_ELC_HPN2-D</v>
      </c>
      <c r="AN38" s="206" t="str">
        <f t="shared" si="42"/>
        <v>Residential Electric Heat Pump - Ground to Water - SH + SC - D rated dwelling</v>
      </c>
      <c r="AO38" s="100" t="s">
        <v>13</v>
      </c>
      <c r="AP38" s="100" t="s">
        <v>175</v>
      </c>
      <c r="AQ38" s="100"/>
      <c r="AR38" s="100" t="s">
        <v>75</v>
      </c>
    </row>
    <row r="39" spans="3:45" ht="15" x14ac:dyDescent="0.25">
      <c r="C39" s="22" t="str">
        <f>"R-HC_Apt"&amp;"_"&amp;RIGHT(E39,3)&amp;"_HPN2-C"</f>
        <v>R-HC_Apt_ELC_HPN2-C</v>
      </c>
      <c r="D39" s="24" t="s">
        <v>744</v>
      </c>
      <c r="E39" s="24" t="s">
        <v>148</v>
      </c>
      <c r="F39" s="24" t="s">
        <v>558</v>
      </c>
      <c r="G39" s="24" t="s">
        <v>786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v>1</v>
      </c>
      <c r="M39" s="23">
        <f>JRC_Data!AD20/JRC_Data!$AC$16</f>
        <v>1.1666666666666667</v>
      </c>
      <c r="N39" s="23">
        <f>JRC_Data!AE20/JRC_Data!$AC$16</f>
        <v>1.3333333333333333</v>
      </c>
      <c r="O39" s="57">
        <f>JRC_Data!AF20/JRC_Data!$AC$16</f>
        <v>1.5</v>
      </c>
      <c r="P39" s="22"/>
      <c r="Q39" s="23"/>
      <c r="R39" s="23"/>
      <c r="S39" s="57"/>
      <c r="T39" s="511">
        <v>20</v>
      </c>
      <c r="U39" s="57"/>
      <c r="V39" s="22">
        <f t="shared" ref="V39:Y43" si="44">V33*1.1</f>
        <v>14.004545454545456</v>
      </c>
      <c r="W39" s="22">
        <f t="shared" si="44"/>
        <v>12.927272727272729</v>
      </c>
      <c r="X39" s="22">
        <f t="shared" si="44"/>
        <v>11.85</v>
      </c>
      <c r="Y39" s="22">
        <f t="shared" si="44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5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2"/>
        <v>R-HC_Apt_ELC_HPN2-E</v>
      </c>
      <c r="AN39" s="206" t="str">
        <f t="shared" si="42"/>
        <v>Residential Electric Heat Pump - Ground to Water - SH + SC - E rated dwelling</v>
      </c>
      <c r="AO39" s="100" t="s">
        <v>13</v>
      </c>
      <c r="AP39" s="100" t="s">
        <v>175</v>
      </c>
      <c r="AQ39" s="100"/>
      <c r="AR39" s="100" t="s">
        <v>75</v>
      </c>
      <c r="AS39" s="100"/>
    </row>
    <row r="40" spans="3:45" ht="15" x14ac:dyDescent="0.25">
      <c r="C40" s="40" t="str">
        <f>"R-HC_Apt"&amp;"_"&amp;RIGHT(E40,3)&amp;"_HPN2-D"</f>
        <v>R-HC_Apt_ELC_HPN2-D</v>
      </c>
      <c r="D40" s="30" t="s">
        <v>745</v>
      </c>
      <c r="E40" s="30" t="s">
        <v>148</v>
      </c>
      <c r="F40" s="30" t="s">
        <v>558</v>
      </c>
      <c r="G40" s="30" t="s">
        <v>787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v>1</v>
      </c>
      <c r="M40" s="29">
        <f>JRC_Data!AD20/JRC_Data!$AC$16</f>
        <v>1.1666666666666667</v>
      </c>
      <c r="N40" s="29">
        <f>JRC_Data!AE20/JRC_Data!$AC$16</f>
        <v>1.3333333333333333</v>
      </c>
      <c r="O40" s="58">
        <f>JRC_Data!AF20/JRC_Data!$AC$16</f>
        <v>1.5</v>
      </c>
      <c r="P40" s="40"/>
      <c r="Q40" s="29"/>
      <c r="R40" s="29"/>
      <c r="S40" s="58"/>
      <c r="T40" s="512">
        <v>20</v>
      </c>
      <c r="U40" s="58"/>
      <c r="V40" s="40">
        <f t="shared" si="44"/>
        <v>14.004545454545456</v>
      </c>
      <c r="W40" s="40">
        <f t="shared" si="44"/>
        <v>12.927272727272729</v>
      </c>
      <c r="X40" s="40">
        <f t="shared" si="44"/>
        <v>11.85</v>
      </c>
      <c r="Y40" s="40">
        <f t="shared" si="44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5"/>
        <v>0.15768000000000001</v>
      </c>
      <c r="AH40" s="65"/>
      <c r="AI40" s="30">
        <v>2019</v>
      </c>
      <c r="AJ40" s="65">
        <v>5</v>
      </c>
      <c r="AL40" s="206"/>
      <c r="AM40" s="206" t="str">
        <f t="shared" si="42"/>
        <v>R-HC_Apt_ELC_HPN2-F</v>
      </c>
      <c r="AN40" s="206" t="str">
        <f t="shared" si="42"/>
        <v>Residential Electric Heat Pump - Ground to Water - SH + SC - F rated dwelling</v>
      </c>
      <c r="AO40" s="100" t="s">
        <v>13</v>
      </c>
      <c r="AP40" s="100" t="s">
        <v>175</v>
      </c>
      <c r="AQ40" s="100"/>
      <c r="AR40" s="100" t="s">
        <v>75</v>
      </c>
    </row>
    <row r="41" spans="3:45" ht="15.75" thickBot="1" x14ac:dyDescent="0.3">
      <c r="C41" s="22" t="str">
        <f>"R-HC_Apt"&amp;"_"&amp;RIGHT(E41,3)&amp;"_HPN2-E"</f>
        <v>R-HC_Apt_ELC_HPN2-E</v>
      </c>
      <c r="D41" s="24" t="s">
        <v>746</v>
      </c>
      <c r="E41" s="24" t="s">
        <v>148</v>
      </c>
      <c r="F41" s="24" t="s">
        <v>558</v>
      </c>
      <c r="G41" s="24" t="s">
        <v>788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v>0.85285285285285284</v>
      </c>
      <c r="M41" s="23">
        <v>0.93813813813813796</v>
      </c>
      <c r="N41" s="23">
        <v>1.0518518518518518</v>
      </c>
      <c r="O41" s="57">
        <v>1.137137137137137</v>
      </c>
      <c r="P41" s="22"/>
      <c r="Q41" s="23"/>
      <c r="R41" s="23"/>
      <c r="S41" s="57"/>
      <c r="T41" s="511">
        <v>20</v>
      </c>
      <c r="U41" s="57"/>
      <c r="V41" s="22">
        <f t="shared" si="44"/>
        <v>15.390545454545455</v>
      </c>
      <c r="W41" s="22">
        <f t="shared" si="44"/>
        <v>14.313272727272729</v>
      </c>
      <c r="X41" s="22">
        <f t="shared" si="44"/>
        <v>13.235999999999999</v>
      </c>
      <c r="Y41" s="22">
        <f t="shared" si="44"/>
        <v>13.235999999999999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5"/>
        <v>0.15768000000000001</v>
      </c>
      <c r="AH41" s="66"/>
      <c r="AI41" s="24">
        <v>2019</v>
      </c>
      <c r="AJ41" s="66">
        <v>5</v>
      </c>
      <c r="AL41" s="206"/>
      <c r="AM41" s="206" t="str">
        <f t="shared" si="42"/>
        <v>R-HC_Apt_ELC_HPN2-G</v>
      </c>
      <c r="AN41" s="206" t="str">
        <f t="shared" si="42"/>
        <v>Residential Electric Heat Pump - Ground to Water - SH + SC - G rated dwelling</v>
      </c>
      <c r="AO41" s="100" t="s">
        <v>13</v>
      </c>
      <c r="AP41" s="100" t="s">
        <v>175</v>
      </c>
      <c r="AQ41" s="100"/>
      <c r="AR41" s="100" t="s">
        <v>75</v>
      </c>
    </row>
    <row r="42" spans="3:45" ht="15" x14ac:dyDescent="0.25">
      <c r="C42" s="40" t="str">
        <f>"R-HC_Apt"&amp;"_"&amp;RIGHT(E42,3)&amp;"_HPN2-F"</f>
        <v>R-HC_Apt_ELC_HPN2-F</v>
      </c>
      <c r="D42" s="30" t="s">
        <v>747</v>
      </c>
      <c r="E42" s="30" t="s">
        <v>148</v>
      </c>
      <c r="F42" s="30" t="s">
        <v>558</v>
      </c>
      <c r="G42" s="30" t="s">
        <v>789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v>0.77927927927927931</v>
      </c>
      <c r="M42" s="29">
        <v>0.85720720720720711</v>
      </c>
      <c r="N42" s="29">
        <v>0.96111111111111125</v>
      </c>
      <c r="O42" s="58">
        <v>1.0390390390390389</v>
      </c>
      <c r="P42" s="40"/>
      <c r="Q42" s="29"/>
      <c r="R42" s="29"/>
      <c r="S42" s="58"/>
      <c r="T42" s="512">
        <v>20</v>
      </c>
      <c r="U42" s="58"/>
      <c r="V42" s="40">
        <f t="shared" si="44"/>
        <v>15.563795454545456</v>
      </c>
      <c r="W42" s="40">
        <f t="shared" si="44"/>
        <v>14.48652272727273</v>
      </c>
      <c r="X42" s="40">
        <f t="shared" si="44"/>
        <v>13.40925</v>
      </c>
      <c r="Y42" s="40">
        <f t="shared" si="44"/>
        <v>13.40925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5"/>
        <v>0.15768000000000001</v>
      </c>
      <c r="AH42" s="65"/>
      <c r="AI42" s="30">
        <v>2019</v>
      </c>
      <c r="AJ42" s="65">
        <v>5</v>
      </c>
      <c r="AL42" s="107"/>
      <c r="AM42" s="97" t="str">
        <f>C45</f>
        <v>R-SW_Apt_GAS_HPN1</v>
      </c>
      <c r="AN42" s="97" t="str">
        <f>D45</f>
        <v>Residential Gas Absorption Heat Pump - Air to Water - SH + WH</v>
      </c>
      <c r="AO42" s="98" t="s">
        <v>13</v>
      </c>
      <c r="AP42" s="98" t="s">
        <v>175</v>
      </c>
      <c r="AQ42" s="98"/>
      <c r="AR42" s="98" t="s">
        <v>75</v>
      </c>
    </row>
    <row r="43" spans="3:45" ht="15.75" thickBot="1" x14ac:dyDescent="0.3">
      <c r="C43" s="246" t="str">
        <f>"R-HC_Apt"&amp;"_"&amp;RIGHT(E43,3)&amp;"_HPN2-G"</f>
        <v>R-HC_Apt_ELC_HPN2-G</v>
      </c>
      <c r="D43" s="27" t="s">
        <v>748</v>
      </c>
      <c r="E43" s="27" t="s">
        <v>148</v>
      </c>
      <c r="F43" s="27" t="s">
        <v>558</v>
      </c>
      <c r="G43" s="27" t="s">
        <v>790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v>0.70570570570570568</v>
      </c>
      <c r="M43" s="23">
        <v>0.77627627627627616</v>
      </c>
      <c r="N43" s="23">
        <v>0.87037037037037035</v>
      </c>
      <c r="O43" s="57">
        <v>0.94094094094094083</v>
      </c>
      <c r="P43" s="246"/>
      <c r="Q43" s="26"/>
      <c r="R43" s="26"/>
      <c r="S43" s="59"/>
      <c r="T43" s="514">
        <v>20</v>
      </c>
      <c r="U43" s="59"/>
      <c r="V43" s="246">
        <f t="shared" si="44"/>
        <v>15.737045454545456</v>
      </c>
      <c r="W43" s="246">
        <f t="shared" si="44"/>
        <v>14.659772727272728</v>
      </c>
      <c r="X43" s="246">
        <f t="shared" si="44"/>
        <v>13.5825</v>
      </c>
      <c r="Y43" s="246">
        <f t="shared" si="44"/>
        <v>13.5825</v>
      </c>
      <c r="Z43" s="64">
        <f>JRC_Data!BL20/1000</f>
        <v>0.2</v>
      </c>
      <c r="AA43" s="67"/>
      <c r="AB43" s="515"/>
      <c r="AC43" s="515"/>
      <c r="AD43" s="515"/>
      <c r="AE43" s="515"/>
      <c r="AF43" s="49"/>
      <c r="AG43" s="64">
        <f t="shared" si="45"/>
        <v>0.15768000000000001</v>
      </c>
      <c r="AH43" s="67"/>
      <c r="AI43" s="27">
        <v>2019</v>
      </c>
      <c r="AJ43" s="67">
        <v>5</v>
      </c>
      <c r="AL43" s="207"/>
      <c r="AM43" s="102" t="str">
        <f>C46</f>
        <v>R-SW_Apt_GAS_HPN2</v>
      </c>
      <c r="AN43" s="102" t="str">
        <f>D46</f>
        <v>Residential Gas Engine Heat Pump - Air to Water - SH + WH</v>
      </c>
      <c r="AO43" s="103" t="s">
        <v>13</v>
      </c>
      <c r="AP43" s="103" t="s">
        <v>175</v>
      </c>
      <c r="AQ43" s="103"/>
      <c r="AR43" s="103" t="s">
        <v>75</v>
      </c>
    </row>
    <row r="44" spans="3:45" ht="15.75" thickBot="1" x14ac:dyDescent="0.3">
      <c r="C44" s="521" t="s">
        <v>272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17"/>
      <c r="AB44" s="522"/>
      <c r="AC44" s="522"/>
      <c r="AD44" s="522"/>
      <c r="AE44" s="522"/>
      <c r="AF44" s="522"/>
      <c r="AG44" s="33"/>
      <c r="AH44" s="34"/>
      <c r="AI44" s="34"/>
      <c r="AJ44" s="523"/>
      <c r="AL44" s="208"/>
      <c r="AM44" s="105" t="str">
        <f>C48</f>
        <v>R-SW_Apt_GAS_HHPN1</v>
      </c>
      <c r="AN44" s="105" t="str">
        <f>D48</f>
        <v>Residential Gas Hybrid Heat Pump - Air to Water - SH + WH</v>
      </c>
      <c r="AO44" s="104" t="s">
        <v>13</v>
      </c>
      <c r="AP44" s="104" t="s">
        <v>175</v>
      </c>
      <c r="AQ44" s="104"/>
      <c r="AR44" s="104" t="s">
        <v>75</v>
      </c>
    </row>
    <row r="45" spans="3:45" ht="15" x14ac:dyDescent="0.25">
      <c r="C45" s="19" t="str">
        <f>"R-SW_Apt"&amp;"_"&amp;RIGHT(E45,3)&amp;"_HPN1"</f>
        <v>R-SW_Apt_GAS_HPN1</v>
      </c>
      <c r="D45" s="20" t="s">
        <v>111</v>
      </c>
      <c r="E45" s="24" t="s">
        <v>694</v>
      </c>
      <c r="F45" s="88" t="s">
        <v>660</v>
      </c>
      <c r="G45" s="88" t="s">
        <v>709</v>
      </c>
      <c r="H45" s="373">
        <f>JRC_Data!AC28/0.81</f>
        <v>1.6666666666666667</v>
      </c>
      <c r="I45" s="373">
        <f>JRC_Data!AD28/0.81</f>
        <v>1.7901234567901232</v>
      </c>
      <c r="J45" s="373">
        <f>JRC_Data!AE28/0.81</f>
        <v>2.0987654320987654</v>
      </c>
      <c r="K45" s="373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6">I45*0.7</f>
        <v>1.2530864197530862</v>
      </c>
      <c r="R45" s="20">
        <f t="shared" si="46"/>
        <v>1.4691358024691357</v>
      </c>
      <c r="S45" s="56">
        <f t="shared" si="46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47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C50</f>
        <v>R-SW_Apt_HET_N1</v>
      </c>
      <c r="AN45" s="97" t="str">
        <f>D50</f>
        <v>Residential District Heating Centralized - SH + WH</v>
      </c>
      <c r="AO45" s="98" t="s">
        <v>13</v>
      </c>
      <c r="AP45" s="98" t="s">
        <v>175</v>
      </c>
      <c r="AQ45" s="98"/>
      <c r="AR45" s="98" t="s">
        <v>75</v>
      </c>
    </row>
    <row r="46" spans="3:45" ht="15.75" thickBot="1" x14ac:dyDescent="0.3">
      <c r="C46" s="246" t="str">
        <f>"R-SW_Apt"&amp;"_"&amp;RIGHT(E46,3)&amp;"_HPN2"</f>
        <v>R-SW_Apt_GAS_HPN2</v>
      </c>
      <c r="D46" s="26" t="s">
        <v>112</v>
      </c>
      <c r="E46" s="24" t="s">
        <v>694</v>
      </c>
      <c r="F46" s="27" t="s">
        <v>660</v>
      </c>
      <c r="G46" s="27" t="s">
        <v>709</v>
      </c>
      <c r="H46" s="374">
        <f>JRC_Data!AC30/0.9</f>
        <v>1.6666666666666665</v>
      </c>
      <c r="I46" s="374">
        <f>JRC_Data!AD30/0.9</f>
        <v>1.7222222222222223</v>
      </c>
      <c r="J46" s="374">
        <f>JRC_Data!AE30/0.9</f>
        <v>1.7222222222222223</v>
      </c>
      <c r="K46" s="374">
        <f>JRC_Data!AF30/0.9</f>
        <v>1.7777777777777779</v>
      </c>
      <c r="L46" s="49"/>
      <c r="M46" s="50"/>
      <c r="N46" s="50"/>
      <c r="O46" s="51"/>
      <c r="P46" s="246">
        <f>H46*0.7</f>
        <v>1.1666666666666665</v>
      </c>
      <c r="Q46" s="26">
        <f t="shared" ref="Q46" si="48">I46*0.7</f>
        <v>1.2055555555555555</v>
      </c>
      <c r="R46" s="26">
        <f t="shared" ref="R46" si="49">J46*0.7</f>
        <v>1.2055555555555555</v>
      </c>
      <c r="S46" s="59">
        <f t="shared" ref="S46" si="50">K46*0.7</f>
        <v>1.2444444444444445</v>
      </c>
      <c r="T46" s="27">
        <v>15</v>
      </c>
      <c r="U46" s="51"/>
      <c r="V46" s="246">
        <f>(JRC_Data!BB30/1000)*($U$220/$U$223)</f>
        <v>43.832046332046332</v>
      </c>
      <c r="W46" s="246">
        <f>(JRC_Data!BC30/1000)*($U$220/$U$223)</f>
        <v>43.832046332046332</v>
      </c>
      <c r="X46" s="246">
        <f>(JRC_Data!BD30/1000)*($U$220/$U$223)</f>
        <v>43.832046332046332</v>
      </c>
      <c r="Y46" s="246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47"/>
        <v>0.56764799999999993</v>
      </c>
      <c r="AH46" s="67"/>
      <c r="AI46" s="67">
        <v>2019</v>
      </c>
      <c r="AJ46" s="67">
        <v>18</v>
      </c>
      <c r="AL46" s="108"/>
      <c r="AM46" s="102" t="str">
        <f>C51</f>
        <v>R-SW_Apt_HET_N2</v>
      </c>
      <c r="AN46" s="102" t="str">
        <f>D51</f>
        <v>Residential District Heating Decentralized - SH + WH</v>
      </c>
      <c r="AO46" s="103" t="s">
        <v>13</v>
      </c>
      <c r="AP46" s="103" t="s">
        <v>175</v>
      </c>
      <c r="AQ46" s="103"/>
      <c r="AR46" s="103" t="s">
        <v>75</v>
      </c>
    </row>
    <row r="47" spans="3:45" ht="15" x14ac:dyDescent="0.25">
      <c r="C47" s="521" t="s">
        <v>273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22"/>
      <c r="AC47" s="522"/>
      <c r="AD47" s="522"/>
      <c r="AE47" s="522"/>
      <c r="AF47" s="522"/>
      <c r="AG47" s="33"/>
      <c r="AH47" s="34"/>
      <c r="AI47" s="34"/>
      <c r="AJ47" s="523"/>
      <c r="AL47" s="209"/>
      <c r="AM47" s="97" t="str">
        <f>C53</f>
        <v>R-WH_Apt_ELC_N1</v>
      </c>
      <c r="AN47" s="97" t="str">
        <f>D53</f>
        <v xml:space="preserve">Residential Electric Water Heater </v>
      </c>
      <c r="AO47" s="98" t="s">
        <v>13</v>
      </c>
      <c r="AP47" s="98" t="s">
        <v>175</v>
      </c>
      <c r="AQ47" s="98"/>
      <c r="AR47" s="98" t="s">
        <v>75</v>
      </c>
    </row>
    <row r="48" spans="3:45" ht="15.75" thickBot="1" x14ac:dyDescent="0.3">
      <c r="C48" s="92" t="str">
        <f>"R-SW_Apt"&amp;"_"&amp;RIGHT(E48,3)&amp;"_HHPN1"</f>
        <v>R-SW_Apt_GAS_HHPN1</v>
      </c>
      <c r="D48" s="79" t="s">
        <v>120</v>
      </c>
      <c r="E48" s="115" t="s">
        <v>695</v>
      </c>
      <c r="F48" s="115" t="s">
        <v>660</v>
      </c>
      <c r="G48" s="94" t="s">
        <v>709</v>
      </c>
      <c r="H48" s="373">
        <f>1*$AD$48+JRC_Data!AD18*(1.2-$AD$48)</f>
        <v>3.1549999999999998</v>
      </c>
      <c r="I48" s="373">
        <f>1*$AD$48+JRC_Data!AE18*(1.2-$AD$48)</f>
        <v>3.4950000000000001</v>
      </c>
      <c r="J48" s="373">
        <f>1*$AD$48+JRC_Data!AF18*(1.2-$AD$48)</f>
        <v>3.75</v>
      </c>
      <c r="K48" s="373">
        <f>1*$AD$48+JRC_Data!AG18*(1.2-$AD$48)</f>
        <v>3.75</v>
      </c>
      <c r="L48" s="49"/>
      <c r="M48" s="50"/>
      <c r="N48" s="50"/>
      <c r="O48" s="51"/>
      <c r="P48" s="246">
        <f>H48*0.7</f>
        <v>2.2084999999999999</v>
      </c>
      <c r="Q48" s="26">
        <f>I48*0.7</f>
        <v>2.4464999999999999</v>
      </c>
      <c r="R48" s="26">
        <f t="shared" ref="R48:S48" si="51">J48*0.7</f>
        <v>2.625</v>
      </c>
      <c r="S48" s="59">
        <f t="shared" si="51"/>
        <v>2.625</v>
      </c>
      <c r="T48" s="250">
        <v>20</v>
      </c>
      <c r="U48" s="25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5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06"/>
      <c r="AM48" s="106" t="str">
        <f>C54</f>
        <v>R-WH_Apt_SOL_N1</v>
      </c>
      <c r="AN48" s="106" t="str">
        <f>D54</f>
        <v xml:space="preserve">Residential Solar Water Heater </v>
      </c>
      <c r="AO48" s="100" t="s">
        <v>13</v>
      </c>
      <c r="AP48" s="100" t="s">
        <v>175</v>
      </c>
      <c r="AQ48" s="100"/>
      <c r="AR48" s="100" t="s">
        <v>75</v>
      </c>
      <c r="AS48" s="4"/>
    </row>
    <row r="49" spans="3:45" ht="15" x14ac:dyDescent="0.25">
      <c r="C49" s="521" t="s">
        <v>274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520</v>
      </c>
      <c r="W49" s="33"/>
      <c r="X49" s="33"/>
      <c r="Y49" s="33"/>
      <c r="Z49" s="33"/>
      <c r="AA49" s="34"/>
      <c r="AB49" s="522"/>
      <c r="AC49" s="522"/>
      <c r="AD49" s="522"/>
      <c r="AE49" s="522"/>
      <c r="AF49" s="522"/>
      <c r="AG49" s="33"/>
      <c r="AH49" s="34"/>
      <c r="AI49" s="34"/>
      <c r="AJ49" s="523"/>
      <c r="AL49" s="2"/>
      <c r="AM49" s="99" t="str">
        <f>C56</f>
        <v>R-SC_Apt_ELC_N1</v>
      </c>
      <c r="AN49" s="99" t="str">
        <f>D56</f>
        <v>Room Residential Electric Air Conditioning</v>
      </c>
      <c r="AO49" s="98" t="s">
        <v>13</v>
      </c>
      <c r="AP49" s="98" t="s">
        <v>175</v>
      </c>
      <c r="AQ49" s="98"/>
      <c r="AR49" s="98" t="s">
        <v>75</v>
      </c>
    </row>
    <row r="50" spans="3:45" ht="15" x14ac:dyDescent="0.25">
      <c r="C50" s="19" t="str">
        <f>"R-SW_Apt"&amp;"_"&amp;RIGHT(E50,3)&amp;"_N1"</f>
        <v>R-SW_Apt_HET_N1</v>
      </c>
      <c r="D50" s="20" t="s">
        <v>114</v>
      </c>
      <c r="E50" s="88" t="s">
        <v>257</v>
      </c>
      <c r="F50" s="88"/>
      <c r="G50" s="21" t="s">
        <v>709</v>
      </c>
      <c r="H50" s="240">
        <v>1</v>
      </c>
      <c r="I50" s="241">
        <v>1</v>
      </c>
      <c r="J50" s="241">
        <v>1</v>
      </c>
      <c r="K50" s="242">
        <v>1</v>
      </c>
      <c r="L50" s="46"/>
      <c r="M50" s="47"/>
      <c r="N50" s="47"/>
      <c r="O50" s="48"/>
      <c r="P50" s="240">
        <v>1</v>
      </c>
      <c r="Q50" s="241">
        <v>1</v>
      </c>
      <c r="R50" s="241">
        <v>1</v>
      </c>
      <c r="S50" s="242">
        <v>1</v>
      </c>
      <c r="T50" s="52">
        <v>20</v>
      </c>
      <c r="U50" s="48"/>
      <c r="V50" s="19">
        <f>(JRC_Data!BB62/1000)*($U$220/$U$218)</f>
        <v>2.6555555555555554</v>
      </c>
      <c r="W50" s="19">
        <f>(JRC_Data!BC62/1000)*($U$220/$U$218)</f>
        <v>2.6555555555555554</v>
      </c>
      <c r="X50" s="19">
        <f>(JRC_Data!BD62/1000)*($U$220/$U$218)</f>
        <v>2.6555555555555554</v>
      </c>
      <c r="Y50" s="19">
        <f>(JRC_Data!BE62/1000)*($U$220/$U$218)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2">31.536*(AJ50/1000)</f>
        <v>0.56764799999999993</v>
      </c>
      <c r="AH50" s="87"/>
      <c r="AI50" s="87">
        <v>2019</v>
      </c>
      <c r="AJ50" s="87">
        <v>18</v>
      </c>
      <c r="AM50" s="99" t="str">
        <f>C57</f>
        <v>R-SC_Apt_ELC_N2</v>
      </c>
      <c r="AN50" s="99" t="str">
        <f>D57</f>
        <v>Centralized Residential Electric Air Conditioning</v>
      </c>
      <c r="AO50" s="100" t="s">
        <v>13</v>
      </c>
      <c r="AP50" s="100" t="s">
        <v>175</v>
      </c>
      <c r="AQ50" s="100"/>
      <c r="AR50" s="100" t="s">
        <v>75</v>
      </c>
    </row>
    <row r="51" spans="3:45" x14ac:dyDescent="0.2">
      <c r="C51" s="246" t="str">
        <f>"R-SW_Apt"&amp;"_"&amp;RIGHT(E51,3)&amp;"_N2"</f>
        <v>R-SW_Apt_HET_N2</v>
      </c>
      <c r="D51" s="26" t="s">
        <v>115</v>
      </c>
      <c r="E51" s="27" t="s">
        <v>257</v>
      </c>
      <c r="F51" s="27"/>
      <c r="G51" s="28" t="s">
        <v>709</v>
      </c>
      <c r="H51" s="247">
        <v>1</v>
      </c>
      <c r="I51" s="248">
        <v>1</v>
      </c>
      <c r="J51" s="248">
        <v>1</v>
      </c>
      <c r="K51" s="249">
        <v>1</v>
      </c>
      <c r="L51" s="49"/>
      <c r="M51" s="50"/>
      <c r="N51" s="50"/>
      <c r="O51" s="51"/>
      <c r="P51" s="247">
        <v>1</v>
      </c>
      <c r="Q51" s="248">
        <v>1</v>
      </c>
      <c r="R51" s="248">
        <v>1</v>
      </c>
      <c r="S51" s="249">
        <v>1</v>
      </c>
      <c r="T51" s="55">
        <v>20</v>
      </c>
      <c r="U51" s="51"/>
      <c r="V51" s="246">
        <f>(JRC_Data!BB62/1000)*($U$220/$U$218)</f>
        <v>2.6555555555555554</v>
      </c>
      <c r="W51" s="246">
        <f>(JRC_Data!BC62/1000)*($U$220/$U$218)</f>
        <v>2.6555555555555554</v>
      </c>
      <c r="X51" s="246">
        <f>(JRC_Data!BD62/1000)*($U$220/$U$218)</f>
        <v>2.6555555555555554</v>
      </c>
      <c r="Y51" s="246">
        <f>(JRC_Data!BE62/1000)*($U$220/$U$218)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2"/>
        <v>0.56764799999999993</v>
      </c>
      <c r="AH51" s="67"/>
      <c r="AI51" s="67">
        <v>2019</v>
      </c>
      <c r="AJ51" s="67">
        <v>18</v>
      </c>
    </row>
    <row r="52" spans="3:45" x14ac:dyDescent="0.2">
      <c r="C52" s="521" t="s">
        <v>275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22"/>
      <c r="AC52" s="522"/>
      <c r="AD52" s="522"/>
      <c r="AE52" s="522"/>
      <c r="AF52" s="522"/>
      <c r="AG52" s="33"/>
      <c r="AH52" s="34"/>
      <c r="AI52" s="34"/>
      <c r="AJ52" s="523"/>
    </row>
    <row r="53" spans="3:45" x14ac:dyDescent="0.2">
      <c r="C53" s="40" t="str">
        <f>"R-WH_Apt"&amp;"_"&amp;RIGHT(E53,3)&amp;"_N1"</f>
        <v>R-WH_Apt_ELC_N1</v>
      </c>
      <c r="D53" s="20" t="s">
        <v>117</v>
      </c>
      <c r="E53" s="88" t="s">
        <v>148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40">
        <v>1</v>
      </c>
      <c r="Q53" s="241">
        <v>1</v>
      </c>
      <c r="R53" s="241">
        <v>1</v>
      </c>
      <c r="S53" s="242">
        <v>1</v>
      </c>
      <c r="T53" s="52">
        <v>30</v>
      </c>
      <c r="U53" s="48"/>
      <c r="V53" s="20">
        <f>(JRC_Data!BB48/1000)*($U$215/$U$216)</f>
        <v>3.6878868563919918</v>
      </c>
      <c r="W53" s="20">
        <f>(JRC_Data!BC48/1000)*($U$215/$U$216)</f>
        <v>3.6878868563919918</v>
      </c>
      <c r="X53" s="20">
        <f>(JRC_Data!BD48/1000)*($U$215/$U$216)</f>
        <v>3.6878868563919918</v>
      </c>
      <c r="Y53" s="20">
        <f>(JRC_Data!BE48/1000)*($U$215/$U$216)</f>
        <v>3.6878868563919918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3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118</v>
      </c>
      <c r="E54" s="24" t="s">
        <v>266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37">
        <v>1</v>
      </c>
      <c r="Q54" s="238">
        <v>1</v>
      </c>
      <c r="R54" s="238">
        <v>1</v>
      </c>
      <c r="S54" s="239">
        <v>1</v>
      </c>
      <c r="T54" s="53">
        <v>25</v>
      </c>
      <c r="U54" s="57">
        <v>30</v>
      </c>
      <c r="V54" s="23">
        <f>(JRC_Data!BB45/1000)*($U$215/$U$216)</f>
        <v>4.9786472561291895</v>
      </c>
      <c r="W54" s="23">
        <f>(JRC_Data!BC45/1000)*($U$215/$U$216)</f>
        <v>4.7020557418997893</v>
      </c>
      <c r="X54" s="23">
        <f>(JRC_Data!BD45/1000)*($U$215/$U$216)</f>
        <v>4.2410698848507904</v>
      </c>
      <c r="Y54" s="23">
        <f>(JRC_Data!BE45/1000)*($U$215/$U$216)</f>
        <v>3.4112953421625924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3"/>
        <v>0.15768000000000001</v>
      </c>
      <c r="AH54" s="66"/>
      <c r="AI54" s="66">
        <v>2019</v>
      </c>
      <c r="AJ54" s="66">
        <v>5</v>
      </c>
    </row>
    <row r="55" spans="3:45" x14ac:dyDescent="0.2">
      <c r="C55" s="521" t="s">
        <v>276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22"/>
      <c r="AC55" s="522"/>
      <c r="AD55" s="522"/>
      <c r="AE55" s="522"/>
      <c r="AF55" s="522"/>
      <c r="AG55" s="33"/>
      <c r="AH55" s="34"/>
      <c r="AI55" s="34"/>
      <c r="AJ55" s="523"/>
    </row>
    <row r="56" spans="3:45" x14ac:dyDescent="0.2">
      <c r="C56" s="19" t="str">
        <f>"R-SC_Apt"&amp;"_"&amp;RIGHT(E56,3)&amp;"_N1"</f>
        <v>R-SC_Apt_ELC_N1</v>
      </c>
      <c r="D56" s="20" t="s">
        <v>522</v>
      </c>
      <c r="E56" s="88" t="s">
        <v>148</v>
      </c>
      <c r="F56" s="88"/>
      <c r="G56" s="21" t="s">
        <v>128</v>
      </c>
      <c r="H56" s="240"/>
      <c r="I56" s="241"/>
      <c r="J56" s="241"/>
      <c r="K56" s="242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0"/>
      <c r="Q56" s="241"/>
      <c r="R56" s="241"/>
      <c r="S56" s="242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4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46" t="str">
        <f>"R-SC_Apt"&amp;"_"&amp;RIGHT(E57,3)&amp;"_N2"</f>
        <v>R-SC_Apt_ELC_N2</v>
      </c>
      <c r="D57" s="26" t="s">
        <v>523</v>
      </c>
      <c r="E57" s="27" t="s">
        <v>148</v>
      </c>
      <c r="F57" s="27"/>
      <c r="G57" s="28" t="s">
        <v>128</v>
      </c>
      <c r="H57" s="247"/>
      <c r="I57" s="248"/>
      <c r="J57" s="248"/>
      <c r="K57" s="249"/>
      <c r="L57" s="246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47"/>
      <c r="Q57" s="248"/>
      <c r="R57" s="248"/>
      <c r="S57" s="249"/>
      <c r="T57" s="55">
        <v>20</v>
      </c>
      <c r="U57" s="51"/>
      <c r="V57" s="246">
        <f>(JRC_Data!BB26/1000)</f>
        <v>1.875</v>
      </c>
      <c r="W57" s="246">
        <f>(JRC_Data!BC26/1000)</f>
        <v>1.78125</v>
      </c>
      <c r="X57" s="246">
        <f>(JRC_Data!BD26/1000)</f>
        <v>1.59375</v>
      </c>
      <c r="Y57" s="246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4"/>
        <v>0.15768000000000001</v>
      </c>
      <c r="AH57" s="67"/>
      <c r="AI57" s="67">
        <v>2019</v>
      </c>
      <c r="AJ57" s="67">
        <v>5</v>
      </c>
      <c r="AL57" s="477" t="s">
        <v>643</v>
      </c>
      <c r="AM57" s="478"/>
      <c r="AN57" s="478"/>
      <c r="AO57" s="478"/>
      <c r="AP57" s="478"/>
      <c r="AQ57" s="478"/>
      <c r="AR57" s="478"/>
      <c r="AS57" s="479"/>
    </row>
    <row r="58" spans="3:45" ht="15.75" thickBot="1" x14ac:dyDescent="0.25">
      <c r="AL58" s="122" t="s">
        <v>644</v>
      </c>
      <c r="AM58" s="122" t="s">
        <v>645</v>
      </c>
      <c r="AN58" s="122" t="s">
        <v>646</v>
      </c>
      <c r="AO58" s="122" t="s">
        <v>647</v>
      </c>
      <c r="AP58" s="122" t="s">
        <v>648</v>
      </c>
      <c r="AQ58" s="122" t="s">
        <v>649</v>
      </c>
      <c r="AR58" s="122" t="s">
        <v>650</v>
      </c>
      <c r="AS58" s="122" t="s">
        <v>651</v>
      </c>
    </row>
    <row r="59" spans="3:45" ht="48.75" thickBot="1" x14ac:dyDescent="0.25">
      <c r="AL59" s="480" t="s">
        <v>652</v>
      </c>
      <c r="AM59" s="480" t="s">
        <v>653</v>
      </c>
      <c r="AN59" s="480" t="s">
        <v>654</v>
      </c>
      <c r="AO59" s="481" t="s">
        <v>647</v>
      </c>
      <c r="AP59" s="481" t="s">
        <v>655</v>
      </c>
      <c r="AQ59" s="481" t="s">
        <v>656</v>
      </c>
      <c r="AR59" s="481" t="s">
        <v>657</v>
      </c>
      <c r="AS59" s="481" t="s">
        <v>658</v>
      </c>
    </row>
    <row r="60" spans="3:45" x14ac:dyDescent="0.2">
      <c r="H60" s="5" t="s">
        <v>19</v>
      </c>
      <c r="AL60" s="482" t="str">
        <f>AJ60&amp;"NRG"</f>
        <v>NRG</v>
      </c>
      <c r="AM60" s="482" t="s">
        <v>659</v>
      </c>
      <c r="AN60" s="482" t="s">
        <v>749</v>
      </c>
      <c r="AO60" s="483" t="s">
        <v>13</v>
      </c>
      <c r="AP60" s="482" t="s">
        <v>450</v>
      </c>
      <c r="AQ60" s="482"/>
      <c r="AR60" s="482" t="s">
        <v>450</v>
      </c>
      <c r="AS60" s="482" t="s">
        <v>450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556</v>
      </c>
      <c r="G61" s="14" t="s">
        <v>24</v>
      </c>
      <c r="H61" s="17" t="s">
        <v>729</v>
      </c>
      <c r="I61" s="17" t="s">
        <v>730</v>
      </c>
      <c r="J61" s="17" t="s">
        <v>731</v>
      </c>
      <c r="K61" s="17" t="s">
        <v>732</v>
      </c>
      <c r="L61" s="17" t="s">
        <v>226</v>
      </c>
      <c r="M61" s="17" t="s">
        <v>227</v>
      </c>
      <c r="N61" s="17" t="s">
        <v>228</v>
      </c>
      <c r="O61" s="17" t="s">
        <v>229</v>
      </c>
      <c r="P61" s="17" t="s">
        <v>230</v>
      </c>
      <c r="Q61" s="17" t="s">
        <v>231</v>
      </c>
      <c r="R61" s="17" t="s">
        <v>232</v>
      </c>
      <c r="S61" s="17" t="s">
        <v>233</v>
      </c>
      <c r="T61" s="18" t="s">
        <v>26</v>
      </c>
      <c r="U61" s="18" t="s">
        <v>76</v>
      </c>
      <c r="V61" s="17" t="s">
        <v>236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280</v>
      </c>
      <c r="AC61" s="17" t="s">
        <v>281</v>
      </c>
      <c r="AD61" s="17" t="s">
        <v>282</v>
      </c>
      <c r="AE61" s="17" t="s">
        <v>693</v>
      </c>
      <c r="AF61" s="17" t="s">
        <v>238</v>
      </c>
      <c r="AG61" s="17" t="s">
        <v>77</v>
      </c>
      <c r="AH61" s="17" t="s">
        <v>267</v>
      </c>
      <c r="AI61" s="17" t="s">
        <v>78</v>
      </c>
      <c r="AJ61" s="17" t="s">
        <v>554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557</v>
      </c>
      <c r="G62" s="16" t="s">
        <v>81</v>
      </c>
      <c r="H62" s="611" t="s">
        <v>82</v>
      </c>
      <c r="I62" s="612"/>
      <c r="J62" s="612"/>
      <c r="K62" s="613"/>
      <c r="L62" s="611" t="s">
        <v>83</v>
      </c>
      <c r="M62" s="612"/>
      <c r="N62" s="612"/>
      <c r="O62" s="613"/>
      <c r="P62" s="611" t="s">
        <v>84</v>
      </c>
      <c r="Q62" s="612"/>
      <c r="R62" s="612"/>
      <c r="S62" s="613"/>
      <c r="T62" s="611" t="s">
        <v>85</v>
      </c>
      <c r="U62" s="613"/>
      <c r="V62" s="605" t="s">
        <v>86</v>
      </c>
      <c r="W62" s="606"/>
      <c r="X62" s="606"/>
      <c r="Y62" s="607"/>
      <c r="Z62" s="60"/>
      <c r="AA62" s="60"/>
      <c r="AB62" s="68" t="s">
        <v>207</v>
      </c>
      <c r="AC62" s="70" t="s">
        <v>207</v>
      </c>
      <c r="AD62" s="70" t="s">
        <v>207</v>
      </c>
      <c r="AE62" s="70" t="s">
        <v>207</v>
      </c>
      <c r="AF62" s="70" t="s">
        <v>237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15.75" thickBot="1" x14ac:dyDescent="0.25">
      <c r="C63" s="14" t="s">
        <v>279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30</v>
      </c>
      <c r="AR63" s="12" t="s">
        <v>67</v>
      </c>
    </row>
    <row r="64" spans="3:45" ht="45" x14ac:dyDescent="0.2">
      <c r="C64" s="37" t="s">
        <v>269</v>
      </c>
      <c r="D64" s="38"/>
      <c r="E64" s="38"/>
      <c r="F64" s="38"/>
      <c r="G64" s="39"/>
      <c r="H64" s="608" t="s">
        <v>34</v>
      </c>
      <c r="I64" s="609"/>
      <c r="J64" s="609"/>
      <c r="K64" s="610"/>
      <c r="L64" s="609" t="s">
        <v>34</v>
      </c>
      <c r="M64" s="609"/>
      <c r="N64" s="609"/>
      <c r="O64" s="610"/>
      <c r="P64" s="608" t="s">
        <v>34</v>
      </c>
      <c r="Q64" s="609"/>
      <c r="R64" s="609"/>
      <c r="S64" s="610"/>
      <c r="T64" s="614" t="s">
        <v>68</v>
      </c>
      <c r="U64" s="615"/>
      <c r="V64" s="614" t="s">
        <v>503</v>
      </c>
      <c r="W64" s="616"/>
      <c r="X64" s="616"/>
      <c r="Y64" s="615"/>
      <c r="Z64" s="367" t="s">
        <v>515</v>
      </c>
      <c r="AA64" s="367" t="s">
        <v>93</v>
      </c>
      <c r="AB64" s="368" t="s">
        <v>34</v>
      </c>
      <c r="AC64" s="367" t="s">
        <v>34</v>
      </c>
      <c r="AD64" s="367" t="s">
        <v>34</v>
      </c>
      <c r="AE64" s="367"/>
      <c r="AF64" s="367"/>
      <c r="AG64" s="369" t="s">
        <v>283</v>
      </c>
      <c r="AH64" s="367" t="s">
        <v>34</v>
      </c>
      <c r="AI64" s="367" t="s">
        <v>94</v>
      </c>
      <c r="AJ64" s="367" t="s">
        <v>555</v>
      </c>
      <c r="AL64" s="205" t="s">
        <v>69</v>
      </c>
      <c r="AM64" s="205" t="s">
        <v>70</v>
      </c>
      <c r="AN64" s="205" t="s">
        <v>33</v>
      </c>
      <c r="AO64" s="205" t="s">
        <v>71</v>
      </c>
      <c r="AP64" s="205" t="s">
        <v>72</v>
      </c>
      <c r="AQ64" s="205" t="s">
        <v>73</v>
      </c>
      <c r="AR64" s="205" t="s">
        <v>74</v>
      </c>
    </row>
    <row r="65" spans="3:44" ht="15" x14ac:dyDescent="0.25">
      <c r="C65" s="19" t="str">
        <f>"R-SH_Att"&amp;"_"&amp;RIGHT(E65,3)&amp;"_N1"</f>
        <v>R-SH_Att_KER_N1</v>
      </c>
      <c r="D65" s="20" t="s">
        <v>96</v>
      </c>
      <c r="E65" s="88" t="s">
        <v>259</v>
      </c>
      <c r="F65" s="88"/>
      <c r="G65" s="508" t="s">
        <v>721</v>
      </c>
      <c r="H65" s="19">
        <v>1</v>
      </c>
      <c r="I65" s="20">
        <v>1</v>
      </c>
      <c r="J65" s="20">
        <v>1</v>
      </c>
      <c r="K65" s="56">
        <v>1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3">
        <f>V69*1.3</f>
        <v>4.2250000000000005</v>
      </c>
      <c r="W65" s="373">
        <f t="shared" ref="W65:Y65" si="55">W69*1.3</f>
        <v>4.2250000000000005</v>
      </c>
      <c r="X65" s="373">
        <f t="shared" si="55"/>
        <v>4.2250000000000005</v>
      </c>
      <c r="Y65" s="373">
        <f t="shared" si="55"/>
        <v>4.2250000000000005</v>
      </c>
      <c r="Z65" s="373">
        <v>0.12</v>
      </c>
      <c r="AA65" s="65"/>
      <c r="AB65" s="42"/>
      <c r="AC65" s="71"/>
      <c r="AD65" s="71"/>
      <c r="AE65" s="71"/>
      <c r="AF65" s="71"/>
      <c r="AG65" s="62">
        <f t="shared" ref="AG65:AG128" si="56">31.536*(AJ65/1000)</f>
        <v>0.63072000000000006</v>
      </c>
      <c r="AH65" s="65"/>
      <c r="AI65" s="65">
        <v>2019</v>
      </c>
      <c r="AJ65" s="65">
        <v>20</v>
      </c>
      <c r="AL65" s="100" t="s">
        <v>31</v>
      </c>
      <c r="AM65" s="99" t="str">
        <f t="shared" ref="AM65:AM76" si="57">C65</f>
        <v>R-SH_Att_KER_N1</v>
      </c>
      <c r="AN65" s="99" t="str">
        <f t="shared" ref="AN65:AN76" si="58">D65</f>
        <v>Residential Kerosene Heating Oil - New 1 SH</v>
      </c>
      <c r="AO65" s="100" t="s">
        <v>13</v>
      </c>
      <c r="AP65" s="100" t="s">
        <v>175</v>
      </c>
      <c r="AQ65" s="100"/>
      <c r="AR65" s="100" t="s">
        <v>75</v>
      </c>
    </row>
    <row r="66" spans="3:44" ht="15" x14ac:dyDescent="0.25">
      <c r="C66" s="22" t="str">
        <f>"R-SW_Att"&amp;"_"&amp;RIGHT(E66,3)&amp;"_N1"</f>
        <v>R-SW_Att_KER_N1</v>
      </c>
      <c r="D66" s="23" t="s">
        <v>97</v>
      </c>
      <c r="E66" s="24" t="s">
        <v>259</v>
      </c>
      <c r="F66" s="24"/>
      <c r="G66" s="57" t="s">
        <v>722</v>
      </c>
      <c r="H66" s="22">
        <v>1</v>
      </c>
      <c r="I66" s="23">
        <v>1</v>
      </c>
      <c r="J66" s="23">
        <v>1</v>
      </c>
      <c r="K66" s="57">
        <v>1</v>
      </c>
      <c r="L66" s="44"/>
      <c r="M66" s="32"/>
      <c r="N66" s="32"/>
      <c r="O66" s="45"/>
      <c r="P66" s="22">
        <f>H66*0.7</f>
        <v>0.7</v>
      </c>
      <c r="Q66" s="23">
        <f t="shared" ref="Q66:Q68" si="59">I66*0.7</f>
        <v>0.7</v>
      </c>
      <c r="R66" s="23">
        <f t="shared" ref="R66:R68" si="60">J66*0.7</f>
        <v>0.7</v>
      </c>
      <c r="S66" s="57">
        <f t="shared" ref="S66:S68" si="61">K66*0.7</f>
        <v>0.7</v>
      </c>
      <c r="T66" s="53">
        <v>20</v>
      </c>
      <c r="U66" s="25"/>
      <c r="V66" s="374">
        <f>V70*1.3</f>
        <v>4.2773760330578519</v>
      </c>
      <c r="W66" s="374">
        <f t="shared" ref="W66:Y66" si="62">W70*1.3</f>
        <v>4.2773760330578519</v>
      </c>
      <c r="X66" s="374">
        <f t="shared" si="62"/>
        <v>4.2773760330578519</v>
      </c>
      <c r="Y66" s="374">
        <f t="shared" si="62"/>
        <v>4.2773760330578519</v>
      </c>
      <c r="Z66" s="374">
        <v>0.12</v>
      </c>
      <c r="AA66" s="66"/>
      <c r="AB66" s="44"/>
      <c r="AC66" s="72"/>
      <c r="AD66" s="72"/>
      <c r="AE66" s="72"/>
      <c r="AF66" s="72"/>
      <c r="AG66" s="63">
        <f t="shared" si="56"/>
        <v>0.7884000000000001</v>
      </c>
      <c r="AH66" s="66"/>
      <c r="AI66" s="66">
        <v>2019</v>
      </c>
      <c r="AJ66" s="66">
        <v>25</v>
      </c>
      <c r="AL66" s="100"/>
      <c r="AM66" s="99" t="str">
        <f t="shared" si="57"/>
        <v>R-SW_Att_KER_N1</v>
      </c>
      <c r="AN66" s="99" t="str">
        <f t="shared" si="58"/>
        <v>Residential Kerosene Heating Oil - New 2 SH + WH</v>
      </c>
      <c r="AO66" s="100" t="s">
        <v>13</v>
      </c>
      <c r="AP66" s="100" t="s">
        <v>175</v>
      </c>
      <c r="AQ66" s="100"/>
      <c r="AR66" s="100" t="s">
        <v>75</v>
      </c>
    </row>
    <row r="67" spans="3:44" ht="15" x14ac:dyDescent="0.25">
      <c r="C67" s="40" t="str">
        <f>"R-SW_Att"&amp;"_"&amp;RIGHT(E67,3)&amp;"_N2"</f>
        <v>R-SW_Att_KER_N2</v>
      </c>
      <c r="D67" s="29" t="s">
        <v>98</v>
      </c>
      <c r="E67" s="30" t="s">
        <v>261</v>
      </c>
      <c r="F67" s="30"/>
      <c r="G67" s="58" t="s">
        <v>722</v>
      </c>
      <c r="H67" s="40">
        <v>1</v>
      </c>
      <c r="I67" s="29">
        <v>1</v>
      </c>
      <c r="J67" s="29">
        <v>1</v>
      </c>
      <c r="K67" s="58">
        <v>1</v>
      </c>
      <c r="L67" s="42"/>
      <c r="M67" s="31"/>
      <c r="N67" s="31"/>
      <c r="O67" s="43"/>
      <c r="P67" s="40">
        <f>H67*0.7</f>
        <v>0.7</v>
      </c>
      <c r="Q67" s="29">
        <f t="shared" si="59"/>
        <v>0.7</v>
      </c>
      <c r="R67" s="29">
        <f t="shared" si="60"/>
        <v>0.7</v>
      </c>
      <c r="S67" s="58">
        <f t="shared" si="61"/>
        <v>0.7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56"/>
        <v>0.7884000000000001</v>
      </c>
      <c r="AH67" s="65"/>
      <c r="AI67" s="65">
        <v>2019</v>
      </c>
      <c r="AJ67" s="65">
        <v>25</v>
      </c>
      <c r="AL67" s="100"/>
      <c r="AM67" s="99" t="str">
        <f t="shared" si="57"/>
        <v>R-SW_Att_KER_N2</v>
      </c>
      <c r="AN67" s="99" t="str">
        <f t="shared" si="58"/>
        <v>Residential Kerosene Heating Oil - New 3 SH+WH + Solar</v>
      </c>
      <c r="AO67" s="100" t="s">
        <v>13</v>
      </c>
      <c r="AP67" s="100" t="s">
        <v>175</v>
      </c>
      <c r="AQ67" s="100"/>
      <c r="AR67" s="100" t="s">
        <v>75</v>
      </c>
    </row>
    <row r="68" spans="3:44" ht="15" x14ac:dyDescent="0.25">
      <c r="C68" s="22" t="str">
        <f>"R-SW_Att"&amp;"_"&amp;RIGHT(E68,3)&amp;"_N3"</f>
        <v>R-SW_Att_KER_N3</v>
      </c>
      <c r="D68" s="23" t="s">
        <v>102</v>
      </c>
      <c r="E68" s="24" t="s">
        <v>262</v>
      </c>
      <c r="F68" s="24"/>
      <c r="G68" s="57" t="s">
        <v>722</v>
      </c>
      <c r="H68" s="22">
        <v>1</v>
      </c>
      <c r="I68" s="23">
        <v>1.0249999999999999</v>
      </c>
      <c r="J68" s="23">
        <v>1.0249999999999999</v>
      </c>
      <c r="K68" s="57">
        <v>1.0249999999999999</v>
      </c>
      <c r="L68" s="44"/>
      <c r="M68" s="32"/>
      <c r="N68" s="32"/>
      <c r="O68" s="45"/>
      <c r="P68" s="22">
        <f>H68*0.7</f>
        <v>0.7</v>
      </c>
      <c r="Q68" s="23">
        <f t="shared" si="59"/>
        <v>0.71749999999999992</v>
      </c>
      <c r="R68" s="23">
        <f t="shared" si="60"/>
        <v>0.71749999999999992</v>
      </c>
      <c r="S68" s="57">
        <f t="shared" si="61"/>
        <v>0.71749999999999992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57"/>
        <v>R-SW_Att_KER_N3</v>
      </c>
      <c r="AN68" s="99" t="str">
        <f t="shared" si="58"/>
        <v>Residential Kerosene Heating Oil - New 3 SH+WH + Wood Stove</v>
      </c>
      <c r="AO68" s="101" t="s">
        <v>13</v>
      </c>
      <c r="AP68" s="101" t="s">
        <v>175</v>
      </c>
      <c r="AQ68" s="100"/>
      <c r="AR68" s="100"/>
    </row>
    <row r="69" spans="3:44" ht="15" x14ac:dyDescent="0.25">
      <c r="C69" s="40" t="str">
        <f>"R-SH_Att"&amp;"_"&amp;RIGHT(E69,3)&amp;"_N1"</f>
        <v>R-SH_Att_GAS_N1</v>
      </c>
      <c r="D69" s="29" t="s">
        <v>95</v>
      </c>
      <c r="E69" s="30" t="s">
        <v>694</v>
      </c>
      <c r="F69" s="30"/>
      <c r="G69" s="58" t="s">
        <v>721</v>
      </c>
      <c r="H69" s="40">
        <v>1</v>
      </c>
      <c r="I69" s="29">
        <v>1</v>
      </c>
      <c r="J69" s="29">
        <v>1</v>
      </c>
      <c r="K69" s="58">
        <v>1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3">
        <f>3.25</f>
        <v>3.25</v>
      </c>
      <c r="W69" s="373">
        <f t="shared" ref="W69:Y69" si="63">3.25</f>
        <v>3.25</v>
      </c>
      <c r="X69" s="373">
        <f t="shared" si="63"/>
        <v>3.25</v>
      </c>
      <c r="Y69" s="373">
        <f t="shared" si="63"/>
        <v>3.25</v>
      </c>
      <c r="Z69" s="373">
        <v>0.12</v>
      </c>
      <c r="AA69" s="65"/>
      <c r="AB69" s="42"/>
      <c r="AC69" s="71"/>
      <c r="AD69" s="71"/>
      <c r="AE69" s="71"/>
      <c r="AF69" s="71"/>
      <c r="AG69" s="62">
        <f t="shared" si="56"/>
        <v>0.63072000000000006</v>
      </c>
      <c r="AH69" s="65"/>
      <c r="AI69" s="65">
        <v>2019</v>
      </c>
      <c r="AJ69" s="65">
        <v>20</v>
      </c>
      <c r="AL69" s="100"/>
      <c r="AM69" s="99" t="str">
        <f t="shared" si="57"/>
        <v>R-SH_Att_GAS_N1</v>
      </c>
      <c r="AN69" s="99" t="str">
        <f t="shared" si="58"/>
        <v>Residential Natural Gas Heating - New 1 SH</v>
      </c>
      <c r="AO69" s="100" t="s">
        <v>13</v>
      </c>
      <c r="AP69" s="100" t="s">
        <v>175</v>
      </c>
      <c r="AQ69" s="100"/>
      <c r="AR69" s="100" t="s">
        <v>75</v>
      </c>
    </row>
    <row r="70" spans="3:44" ht="15" x14ac:dyDescent="0.25">
      <c r="C70" s="22" t="str">
        <f>"R-SW_Att"&amp;"_"&amp;RIGHT(E70,3)&amp;"_N1"</f>
        <v>R-SW_Att_GAS_N1</v>
      </c>
      <c r="D70" s="23" t="s">
        <v>99</v>
      </c>
      <c r="E70" s="24" t="s">
        <v>694</v>
      </c>
      <c r="F70" s="24"/>
      <c r="G70" s="57" t="s">
        <v>722</v>
      </c>
      <c r="H70" s="22">
        <v>1</v>
      </c>
      <c r="I70" s="23">
        <v>1</v>
      </c>
      <c r="J70" s="23">
        <v>1</v>
      </c>
      <c r="K70" s="57">
        <v>1</v>
      </c>
      <c r="L70" s="44"/>
      <c r="M70" s="32"/>
      <c r="N70" s="32"/>
      <c r="O70" s="45"/>
      <c r="P70" s="22">
        <f>H70*0.7</f>
        <v>0.7</v>
      </c>
      <c r="Q70" s="23">
        <f t="shared" ref="Q70:Q72" si="64">I70*0.7</f>
        <v>0.7</v>
      </c>
      <c r="R70" s="23">
        <f t="shared" ref="R70:R72" si="65">J70*0.7</f>
        <v>0.7</v>
      </c>
      <c r="S70" s="57">
        <f t="shared" ref="S70:S72" si="66">K70*0.7</f>
        <v>0.7</v>
      </c>
      <c r="T70" s="53">
        <v>20</v>
      </c>
      <c r="U70" s="25"/>
      <c r="V70" s="374">
        <f>V69*($U$222/$U$221)</f>
        <v>3.2902892561983474</v>
      </c>
      <c r="W70" s="374">
        <f>W69*($U$222/$U$221)</f>
        <v>3.2902892561983474</v>
      </c>
      <c r="X70" s="374">
        <f>X69*($U$222/$U$221)</f>
        <v>3.2902892561983474</v>
      </c>
      <c r="Y70" s="374">
        <f>Y69*($U$222/$U$221)</f>
        <v>3.2902892561983474</v>
      </c>
      <c r="Z70" s="374">
        <v>0.12</v>
      </c>
      <c r="AA70" s="66"/>
      <c r="AB70" s="44"/>
      <c r="AC70" s="72"/>
      <c r="AD70" s="72"/>
      <c r="AE70" s="72"/>
      <c r="AF70" s="72"/>
      <c r="AG70" s="63">
        <f t="shared" si="56"/>
        <v>0.7884000000000001</v>
      </c>
      <c r="AH70" s="66"/>
      <c r="AI70" s="66">
        <v>2019</v>
      </c>
      <c r="AJ70" s="66">
        <v>25</v>
      </c>
      <c r="AL70" s="100"/>
      <c r="AM70" s="99" t="str">
        <f t="shared" si="57"/>
        <v>R-SW_Att_GAS_N1</v>
      </c>
      <c r="AN70" s="99" t="str">
        <f t="shared" si="58"/>
        <v>Residential Natural Gas Heating - New 2 SH + WH</v>
      </c>
      <c r="AO70" s="100" t="s">
        <v>13</v>
      </c>
      <c r="AP70" s="100" t="s">
        <v>175</v>
      </c>
      <c r="AQ70" s="100"/>
      <c r="AR70" s="100" t="s">
        <v>75</v>
      </c>
    </row>
    <row r="71" spans="3:44" ht="15" x14ac:dyDescent="0.25">
      <c r="C71" s="40" t="str">
        <f>"R-SW_Att"&amp;"_"&amp;RIGHT(E71,3)&amp;"_N2"</f>
        <v>R-SW_Att_GAS_N2</v>
      </c>
      <c r="D71" s="29" t="s">
        <v>100</v>
      </c>
      <c r="E71" s="30" t="s">
        <v>696</v>
      </c>
      <c r="F71" s="30"/>
      <c r="G71" s="58" t="s">
        <v>722</v>
      </c>
      <c r="H71" s="40">
        <v>1</v>
      </c>
      <c r="I71" s="29">
        <v>1</v>
      </c>
      <c r="J71" s="29">
        <v>1</v>
      </c>
      <c r="K71" s="58">
        <v>1</v>
      </c>
      <c r="L71" s="42"/>
      <c r="M71" s="31"/>
      <c r="N71" s="31"/>
      <c r="O71" s="43"/>
      <c r="P71" s="40">
        <f>H71*0.7</f>
        <v>0.7</v>
      </c>
      <c r="Q71" s="29">
        <f t="shared" si="64"/>
        <v>0.7</v>
      </c>
      <c r="R71" s="29">
        <f t="shared" si="65"/>
        <v>0.7</v>
      </c>
      <c r="S71" s="58">
        <f t="shared" si="66"/>
        <v>0.7</v>
      </c>
      <c r="T71" s="54">
        <v>20</v>
      </c>
      <c r="U71" s="41"/>
      <c r="V71" s="373">
        <v>12.75</v>
      </c>
      <c r="W71" s="373">
        <f>V71*0.9685</f>
        <v>12.348375000000001</v>
      </c>
      <c r="X71" s="373">
        <f>V71*0.916</f>
        <v>11.679</v>
      </c>
      <c r="Y71" s="373">
        <f>V71*0.812</f>
        <v>10.353000000000002</v>
      </c>
      <c r="Z71" s="373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56"/>
        <v>0.7884000000000001</v>
      </c>
      <c r="AH71" s="65"/>
      <c r="AI71" s="65">
        <v>2019</v>
      </c>
      <c r="AJ71" s="65">
        <v>25</v>
      </c>
      <c r="AL71" s="100"/>
      <c r="AM71" s="99" t="str">
        <f t="shared" si="57"/>
        <v>R-SW_Att_GAS_N2</v>
      </c>
      <c r="AN71" s="99" t="str">
        <f t="shared" si="58"/>
        <v>Residential Natural Gas Heating - New 3 SH + WH + Solar</v>
      </c>
      <c r="AO71" s="100" t="s">
        <v>13</v>
      </c>
      <c r="AP71" s="100" t="s">
        <v>175</v>
      </c>
      <c r="AQ71" s="100"/>
      <c r="AR71" s="100" t="s">
        <v>75</v>
      </c>
    </row>
    <row r="72" spans="3:44" ht="15" x14ac:dyDescent="0.25">
      <c r="C72" s="22" t="str">
        <f>"R-SW_Att"&amp;"_"&amp;RIGHT(E72,3)&amp;"_N3"</f>
        <v>R-SW_Att_GAS_N3</v>
      </c>
      <c r="D72" s="23" t="s">
        <v>101</v>
      </c>
      <c r="E72" s="24" t="s">
        <v>697</v>
      </c>
      <c r="F72" s="24"/>
      <c r="G72" s="57" t="s">
        <v>722</v>
      </c>
      <c r="H72" s="22">
        <v>1</v>
      </c>
      <c r="I72" s="23">
        <v>1.0249999999999999</v>
      </c>
      <c r="J72" s="23">
        <v>1.0249999999999999</v>
      </c>
      <c r="K72" s="57">
        <v>1.0249999999999999</v>
      </c>
      <c r="L72" s="44"/>
      <c r="M72" s="32"/>
      <c r="N72" s="32"/>
      <c r="O72" s="45"/>
      <c r="P72" s="22">
        <f>H72*0.7</f>
        <v>0.7</v>
      </c>
      <c r="Q72" s="23">
        <f t="shared" si="64"/>
        <v>0.71749999999999992</v>
      </c>
      <c r="R72" s="23">
        <f t="shared" si="65"/>
        <v>0.71749999999999992</v>
      </c>
      <c r="S72" s="57">
        <f t="shared" si="66"/>
        <v>0.71749999999999992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56"/>
        <v>0.7884000000000001</v>
      </c>
      <c r="AH72" s="66"/>
      <c r="AI72" s="66">
        <v>2019</v>
      </c>
      <c r="AJ72" s="66">
        <v>25</v>
      </c>
      <c r="AL72" s="100"/>
      <c r="AM72" s="99" t="str">
        <f t="shared" si="57"/>
        <v>R-SW_Att_GAS_N3</v>
      </c>
      <c r="AN72" s="99" t="str">
        <f t="shared" si="58"/>
        <v>Residential Natural Gas Heating - New 4 SH + WH + Wood Stove</v>
      </c>
      <c r="AO72" s="100" t="s">
        <v>13</v>
      </c>
      <c r="AP72" s="100" t="s">
        <v>175</v>
      </c>
      <c r="AQ72" s="100"/>
      <c r="AR72" s="100" t="s">
        <v>75</v>
      </c>
    </row>
    <row r="73" spans="3:44" ht="15" x14ac:dyDescent="0.25">
      <c r="C73" s="40" t="str">
        <f>"R-SH_Att"&amp;"_"&amp;RIGHT(E73,3)&amp;"_N1"</f>
        <v>R-SH_Att_LPG_N1</v>
      </c>
      <c r="D73" s="29" t="s">
        <v>103</v>
      </c>
      <c r="E73" s="30" t="s">
        <v>260</v>
      </c>
      <c r="F73" s="30"/>
      <c r="G73" s="58" t="s">
        <v>721</v>
      </c>
      <c r="H73" s="40">
        <v>1</v>
      </c>
      <c r="I73" s="29">
        <v>1</v>
      </c>
      <c r="J73" s="29">
        <v>1</v>
      </c>
      <c r="K73" s="58">
        <v>1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3">
        <f>SUM(V69+0.3)</f>
        <v>3.55</v>
      </c>
      <c r="W73" s="373">
        <f>SUM(W69+0.3)</f>
        <v>3.55</v>
      </c>
      <c r="X73" s="373">
        <f>SUM(X69+0.3)</f>
        <v>3.55</v>
      </c>
      <c r="Y73" s="373">
        <f>SUM(Y69+0.3)</f>
        <v>3.55</v>
      </c>
      <c r="Z73" s="373">
        <f>SUM(0.12+0.15)</f>
        <v>0.27</v>
      </c>
      <c r="AA73" s="65"/>
      <c r="AB73" s="42"/>
      <c r="AC73" s="71"/>
      <c r="AD73" s="71"/>
      <c r="AE73" s="71"/>
      <c r="AF73" s="71"/>
      <c r="AG73" s="62">
        <f t="shared" si="56"/>
        <v>0.63072000000000006</v>
      </c>
      <c r="AH73" s="65"/>
      <c r="AI73" s="65">
        <v>2019</v>
      </c>
      <c r="AJ73" s="65">
        <v>20</v>
      </c>
      <c r="AL73" s="100"/>
      <c r="AM73" s="99" t="str">
        <f t="shared" si="57"/>
        <v>R-SH_Att_LPG_N1</v>
      </c>
      <c r="AN73" s="99" t="str">
        <f t="shared" si="58"/>
        <v>Residential Liquid Petroleum Gas- New 1 SH</v>
      </c>
      <c r="AO73" s="100" t="s">
        <v>13</v>
      </c>
      <c r="AP73" s="100" t="s">
        <v>175</v>
      </c>
      <c r="AQ73" s="100"/>
      <c r="AR73" s="100" t="s">
        <v>75</v>
      </c>
    </row>
    <row r="74" spans="3:44" ht="15" x14ac:dyDescent="0.25">
      <c r="C74" s="22" t="str">
        <f>"R-SW_Att"&amp;"_"&amp;RIGHT(E74,3)&amp;"_N1"</f>
        <v>R-SW_Att_LPG_N1</v>
      </c>
      <c r="D74" s="23" t="s">
        <v>104</v>
      </c>
      <c r="E74" s="24" t="s">
        <v>260</v>
      </c>
      <c r="F74" s="24"/>
      <c r="G74" s="57" t="s">
        <v>722</v>
      </c>
      <c r="H74" s="22">
        <v>1</v>
      </c>
      <c r="I74" s="23">
        <v>1</v>
      </c>
      <c r="J74" s="23">
        <v>1</v>
      </c>
      <c r="K74" s="57">
        <v>1</v>
      </c>
      <c r="L74" s="44"/>
      <c r="M74" s="32"/>
      <c r="N74" s="32"/>
      <c r="O74" s="45"/>
      <c r="P74" s="22">
        <f>H74*0.7</f>
        <v>0.7</v>
      </c>
      <c r="Q74" s="23">
        <f t="shared" ref="Q74" si="67">I74*0.7</f>
        <v>0.7</v>
      </c>
      <c r="R74" s="23">
        <f t="shared" ref="R74" si="68">J74*0.7</f>
        <v>0.7</v>
      </c>
      <c r="S74" s="57">
        <f t="shared" ref="S74" si="69">K74*0.7</f>
        <v>0.7</v>
      </c>
      <c r="T74" s="53">
        <v>20</v>
      </c>
      <c r="U74" s="25"/>
      <c r="V74" s="374">
        <f>V69*($U$222/$U$221)+0.3</f>
        <v>3.5902892561983473</v>
      </c>
      <c r="W74" s="374">
        <f>W69*($U$222/$U$221)+0.3</f>
        <v>3.5902892561983473</v>
      </c>
      <c r="X74" s="374">
        <f>X69*($U$222/$U$221)+0.3</f>
        <v>3.5902892561983473</v>
      </c>
      <c r="Y74" s="374">
        <f>Y69*($U$222/$U$221)+0.3</f>
        <v>3.5902892561983473</v>
      </c>
      <c r="Z74" s="373">
        <f>SUM(0.12+0.15)</f>
        <v>0.27</v>
      </c>
      <c r="AA74" s="66"/>
      <c r="AB74" s="44"/>
      <c r="AC74" s="72"/>
      <c r="AD74" s="72"/>
      <c r="AE74" s="72"/>
      <c r="AF74" s="72"/>
      <c r="AG74" s="63">
        <f t="shared" si="56"/>
        <v>0.7884000000000001</v>
      </c>
      <c r="AH74" s="66"/>
      <c r="AI74" s="66">
        <v>2019</v>
      </c>
      <c r="AJ74" s="66">
        <v>25</v>
      </c>
      <c r="AL74" s="100"/>
      <c r="AM74" s="206" t="str">
        <f t="shared" si="57"/>
        <v>R-SW_Att_LPG_N1</v>
      </c>
      <c r="AN74" s="206" t="str">
        <f t="shared" si="58"/>
        <v>Residential Liquid Petroleum Gas- New 2 SH + WH</v>
      </c>
      <c r="AO74" s="100" t="s">
        <v>13</v>
      </c>
      <c r="AP74" s="100" t="s">
        <v>175</v>
      </c>
      <c r="AQ74" s="100"/>
      <c r="AR74" s="100" t="s">
        <v>75</v>
      </c>
    </row>
    <row r="75" spans="3:44" ht="15" x14ac:dyDescent="0.25">
      <c r="C75" s="40" t="str">
        <f>"R-SH_Att"&amp;"_"&amp;RIGHT(E75,3)&amp;"_N1"</f>
        <v>R-SH_Att_WOO_N1</v>
      </c>
      <c r="D75" s="29" t="s">
        <v>105</v>
      </c>
      <c r="E75" s="30" t="s">
        <v>263</v>
      </c>
      <c r="F75" s="30"/>
      <c r="G75" s="58" t="s">
        <v>721</v>
      </c>
      <c r="H75" s="40">
        <v>1</v>
      </c>
      <c r="I75" s="29">
        <v>1</v>
      </c>
      <c r="J75" s="29">
        <v>1</v>
      </c>
      <c r="K75" s="58">
        <v>1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3">
        <v>20.48</v>
      </c>
      <c r="W75" s="373">
        <f>V75*0.96777</f>
        <v>19.819929600000002</v>
      </c>
      <c r="X75" s="373">
        <f>V75*0.914844</f>
        <v>18.736005120000002</v>
      </c>
      <c r="Y75" s="373">
        <f>V75*0.8181</f>
        <v>16.754688000000002</v>
      </c>
      <c r="Z75" s="373">
        <v>0.25</v>
      </c>
      <c r="AA75" s="65"/>
      <c r="AB75" s="40"/>
      <c r="AC75" s="71"/>
      <c r="AD75" s="71"/>
      <c r="AE75" s="71"/>
      <c r="AF75" s="71"/>
      <c r="AG75" s="62">
        <f t="shared" si="56"/>
        <v>0.63072000000000006</v>
      </c>
      <c r="AH75" s="65"/>
      <c r="AI75" s="65">
        <v>2019</v>
      </c>
      <c r="AJ75" s="65">
        <v>20</v>
      </c>
      <c r="AL75" s="100"/>
      <c r="AM75" s="206" t="str">
        <f t="shared" si="57"/>
        <v>R-SH_Att_WOO_N1</v>
      </c>
      <c r="AN75" s="206" t="str">
        <f t="shared" si="58"/>
        <v>Residential Biomass Boiler - New 1 SH</v>
      </c>
      <c r="AO75" s="100" t="s">
        <v>13</v>
      </c>
      <c r="AP75" s="100" t="s">
        <v>175</v>
      </c>
      <c r="AQ75" s="100"/>
      <c r="AR75" s="100" t="s">
        <v>75</v>
      </c>
    </row>
    <row r="76" spans="3:44" ht="15" x14ac:dyDescent="0.25">
      <c r="C76" s="22" t="str">
        <f>"R-SW_Att"&amp;"_"&amp;RIGHT(E76,3)&amp;"_N1"</f>
        <v>R-SW_Att_WOO_N1</v>
      </c>
      <c r="D76" s="23" t="s">
        <v>106</v>
      </c>
      <c r="E76" s="24" t="s">
        <v>263</v>
      </c>
      <c r="F76" s="24"/>
      <c r="G76" s="57" t="s">
        <v>722</v>
      </c>
      <c r="H76" s="22">
        <v>1</v>
      </c>
      <c r="I76" s="23">
        <v>1</v>
      </c>
      <c r="J76" s="23">
        <v>1</v>
      </c>
      <c r="K76" s="57">
        <v>1</v>
      </c>
      <c r="L76" s="44"/>
      <c r="M76" s="32"/>
      <c r="N76" s="32"/>
      <c r="O76" s="45"/>
      <c r="P76" s="22">
        <f t="shared" ref="P76:S80" si="70">H76*0.7</f>
        <v>0.7</v>
      </c>
      <c r="Q76" s="23">
        <f t="shared" si="70"/>
        <v>0.7</v>
      </c>
      <c r="R76" s="23">
        <f t="shared" si="70"/>
        <v>0.7</v>
      </c>
      <c r="S76" s="57">
        <f t="shared" si="70"/>
        <v>0.7</v>
      </c>
      <c r="T76" s="53">
        <v>20</v>
      </c>
      <c r="U76" s="25"/>
      <c r="V76" s="374">
        <f>V75*($U$222/$U$221)</f>
        <v>20.733884297520664</v>
      </c>
      <c r="W76" s="374">
        <f>W75*($U$222/$U$221)</f>
        <v>20.065631206611574</v>
      </c>
      <c r="X76" s="374">
        <f>X75*($U$222/$U$221)</f>
        <v>18.968269646280994</v>
      </c>
      <c r="Y76" s="374">
        <f>Y75*($U$222/$U$221)</f>
        <v>16.962390743801656</v>
      </c>
      <c r="Z76" s="374">
        <v>0.25</v>
      </c>
      <c r="AA76" s="66"/>
      <c r="AB76" s="44"/>
      <c r="AC76" s="72"/>
      <c r="AD76" s="72"/>
      <c r="AE76" s="72"/>
      <c r="AF76" s="72"/>
      <c r="AG76" s="63">
        <f t="shared" si="56"/>
        <v>0.7884000000000001</v>
      </c>
      <c r="AH76" s="66"/>
      <c r="AI76" s="66">
        <v>2019</v>
      </c>
      <c r="AJ76" s="66">
        <v>25</v>
      </c>
      <c r="AL76" s="100"/>
      <c r="AM76" s="206" t="str">
        <f t="shared" si="57"/>
        <v>R-SW_Att_WOO_N1</v>
      </c>
      <c r="AN76" s="206" t="str">
        <f t="shared" si="58"/>
        <v>Residential Biomass Boiler - New 2 SH + WH</v>
      </c>
      <c r="AO76" s="100" t="s">
        <v>13</v>
      </c>
      <c r="AP76" s="100" t="s">
        <v>175</v>
      </c>
      <c r="AQ76" s="100"/>
      <c r="AR76" s="100" t="s">
        <v>75</v>
      </c>
    </row>
    <row r="77" spans="3:44" ht="15" x14ac:dyDescent="0.25">
      <c r="C77" s="40" t="str">
        <f>"R-SH_Att"&amp;"_"&amp;"FPL"&amp;"_N1"</f>
        <v>R-SH_Att_FPL_N1</v>
      </c>
      <c r="D77" s="29" t="s">
        <v>563</v>
      </c>
      <c r="E77" s="30" t="s">
        <v>560</v>
      </c>
      <c r="F77" s="30"/>
      <c r="G77" s="58" t="s">
        <v>721</v>
      </c>
      <c r="H77" s="40">
        <v>0.55000000000000004</v>
      </c>
      <c r="I77" s="40">
        <v>0.55000000000000004</v>
      </c>
      <c r="J77" s="40">
        <v>0.55000000000000004</v>
      </c>
      <c r="K77" s="40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4">
        <f>((JRC_Data!BB13)/1000)*$U$221</f>
        <v>2.4293436293436295</v>
      </c>
      <c r="W77" s="374">
        <f>((JRC_Data!BC13)/1000)*$U$221</f>
        <v>2.4293436293436295</v>
      </c>
      <c r="X77" s="374">
        <f>((JRC_Data!BD13)/1000)*$U$221</f>
        <v>3.2702702702702702</v>
      </c>
      <c r="Y77" s="374">
        <f>((JRC_Data!BE13)/1000)*$U$221</f>
        <v>3.2702702702702702</v>
      </c>
      <c r="Z77" s="374">
        <v>0.12</v>
      </c>
      <c r="AA77" s="66"/>
      <c r="AB77" s="44"/>
      <c r="AC77" s="72"/>
      <c r="AD77" s="72"/>
      <c r="AE77" s="72"/>
      <c r="AF77" s="72"/>
      <c r="AG77" s="63">
        <f t="shared" si="56"/>
        <v>0.63072000000000006</v>
      </c>
      <c r="AH77" s="66"/>
      <c r="AI77" s="65">
        <v>2019</v>
      </c>
      <c r="AJ77" s="66">
        <v>20</v>
      </c>
      <c r="AL77" s="100"/>
      <c r="AM77" s="206" t="s">
        <v>561</v>
      </c>
      <c r="AN77" s="206" t="str">
        <f>D77</f>
        <v>Residential  Stove New 1 - SH</v>
      </c>
      <c r="AO77" s="100" t="s">
        <v>13</v>
      </c>
      <c r="AP77" s="100" t="s">
        <v>175</v>
      </c>
      <c r="AQ77" s="100"/>
      <c r="AR77" s="100"/>
    </row>
    <row r="78" spans="3:44" ht="15" x14ac:dyDescent="0.25">
      <c r="C78" s="22" t="str">
        <f>"R-SW_Att"&amp;"_"&amp;"FPL"&amp;"_N1"</f>
        <v>R-SW_Att_FPL_N1</v>
      </c>
      <c r="D78" s="23" t="s">
        <v>564</v>
      </c>
      <c r="E78" s="24" t="s">
        <v>560</v>
      </c>
      <c r="F78" s="24"/>
      <c r="G78" s="57" t="s">
        <v>722</v>
      </c>
      <c r="H78" s="40">
        <v>0.55000000000000004</v>
      </c>
      <c r="I78" s="40">
        <v>0.55000000000000004</v>
      </c>
      <c r="J78" s="40">
        <v>0.55000000000000004</v>
      </c>
      <c r="K78" s="40">
        <v>0.55000000000000004</v>
      </c>
      <c r="L78" s="44"/>
      <c r="M78" s="32"/>
      <c r="N78" s="32"/>
      <c r="O78" s="45"/>
      <c r="P78" s="22">
        <f t="shared" ref="P78" si="71">H78*0.7</f>
        <v>0.38500000000000001</v>
      </c>
      <c r="Q78" s="23">
        <f t="shared" ref="Q78" si="72">I78*0.7</f>
        <v>0.38500000000000001</v>
      </c>
      <c r="R78" s="23">
        <f t="shared" ref="R78" si="73">J78*0.7</f>
        <v>0.38500000000000001</v>
      </c>
      <c r="S78" s="57">
        <f t="shared" ref="S78" si="74">K78*0.7</f>
        <v>0.38500000000000001</v>
      </c>
      <c r="T78" s="53">
        <v>20</v>
      </c>
      <c r="U78" s="25"/>
      <c r="V78" s="374">
        <f>((JRC_Data!BB13)/1000)*$U$222</f>
        <v>2.4594594594594597</v>
      </c>
      <c r="W78" s="374">
        <f>((JRC_Data!BC13)/1000)*$U$222</f>
        <v>2.4594594594594597</v>
      </c>
      <c r="X78" s="374">
        <f>((JRC_Data!BD13)/1000)*$U$222</f>
        <v>3.310810810810811</v>
      </c>
      <c r="Y78" s="374">
        <f>((JRC_Data!BE13)/1000)*$U$222</f>
        <v>3.310810810810811</v>
      </c>
      <c r="Z78" s="436">
        <v>0.12</v>
      </c>
      <c r="AA78" s="66"/>
      <c r="AB78" s="44"/>
      <c r="AC78" s="72"/>
      <c r="AD78" s="72"/>
      <c r="AE78" s="72"/>
      <c r="AF78" s="72"/>
      <c r="AG78" s="63">
        <f t="shared" si="56"/>
        <v>0.63072000000000006</v>
      </c>
      <c r="AH78" s="66"/>
      <c r="AI78" s="66">
        <v>2019</v>
      </c>
      <c r="AJ78" s="66">
        <v>20</v>
      </c>
      <c r="AL78" s="100"/>
      <c r="AM78" s="206" t="s">
        <v>562</v>
      </c>
      <c r="AN78" s="206" t="str">
        <f>D78</f>
        <v>Residential  Stove with back boiler New 1 - SH +WH</v>
      </c>
      <c r="AO78" s="100" t="s">
        <v>13</v>
      </c>
      <c r="AP78" s="100" t="s">
        <v>175</v>
      </c>
      <c r="AQ78" s="100"/>
      <c r="AR78" s="100"/>
    </row>
    <row r="79" spans="3:44" ht="15" x14ac:dyDescent="0.25">
      <c r="C79" s="40" t="s">
        <v>565</v>
      </c>
      <c r="D79" s="29" t="s">
        <v>256</v>
      </c>
      <c r="E79" s="30" t="s">
        <v>265</v>
      </c>
      <c r="F79" s="30"/>
      <c r="G79" s="58" t="s">
        <v>721</v>
      </c>
      <c r="H79" s="40">
        <v>0.82</v>
      </c>
      <c r="I79" s="40">
        <v>0.82</v>
      </c>
      <c r="J79" s="40">
        <v>0.82</v>
      </c>
      <c r="K79" s="40">
        <v>0.82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5">W65</f>
        <v>4.2250000000000005</v>
      </c>
      <c r="X79" s="62">
        <f t="shared" si="75"/>
        <v>4.2250000000000005</v>
      </c>
      <c r="Y79" s="62">
        <f t="shared" si="75"/>
        <v>4.2250000000000005</v>
      </c>
      <c r="Z79" s="62">
        <f t="shared" si="75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C79</f>
        <v>R-SH_Att_HVO_N1</v>
      </c>
      <c r="AN79" s="206" t="str">
        <f>D79</f>
        <v>Residential  Hydrotreated vegetable oil - New 1 SH</v>
      </c>
      <c r="AO79" s="100" t="s">
        <v>13</v>
      </c>
      <c r="AP79" s="100" t="s">
        <v>175</v>
      </c>
      <c r="AQ79" s="100"/>
      <c r="AR79" s="100" t="s">
        <v>75</v>
      </c>
    </row>
    <row r="80" spans="3:44" ht="15" x14ac:dyDescent="0.25">
      <c r="C80" s="22" t="s">
        <v>566</v>
      </c>
      <c r="D80" s="23" t="s">
        <v>526</v>
      </c>
      <c r="E80" s="24" t="s">
        <v>265</v>
      </c>
      <c r="F80" s="24"/>
      <c r="G80" s="57" t="s">
        <v>722</v>
      </c>
      <c r="H80" s="22">
        <v>0.82</v>
      </c>
      <c r="I80" s="22">
        <v>0.82</v>
      </c>
      <c r="J80" s="22">
        <v>0.82</v>
      </c>
      <c r="K80" s="22">
        <v>0.82</v>
      </c>
      <c r="L80" s="49"/>
      <c r="M80" s="50"/>
      <c r="N80" s="50"/>
      <c r="O80" s="51"/>
      <c r="P80" s="246">
        <f t="shared" si="70"/>
        <v>0.57399999999999995</v>
      </c>
      <c r="Q80" s="26">
        <f t="shared" si="70"/>
        <v>0.57399999999999995</v>
      </c>
      <c r="R80" s="26">
        <f t="shared" si="70"/>
        <v>0.57399999999999995</v>
      </c>
      <c r="S80" s="59">
        <f t="shared" si="70"/>
        <v>0.57399999999999995</v>
      </c>
      <c r="T80" s="55">
        <v>20</v>
      </c>
      <c r="U80" s="28"/>
      <c r="V80" s="62">
        <f>V66</f>
        <v>4.2773760330578519</v>
      </c>
      <c r="W80" s="62">
        <f t="shared" ref="W80:Y80" si="76">W66</f>
        <v>4.2773760330578519</v>
      </c>
      <c r="X80" s="62">
        <f t="shared" si="76"/>
        <v>4.2773760330578519</v>
      </c>
      <c r="Y80" s="62">
        <f t="shared" si="76"/>
        <v>4.2773760330578519</v>
      </c>
      <c r="Z80" s="62">
        <f t="shared" si="75"/>
        <v>0.12</v>
      </c>
      <c r="AA80" s="66"/>
      <c r="AB80" s="44"/>
      <c r="AC80" s="72"/>
      <c r="AD80" s="72"/>
      <c r="AE80" s="72"/>
      <c r="AF80" s="72"/>
      <c r="AG80" s="63">
        <f t="shared" si="56"/>
        <v>0.7884000000000001</v>
      </c>
      <c r="AH80" s="67"/>
      <c r="AI80" s="67">
        <v>2019</v>
      </c>
      <c r="AJ80" s="67">
        <v>25</v>
      </c>
      <c r="AL80" s="100"/>
      <c r="AM80" s="206" t="str">
        <f>C80</f>
        <v>R-SW_Att_HVO_N1</v>
      </c>
      <c r="AN80" s="206" t="str">
        <f>D80</f>
        <v>Residential  Hydrotreated vegetable oil - New 1 SH + WH</v>
      </c>
      <c r="AO80" s="100" t="s">
        <v>13</v>
      </c>
      <c r="AP80" s="100" t="s">
        <v>175</v>
      </c>
      <c r="AQ80" s="100"/>
      <c r="AR80" s="100" t="s">
        <v>75</v>
      </c>
    </row>
    <row r="81" spans="3:45" ht="15" x14ac:dyDescent="0.25">
      <c r="C81" s="33" t="s">
        <v>270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>C82</f>
        <v>R-SH_Att_ELC_N1</v>
      </c>
      <c r="AN81" s="206" t="str">
        <f>D82</f>
        <v>Residential Electric Heater - New 1 SH</v>
      </c>
      <c r="AO81" s="100" t="s">
        <v>13</v>
      </c>
      <c r="AP81" s="100" t="s">
        <v>175</v>
      </c>
      <c r="AQ81" s="100"/>
      <c r="AR81" s="100" t="s">
        <v>75</v>
      </c>
    </row>
    <row r="82" spans="3:45" ht="15" x14ac:dyDescent="0.25">
      <c r="C82" s="92" t="str">
        <f>"R-SH_Att"&amp;"_"&amp;RIGHT(E82,3)&amp;"_N1"</f>
        <v>R-SH_Att_ELC_N1</v>
      </c>
      <c r="D82" s="79" t="s">
        <v>107</v>
      </c>
      <c r="E82" s="115" t="s">
        <v>148</v>
      </c>
      <c r="F82" s="115"/>
      <c r="G82" s="80" t="s">
        <v>721</v>
      </c>
      <c r="H82" s="243">
        <v>1</v>
      </c>
      <c r="I82" s="244">
        <v>1</v>
      </c>
      <c r="J82" s="244">
        <v>1</v>
      </c>
      <c r="K82" s="245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(JRC_Data!BB48/1000)*($U$222/$U$221)</f>
        <v>4.0495867768595044</v>
      </c>
      <c r="W82" s="78">
        <f>(JRC_Data!BC48/1000)*($U$222/$U$221)</f>
        <v>4.0495867768595044</v>
      </c>
      <c r="X82" s="78">
        <f>(JRC_Data!BD48/1000)*($U$222/$U$221)</f>
        <v>4.0495867768595044</v>
      </c>
      <c r="Y82" s="78">
        <f>(JRC_Data!BE48/1000)*($U$222/$U$221)</f>
        <v>4.0495867768595044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56"/>
        <v>0.63072000000000006</v>
      </c>
      <c r="AH82" s="82"/>
      <c r="AI82" s="82">
        <v>2019</v>
      </c>
      <c r="AJ82" s="82">
        <v>20</v>
      </c>
      <c r="AL82" s="100"/>
      <c r="AM82" s="206" t="str">
        <f t="shared" ref="AM82:AN97" si="77">C84</f>
        <v>R-SH_Att_ELC_HPN1</v>
      </c>
      <c r="AN82" s="206" t="str">
        <f t="shared" si="77"/>
        <v>Residential Electric Heat Pump - Air to Air - SH</v>
      </c>
      <c r="AO82" s="100" t="s">
        <v>13</v>
      </c>
      <c r="AP82" s="100" t="s">
        <v>175</v>
      </c>
      <c r="AQ82" s="100"/>
      <c r="AR82" s="100" t="s">
        <v>75</v>
      </c>
    </row>
    <row r="83" spans="3:45" ht="15" x14ac:dyDescent="0.25">
      <c r="C83" s="33" t="s">
        <v>271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77"/>
        <v>R-HC_Att_ELC_HPN1</v>
      </c>
      <c r="AN83" s="206" t="str">
        <f t="shared" si="77"/>
        <v>Residential Electric Heat Pump - Air to Air - SH + SC</v>
      </c>
      <c r="AO83" s="100" t="s">
        <v>13</v>
      </c>
      <c r="AP83" s="100" t="s">
        <v>175</v>
      </c>
      <c r="AQ83" s="100"/>
      <c r="AR83" s="100" t="s">
        <v>75</v>
      </c>
    </row>
    <row r="84" spans="3:45" ht="15" x14ac:dyDescent="0.25">
      <c r="C84" s="19" t="str">
        <f>"R-SH_Att"&amp;"_"&amp;RIGHT(E84,3)&amp;"_HPN1"</f>
        <v>R-SH_Att_ELC_HPN1</v>
      </c>
      <c r="D84" s="20" t="s">
        <v>109</v>
      </c>
      <c r="E84" s="88" t="s">
        <v>148</v>
      </c>
      <c r="F84" s="88" t="s">
        <v>558</v>
      </c>
      <c r="G84" s="20" t="s">
        <v>721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56"/>
        <v>0.220752</v>
      </c>
      <c r="AH84" s="88"/>
      <c r="AI84" s="87">
        <v>2100</v>
      </c>
      <c r="AJ84" s="21">
        <v>7</v>
      </c>
      <c r="AL84" s="100"/>
      <c r="AM84" s="206" t="str">
        <f t="shared" si="77"/>
        <v>R-SH_Att_ELC_HPN2-AB</v>
      </c>
      <c r="AN84" s="206" t="str">
        <f t="shared" si="77"/>
        <v>Residential Electric Heat Pump - Air to Water - SH - AB rated dwelling</v>
      </c>
      <c r="AO84" s="100" t="s">
        <v>13</v>
      </c>
      <c r="AP84" s="100" t="s">
        <v>175</v>
      </c>
      <c r="AQ84" s="100"/>
      <c r="AR84" s="100" t="s">
        <v>75</v>
      </c>
    </row>
    <row r="85" spans="3:45" ht="15" x14ac:dyDescent="0.25">
      <c r="C85" s="22" t="str">
        <f>"R-HC_Att"&amp;"_"&amp;RIGHT(E85,3)&amp;"_HPN1"</f>
        <v>R-HC_Att_ELC_HPN1</v>
      </c>
      <c r="D85" s="23" t="s">
        <v>110</v>
      </c>
      <c r="E85" s="24" t="s">
        <v>148</v>
      </c>
      <c r="F85" s="24" t="s">
        <v>558</v>
      </c>
      <c r="G85" s="23" t="s">
        <v>723</v>
      </c>
      <c r="H85" s="246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46">
        <v>1</v>
      </c>
      <c r="M85" s="26">
        <f>JRC_Data!AD16/JRC_Data!$AC$16</f>
        <v>1.0666666666666667</v>
      </c>
      <c r="N85" s="26">
        <f>JRC_Data!AE16/JRC_Data!$AC$16</f>
        <v>1.2333333333333334</v>
      </c>
      <c r="O85" s="59">
        <f>JRC_Data!AF16/JRC_Data!$AC$16</f>
        <v>1.3333333333333333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56"/>
        <v>0.26805600000000002</v>
      </c>
      <c r="AH85" s="27"/>
      <c r="AI85" s="67">
        <v>2100</v>
      </c>
      <c r="AJ85" s="28">
        <v>8.5</v>
      </c>
      <c r="AL85" s="100"/>
      <c r="AM85" s="206" t="str">
        <f t="shared" si="77"/>
        <v>R-SH_Att_ELC_HPN2-C</v>
      </c>
      <c r="AN85" s="206" t="str">
        <f t="shared" si="77"/>
        <v>Residential Electric Heat Pump - Air to Water - SH - C rated dwelling</v>
      </c>
      <c r="AO85" s="100" t="s">
        <v>13</v>
      </c>
      <c r="AP85" s="100" t="s">
        <v>175</v>
      </c>
      <c r="AQ85" s="100"/>
      <c r="AR85" s="100" t="s">
        <v>75</v>
      </c>
      <c r="AS85" s="4"/>
    </row>
    <row r="86" spans="3:45" ht="15" x14ac:dyDescent="0.25">
      <c r="C86" s="19" t="str">
        <f>"R-SH_Att"&amp;"_"&amp;RIGHT(E86,3)&amp;"_HPN2-AB"</f>
        <v>R-SH_Att_ELC_HPN2-AB</v>
      </c>
      <c r="D86" s="88" t="s">
        <v>703</v>
      </c>
      <c r="E86" s="88" t="s">
        <v>148</v>
      </c>
      <c r="F86" s="88" t="s">
        <v>558</v>
      </c>
      <c r="G86" s="88" t="s">
        <v>727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10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4"/>
      <c r="AC86" s="254"/>
      <c r="AD86" s="254"/>
      <c r="AE86" s="254"/>
      <c r="AF86" s="46"/>
      <c r="AG86" s="84">
        <f t="shared" si="56"/>
        <v>0.220752</v>
      </c>
      <c r="AH86" s="87"/>
      <c r="AI86" s="88">
        <v>2019</v>
      </c>
      <c r="AJ86" s="87">
        <v>7</v>
      </c>
      <c r="AL86" s="100"/>
      <c r="AM86" s="206" t="str">
        <f t="shared" si="77"/>
        <v>R-SH_Att_ELC_HPN2-D</v>
      </c>
      <c r="AN86" s="206" t="str">
        <f t="shared" si="77"/>
        <v>Residential Electric Heat Pump - Air to Water - SH - Drated dwelling</v>
      </c>
      <c r="AO86" s="100" t="s">
        <v>13</v>
      </c>
      <c r="AP86" s="100" t="s">
        <v>175</v>
      </c>
      <c r="AQ86" s="100"/>
      <c r="AR86" s="100" t="s">
        <v>75</v>
      </c>
      <c r="AS86" s="4"/>
    </row>
    <row r="87" spans="3:45" ht="15" x14ac:dyDescent="0.25">
      <c r="C87" s="22" t="str">
        <f>"R-SH_Att"&amp;"_"&amp;RIGHT(E87,3)&amp;"_HPN2-C"</f>
        <v>R-SH_Att_ELC_HPN2-C</v>
      </c>
      <c r="D87" s="24" t="s">
        <v>704</v>
      </c>
      <c r="E87" s="24" t="s">
        <v>148</v>
      </c>
      <c r="F87" s="24" t="s">
        <v>558</v>
      </c>
      <c r="G87" s="24" t="s">
        <v>750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11">
        <v>20</v>
      </c>
      <c r="U87" s="23"/>
      <c r="V87" s="22">
        <f>V21/$V$20*$V$86</f>
        <v>8.5299999999999994</v>
      </c>
      <c r="W87" s="23">
        <f t="shared" ref="V87:Y91" si="78">W21/$V$20*$V$86</f>
        <v>8.5299999999999994</v>
      </c>
      <c r="X87" s="23">
        <f t="shared" si="78"/>
        <v>7.6769999999999987</v>
      </c>
      <c r="Y87" s="57">
        <f t="shared" si="78"/>
        <v>7.6769999999999987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56"/>
        <v>0.220752</v>
      </c>
      <c r="AH87" s="66"/>
      <c r="AI87" s="24">
        <v>2019</v>
      </c>
      <c r="AJ87" s="66">
        <v>7</v>
      </c>
      <c r="AL87" s="100"/>
      <c r="AM87" s="206" t="str">
        <f t="shared" si="77"/>
        <v>R-SH_Att_ELC_HPN2-E</v>
      </c>
      <c r="AN87" s="206" t="str">
        <f t="shared" si="77"/>
        <v>Residential Electric Heat Pump - Air to Water - SH - E rated dwelling</v>
      </c>
      <c r="AO87" s="100" t="s">
        <v>13</v>
      </c>
      <c r="AP87" s="100" t="s">
        <v>175</v>
      </c>
      <c r="AQ87" s="100"/>
      <c r="AR87" s="100" t="s">
        <v>75</v>
      </c>
      <c r="AS87" s="4"/>
    </row>
    <row r="88" spans="3:45" ht="15" x14ac:dyDescent="0.25">
      <c r="C88" s="40" t="str">
        <f>"R-SH_Att"&amp;"_"&amp;RIGHT(E88,3)&amp;"_HPN2-D"</f>
        <v>R-SH_Att_ELC_HPN2-D</v>
      </c>
      <c r="D88" s="30" t="s">
        <v>755</v>
      </c>
      <c r="E88" s="30" t="s">
        <v>148</v>
      </c>
      <c r="F88" s="30" t="s">
        <v>558</v>
      </c>
      <c r="G88" s="30" t="s">
        <v>751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12">
        <v>20</v>
      </c>
      <c r="U88" s="29"/>
      <c r="V88" s="40">
        <f t="shared" si="78"/>
        <v>8.5299999999999994</v>
      </c>
      <c r="W88" s="29">
        <f t="shared" si="78"/>
        <v>8.5299999999999994</v>
      </c>
      <c r="X88" s="29">
        <f t="shared" si="78"/>
        <v>7.6769999999999987</v>
      </c>
      <c r="Y88" s="58">
        <f t="shared" si="78"/>
        <v>7.6769999999999987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56"/>
        <v>0.220752</v>
      </c>
      <c r="AH88" s="65"/>
      <c r="AI88" s="30">
        <v>2019</v>
      </c>
      <c r="AJ88" s="65">
        <v>7</v>
      </c>
      <c r="AL88" s="100"/>
      <c r="AM88" s="206" t="str">
        <f t="shared" si="77"/>
        <v>R-SH_Att_ELC_HPN2-F</v>
      </c>
      <c r="AN88" s="206" t="str">
        <f t="shared" si="77"/>
        <v>Residential Electric Heat Pump - Air to Water - SH - F rated dwelling</v>
      </c>
      <c r="AO88" s="100" t="s">
        <v>13</v>
      </c>
      <c r="AP88" s="100" t="s">
        <v>175</v>
      </c>
      <c r="AQ88" s="100"/>
      <c r="AR88" s="100" t="s">
        <v>75</v>
      </c>
      <c r="AS88" s="4"/>
    </row>
    <row r="89" spans="3:45" ht="15" x14ac:dyDescent="0.25">
      <c r="C89" s="22" t="str">
        <f>"R-SH_Att"&amp;"_"&amp;RIGHT(E89,3)&amp;"_HPN2-E"</f>
        <v>R-SH_Att_ELC_HPN2-E</v>
      </c>
      <c r="D89" s="24" t="s">
        <v>706</v>
      </c>
      <c r="E89" s="24" t="s">
        <v>148</v>
      </c>
      <c r="F89" s="24" t="s">
        <v>558</v>
      </c>
      <c r="G89" s="24" t="s">
        <v>752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11">
        <v>20</v>
      </c>
      <c r="U89" s="23"/>
      <c r="V89" s="22">
        <f t="shared" si="78"/>
        <v>9.7103734818565393</v>
      </c>
      <c r="W89" s="23">
        <f t="shared" si="78"/>
        <v>9.7103734818565393</v>
      </c>
      <c r="X89" s="23">
        <f t="shared" si="78"/>
        <v>8.8573734818565377</v>
      </c>
      <c r="Y89" s="57">
        <f t="shared" si="78"/>
        <v>8.8573734818565377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56"/>
        <v>0.220752</v>
      </c>
      <c r="AH89" s="66"/>
      <c r="AI89" s="24">
        <v>2019</v>
      </c>
      <c r="AJ89" s="66">
        <v>7</v>
      </c>
      <c r="AL89" s="100"/>
      <c r="AM89" s="206" t="str">
        <f t="shared" si="77"/>
        <v>R-SH_Att_ELC_HPN2-G</v>
      </c>
      <c r="AN89" s="206" t="str">
        <f t="shared" si="77"/>
        <v>Residential Electric Heat Pump - Air to Water - SH - G rated dwelling</v>
      </c>
      <c r="AO89" s="100" t="s">
        <v>13</v>
      </c>
      <c r="AP89" s="100" t="s">
        <v>175</v>
      </c>
      <c r="AQ89" s="100"/>
      <c r="AR89" s="100" t="s">
        <v>75</v>
      </c>
      <c r="AS89" s="4"/>
    </row>
    <row r="90" spans="3:45" ht="15" x14ac:dyDescent="0.25">
      <c r="C90" s="40" t="str">
        <f>"R-SH_Att"&amp;"_"&amp;RIGHT(E90,3)&amp;"_HPN2-F"</f>
        <v>R-SH_Att_ELC_HPN2-F</v>
      </c>
      <c r="D90" s="30" t="s">
        <v>707</v>
      </c>
      <c r="E90" s="30" t="s">
        <v>148</v>
      </c>
      <c r="F90" s="30" t="s">
        <v>558</v>
      </c>
      <c r="G90" s="30" t="s">
        <v>753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12">
        <v>20</v>
      </c>
      <c r="U90" s="29"/>
      <c r="V90" s="40">
        <f t="shared" si="78"/>
        <v>9.8579201670886061</v>
      </c>
      <c r="W90" s="29">
        <f t="shared" si="78"/>
        <v>9.8579201670886061</v>
      </c>
      <c r="X90" s="29">
        <f t="shared" si="78"/>
        <v>9.0049201670886081</v>
      </c>
      <c r="Y90" s="58">
        <f t="shared" si="78"/>
        <v>9.0049201670886081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56"/>
        <v>0.220752</v>
      </c>
      <c r="AH90" s="65"/>
      <c r="AI90" s="30">
        <v>2019</v>
      </c>
      <c r="AJ90" s="65">
        <v>7</v>
      </c>
      <c r="AL90" s="100"/>
      <c r="AM90" s="206" t="str">
        <f t="shared" si="77"/>
        <v>R-SW_Att_ELC_HPN1-AB</v>
      </c>
      <c r="AN90" s="206" t="str">
        <f t="shared" si="77"/>
        <v>Residential Electric Heat Pump - Air to Water - SH + WH - AB rated dwelling</v>
      </c>
      <c r="AO90" s="100" t="s">
        <v>13</v>
      </c>
      <c r="AP90" s="100" t="s">
        <v>175</v>
      </c>
      <c r="AQ90" s="100"/>
      <c r="AR90" s="100" t="s">
        <v>75</v>
      </c>
      <c r="AS90" s="4"/>
    </row>
    <row r="91" spans="3:45" ht="15" x14ac:dyDescent="0.25">
      <c r="C91" s="246" t="str">
        <f>"R-SH_Att"&amp;"_"&amp;RIGHT(E91,3)&amp;"_HPN2-G"</f>
        <v>R-SH_Att_ELC_HPN2-G</v>
      </c>
      <c r="D91" s="27" t="s">
        <v>733</v>
      </c>
      <c r="E91" s="27" t="s">
        <v>148</v>
      </c>
      <c r="F91" s="27" t="s">
        <v>558</v>
      </c>
      <c r="G91" s="27" t="s">
        <v>754</v>
      </c>
      <c r="H91" s="246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46"/>
      <c r="M91" s="26"/>
      <c r="N91" s="26"/>
      <c r="O91" s="59"/>
      <c r="P91" s="246"/>
      <c r="Q91" s="26"/>
      <c r="R91" s="26"/>
      <c r="S91" s="59"/>
      <c r="T91" s="514">
        <v>20</v>
      </c>
      <c r="U91" s="26"/>
      <c r="V91" s="246">
        <f t="shared" si="78"/>
        <v>10.005466852320673</v>
      </c>
      <c r="W91" s="26">
        <f t="shared" si="78"/>
        <v>10.005466852320673</v>
      </c>
      <c r="X91" s="26">
        <f t="shared" si="78"/>
        <v>9.1524668523206731</v>
      </c>
      <c r="Y91" s="59">
        <f t="shared" si="78"/>
        <v>9.1524668523206731</v>
      </c>
      <c r="Z91" s="64">
        <v>0.1</v>
      </c>
      <c r="AA91" s="67"/>
      <c r="AB91" s="515"/>
      <c r="AC91" s="515"/>
      <c r="AD91" s="515"/>
      <c r="AE91" s="515"/>
      <c r="AF91" s="49"/>
      <c r="AG91" s="64">
        <f t="shared" si="56"/>
        <v>0.220752</v>
      </c>
      <c r="AH91" s="67"/>
      <c r="AI91" s="27">
        <v>2019</v>
      </c>
      <c r="AJ91" s="67">
        <v>7</v>
      </c>
      <c r="AL91" s="100"/>
      <c r="AM91" s="206" t="str">
        <f t="shared" si="77"/>
        <v>R-SW_Att_ELC_HPN1-C</v>
      </c>
      <c r="AN91" s="206" t="str">
        <f t="shared" si="77"/>
        <v>Residential Electric Heat Pump - Air to Water - SH + WH - C rated dwelling</v>
      </c>
      <c r="AO91" s="100" t="s">
        <v>13</v>
      </c>
      <c r="AP91" s="100" t="s">
        <v>175</v>
      </c>
      <c r="AQ91" s="100"/>
      <c r="AR91" s="100" t="s">
        <v>75</v>
      </c>
      <c r="AS91" s="4"/>
    </row>
    <row r="92" spans="3:45" ht="15" x14ac:dyDescent="0.25">
      <c r="C92" s="19" t="str">
        <f>"R-SW_Att"&amp;"_"&amp;RIGHT(E92,3)&amp;"_HPN1-AB"</f>
        <v>R-SW_Att_ELC_HPN1-AB</v>
      </c>
      <c r="D92" s="88" t="s">
        <v>711</v>
      </c>
      <c r="E92" s="88" t="s">
        <v>148</v>
      </c>
      <c r="F92" s="88" t="s">
        <v>660</v>
      </c>
      <c r="G92" s="88" t="s">
        <v>773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79">I92*0.7</f>
        <v>0.76999999999999991</v>
      </c>
      <c r="R92" s="20">
        <f t="shared" ref="R92:R103" si="80">J92*0.7</f>
        <v>0.86333333333333329</v>
      </c>
      <c r="S92" s="56">
        <f t="shared" ref="S92:S103" si="81">K92*0.7</f>
        <v>0.93333333333333324</v>
      </c>
      <c r="T92" s="510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54"/>
      <c r="AC92" s="254"/>
      <c r="AD92" s="254"/>
      <c r="AE92" s="254"/>
      <c r="AF92" s="46"/>
      <c r="AG92" s="84">
        <f t="shared" si="56"/>
        <v>0.26805600000000002</v>
      </c>
      <c r="AH92" s="87"/>
      <c r="AI92" s="88">
        <v>2019</v>
      </c>
      <c r="AJ92" s="87">
        <v>8.5</v>
      </c>
      <c r="AL92" s="100"/>
      <c r="AM92" s="206" t="str">
        <f t="shared" si="77"/>
        <v>R-SW_Att_ELC_HPN1-D</v>
      </c>
      <c r="AN92" s="206" t="str">
        <f t="shared" si="77"/>
        <v>Residential Electric Heat Pump - Air to Water - SH + WH - D rated dwelling</v>
      </c>
      <c r="AO92" s="100" t="s">
        <v>13</v>
      </c>
      <c r="AP92" s="100" t="s">
        <v>175</v>
      </c>
      <c r="AQ92" s="100"/>
      <c r="AR92" s="100" t="s">
        <v>75</v>
      </c>
      <c r="AS92" s="4"/>
    </row>
    <row r="93" spans="3:45" ht="15" x14ac:dyDescent="0.25">
      <c r="C93" s="22" t="str">
        <f>"R-SW_Att"&amp;"_"&amp;RIGHT(E93,3)&amp;"_HPN1-C"</f>
        <v>R-SW_Att_ELC_HPN1-C</v>
      </c>
      <c r="D93" s="24" t="s">
        <v>712</v>
      </c>
      <c r="E93" s="24" t="s">
        <v>148</v>
      </c>
      <c r="F93" s="24" t="s">
        <v>660</v>
      </c>
      <c r="G93" s="24" t="s">
        <v>774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2">H93*0.7</f>
        <v>0.7</v>
      </c>
      <c r="Q93" s="23">
        <f t="shared" si="79"/>
        <v>0.76999999999999991</v>
      </c>
      <c r="R93" s="23">
        <f t="shared" si="80"/>
        <v>0.86333333333333329</v>
      </c>
      <c r="S93" s="57">
        <f t="shared" si="81"/>
        <v>0.93333333333333324</v>
      </c>
      <c r="T93" s="511">
        <v>20</v>
      </c>
      <c r="U93" s="57"/>
      <c r="V93" s="22">
        <f t="shared" ref="V93:Y97" si="83">V21/$V$20*$V$92</f>
        <v>8.6019831223628689</v>
      </c>
      <c r="W93" s="23">
        <f t="shared" si="83"/>
        <v>8.6019831223628689</v>
      </c>
      <c r="X93" s="23">
        <f t="shared" si="83"/>
        <v>7.7417848101265809</v>
      </c>
      <c r="Y93" s="57">
        <f t="shared" si="83"/>
        <v>7.7417848101265809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0"/>
      <c r="AM93" s="206" t="str">
        <f t="shared" si="77"/>
        <v>R-SW_Att_ELC_HPN1-E</v>
      </c>
      <c r="AN93" s="206" t="str">
        <f t="shared" si="77"/>
        <v>Residential Electric Heat Pump - Air to Water - SH + WH - E rated dwelling</v>
      </c>
      <c r="AO93" s="100" t="s">
        <v>13</v>
      </c>
      <c r="AP93" s="100" t="s">
        <v>175</v>
      </c>
      <c r="AQ93" s="100"/>
      <c r="AR93" s="100" t="s">
        <v>75</v>
      </c>
    </row>
    <row r="94" spans="3:45" ht="15" x14ac:dyDescent="0.25">
      <c r="C94" s="40" t="str">
        <f>"R-SW_Att"&amp;"_"&amp;RIGHT(E94,3)&amp;"_HPN1-D"</f>
        <v>R-SW_Att_ELC_HPN1-D</v>
      </c>
      <c r="D94" s="30" t="s">
        <v>713</v>
      </c>
      <c r="E94" s="30" t="s">
        <v>148</v>
      </c>
      <c r="F94" s="30" t="s">
        <v>660</v>
      </c>
      <c r="G94" s="30" t="s">
        <v>775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2"/>
        <v>0.7</v>
      </c>
      <c r="Q94" s="29">
        <f t="shared" si="79"/>
        <v>0.76999999999999991</v>
      </c>
      <c r="R94" s="29">
        <f t="shared" si="80"/>
        <v>0.86333333333333329</v>
      </c>
      <c r="S94" s="58">
        <f t="shared" si="81"/>
        <v>0.93333333333333324</v>
      </c>
      <c r="T94" s="512">
        <v>20</v>
      </c>
      <c r="U94" s="58"/>
      <c r="V94" s="40">
        <f t="shared" si="83"/>
        <v>8.6019831223628689</v>
      </c>
      <c r="W94" s="29">
        <f t="shared" si="83"/>
        <v>8.6019831223628689</v>
      </c>
      <c r="X94" s="29">
        <f t="shared" si="83"/>
        <v>7.7417848101265809</v>
      </c>
      <c r="Y94" s="58">
        <f t="shared" si="83"/>
        <v>7.7417848101265809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56"/>
        <v>0.26805600000000002</v>
      </c>
      <c r="AH94" s="65"/>
      <c r="AI94" s="30">
        <v>2019</v>
      </c>
      <c r="AJ94" s="65">
        <v>8.5</v>
      </c>
      <c r="AL94" s="206"/>
      <c r="AM94" s="206" t="str">
        <f t="shared" si="77"/>
        <v>R-SW_Att_ELC_HPN1-F</v>
      </c>
      <c r="AN94" s="206" t="str">
        <f t="shared" si="77"/>
        <v>Residential Electric Heat Pump - Air to Water - SH + WH - F rated dwelling</v>
      </c>
      <c r="AO94" s="100" t="s">
        <v>13</v>
      </c>
      <c r="AP94" s="100" t="s">
        <v>175</v>
      </c>
      <c r="AQ94" s="100"/>
      <c r="AR94" s="100" t="s">
        <v>75</v>
      </c>
    </row>
    <row r="95" spans="3:45" ht="15" x14ac:dyDescent="0.25">
      <c r="C95" s="22" t="str">
        <f>"R-SW_Att"&amp;"_"&amp;RIGHT(E95,3)&amp;"_HPN1-E"</f>
        <v>R-SW_Att_ELC_HPN1-E</v>
      </c>
      <c r="D95" s="24" t="s">
        <v>714</v>
      </c>
      <c r="E95" s="24" t="s">
        <v>148</v>
      </c>
      <c r="F95" s="24" t="s">
        <v>660</v>
      </c>
      <c r="G95" s="24" t="s">
        <v>776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2"/>
        <v>0.7</v>
      </c>
      <c r="Q95" s="23">
        <f t="shared" si="79"/>
        <v>0.76999999999999991</v>
      </c>
      <c r="R95" s="23">
        <f t="shared" si="80"/>
        <v>0.86333333333333329</v>
      </c>
      <c r="S95" s="57">
        <f t="shared" si="81"/>
        <v>0.93333333333333324</v>
      </c>
      <c r="T95" s="511">
        <v>20</v>
      </c>
      <c r="U95" s="57"/>
      <c r="V95" s="22">
        <f t="shared" si="83"/>
        <v>9.7923175618722063</v>
      </c>
      <c r="W95" s="23">
        <f t="shared" si="83"/>
        <v>9.7923175618722063</v>
      </c>
      <c r="X95" s="23">
        <f t="shared" si="83"/>
        <v>8.9321192496359192</v>
      </c>
      <c r="Y95" s="57">
        <f t="shared" si="83"/>
        <v>8.9321192496359192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56"/>
        <v>0.26805600000000002</v>
      </c>
      <c r="AH95" s="66"/>
      <c r="AI95" s="24">
        <v>2019</v>
      </c>
      <c r="AJ95" s="66">
        <v>8.5</v>
      </c>
      <c r="AL95" s="206"/>
      <c r="AM95" s="206" t="str">
        <f t="shared" si="77"/>
        <v>R-SW_Att_ELC_HPN1-G</v>
      </c>
      <c r="AN95" s="206" t="str">
        <f t="shared" si="77"/>
        <v>Residential Electric Heat Pump - Air to Water - SH + WH - G rated dwelling</v>
      </c>
      <c r="AO95" s="100" t="s">
        <v>13</v>
      </c>
      <c r="AP95" s="100" t="s">
        <v>175</v>
      </c>
      <c r="AQ95" s="100"/>
      <c r="AR95" s="100" t="s">
        <v>75</v>
      </c>
    </row>
    <row r="96" spans="3:45" ht="15" x14ac:dyDescent="0.25">
      <c r="C96" s="40" t="str">
        <f>"R-SW_Att"&amp;"_"&amp;RIGHT(E96,3)&amp;"_HPN1-F"</f>
        <v>R-SW_Att_ELC_HPN1-F</v>
      </c>
      <c r="D96" s="30" t="s">
        <v>715</v>
      </c>
      <c r="E96" s="30" t="s">
        <v>148</v>
      </c>
      <c r="F96" s="30" t="s">
        <v>660</v>
      </c>
      <c r="G96" s="30" t="s">
        <v>777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2"/>
        <v>0.7</v>
      </c>
      <c r="Q96" s="29">
        <f t="shared" si="79"/>
        <v>0.76999999999999991</v>
      </c>
      <c r="R96" s="29">
        <f t="shared" si="80"/>
        <v>0.86333333333333329</v>
      </c>
      <c r="S96" s="58">
        <f t="shared" si="81"/>
        <v>0.93333333333333324</v>
      </c>
      <c r="T96" s="512">
        <v>20</v>
      </c>
      <c r="U96" s="58"/>
      <c r="V96" s="40">
        <f t="shared" si="83"/>
        <v>9.9411093668108741</v>
      </c>
      <c r="W96" s="29">
        <f t="shared" si="83"/>
        <v>9.9411093668108741</v>
      </c>
      <c r="X96" s="29">
        <f t="shared" si="83"/>
        <v>9.080911054574587</v>
      </c>
      <c r="Y96" s="58">
        <f t="shared" si="83"/>
        <v>9.080911054574587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56"/>
        <v>0.26805600000000002</v>
      </c>
      <c r="AH96" s="65"/>
      <c r="AI96" s="30">
        <v>2019</v>
      </c>
      <c r="AJ96" s="65">
        <v>8.5</v>
      </c>
      <c r="AL96" s="206"/>
      <c r="AM96" s="206" t="str">
        <f t="shared" si="77"/>
        <v>R-SW_Att_ELC_HPN2-AB</v>
      </c>
      <c r="AN96" s="206" t="str">
        <f t="shared" si="77"/>
        <v>Residential Electric Heat Pump - Air to Water - SH + WH + Solar - AB rated dwelling</v>
      </c>
      <c r="AO96" s="100" t="s">
        <v>13</v>
      </c>
      <c r="AP96" s="100" t="s">
        <v>175</v>
      </c>
      <c r="AQ96" s="100"/>
      <c r="AR96" s="100" t="s">
        <v>75</v>
      </c>
    </row>
    <row r="97" spans="3:44" ht="15" x14ac:dyDescent="0.25">
      <c r="C97" s="246" t="str">
        <f>"R-SW_Att"&amp;"_"&amp;RIGHT(E97,3)&amp;"_HPN1-G"</f>
        <v>R-SW_Att_ELC_HPN1-G</v>
      </c>
      <c r="D97" s="27" t="s">
        <v>735</v>
      </c>
      <c r="E97" s="27" t="s">
        <v>148</v>
      </c>
      <c r="F97" s="27" t="s">
        <v>660</v>
      </c>
      <c r="G97" s="27" t="s">
        <v>778</v>
      </c>
      <c r="H97" s="246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46"/>
      <c r="M97" s="26"/>
      <c r="N97" s="26"/>
      <c r="O97" s="59"/>
      <c r="P97" s="246">
        <f t="shared" si="82"/>
        <v>0.7</v>
      </c>
      <c r="Q97" s="26">
        <f t="shared" si="79"/>
        <v>0.76999999999999991</v>
      </c>
      <c r="R97" s="26">
        <f t="shared" si="80"/>
        <v>0.86333333333333329</v>
      </c>
      <c r="S97" s="59">
        <f t="shared" si="81"/>
        <v>0.93333333333333324</v>
      </c>
      <c r="T97" s="514">
        <v>20</v>
      </c>
      <c r="U97" s="59"/>
      <c r="V97" s="246">
        <f t="shared" si="83"/>
        <v>10.08990117174954</v>
      </c>
      <c r="W97" s="26">
        <f t="shared" si="83"/>
        <v>10.08990117174954</v>
      </c>
      <c r="X97" s="26">
        <f t="shared" si="83"/>
        <v>9.2297028595132531</v>
      </c>
      <c r="Y97" s="59">
        <f t="shared" si="83"/>
        <v>9.2297028595132531</v>
      </c>
      <c r="Z97" s="64">
        <v>0.1</v>
      </c>
      <c r="AA97" s="67"/>
      <c r="AB97" s="515"/>
      <c r="AC97" s="515"/>
      <c r="AD97" s="515"/>
      <c r="AE97" s="515"/>
      <c r="AF97" s="49"/>
      <c r="AG97" s="64">
        <f t="shared" si="56"/>
        <v>0.26805600000000002</v>
      </c>
      <c r="AH97" s="67"/>
      <c r="AI97" s="27">
        <v>2019</v>
      </c>
      <c r="AJ97" s="67">
        <v>8.5</v>
      </c>
      <c r="AL97" s="206"/>
      <c r="AM97" s="206" t="str">
        <f t="shared" si="77"/>
        <v>R-SW_Att_ELC_HPN2-C</v>
      </c>
      <c r="AN97" s="206" t="str">
        <f t="shared" si="77"/>
        <v>Residential Electric Heat Pump - Air to Water - SH + WH + Solar - C rated dwelling</v>
      </c>
      <c r="AO97" s="100" t="s">
        <v>13</v>
      </c>
      <c r="AP97" s="100" t="s">
        <v>175</v>
      </c>
      <c r="AQ97" s="100"/>
      <c r="AR97" s="100" t="s">
        <v>75</v>
      </c>
    </row>
    <row r="98" spans="3:44" ht="15" x14ac:dyDescent="0.25">
      <c r="C98" s="19" t="str">
        <f>"R-SW_Att"&amp;"_"&amp;RIGHT(E98,3)&amp;"_HPN2-AB"</f>
        <v>R-SW_Att_ELC_HPN2-AB</v>
      </c>
      <c r="D98" s="88" t="s">
        <v>756</v>
      </c>
      <c r="E98" s="88" t="s">
        <v>550</v>
      </c>
      <c r="F98" s="88" t="s">
        <v>660</v>
      </c>
      <c r="G98" s="88" t="s">
        <v>773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79"/>
        <v>0.77700000000000002</v>
      </c>
      <c r="R98" s="29">
        <f t="shared" si="80"/>
        <v>0.83299999999999996</v>
      </c>
      <c r="S98" s="58">
        <f t="shared" si="81"/>
        <v>0.83299999999999996</v>
      </c>
      <c r="T98" s="510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54">
        <v>0.66</v>
      </c>
      <c r="AC98" s="254"/>
      <c r="AD98" s="254"/>
      <c r="AE98" s="254"/>
      <c r="AF98" s="534">
        <v>5</v>
      </c>
      <c r="AG98" s="84">
        <f t="shared" si="56"/>
        <v>0.26805600000000002</v>
      </c>
      <c r="AH98" s="87"/>
      <c r="AI98" s="88">
        <v>2019</v>
      </c>
      <c r="AJ98" s="87">
        <v>8.5</v>
      </c>
      <c r="AL98" s="2"/>
      <c r="AM98" s="206" t="str">
        <f t="shared" ref="AM98:AN113" si="84">C100</f>
        <v>R-SW_Att_ELC_HPN2-D</v>
      </c>
      <c r="AN98" s="206" t="str">
        <f t="shared" si="84"/>
        <v>Residential Electric Heat Pump - Air to Water - SH + WH + Solar - D rated dwelling</v>
      </c>
      <c r="AO98" s="100" t="s">
        <v>13</v>
      </c>
      <c r="AP98" s="100" t="s">
        <v>175</v>
      </c>
      <c r="AQ98" s="100"/>
      <c r="AR98" s="100" t="s">
        <v>75</v>
      </c>
    </row>
    <row r="99" spans="3:44" ht="15" x14ac:dyDescent="0.25">
      <c r="C99" s="22" t="str">
        <f>"R-SW_Att"&amp;"_"&amp;RIGHT(E99,3)&amp;"_HPN2-C"</f>
        <v>R-SW_Att_ELC_HPN2-C</v>
      </c>
      <c r="D99" s="24" t="s">
        <v>757</v>
      </c>
      <c r="E99" s="24" t="s">
        <v>550</v>
      </c>
      <c r="F99" s="24" t="s">
        <v>660</v>
      </c>
      <c r="G99" s="24" t="s">
        <v>774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5">H99*0.7</f>
        <v>0.7</v>
      </c>
      <c r="Q99" s="23">
        <f t="shared" si="79"/>
        <v>0.77700000000000002</v>
      </c>
      <c r="R99" s="23">
        <f t="shared" si="80"/>
        <v>0.83299999999999996</v>
      </c>
      <c r="S99" s="57">
        <f t="shared" si="81"/>
        <v>0.83299999999999996</v>
      </c>
      <c r="T99" s="511">
        <v>20</v>
      </c>
      <c r="U99" s="23"/>
      <c r="V99" s="22">
        <f t="shared" ref="V99:Y103" si="86">V21/$V$20*$V$98</f>
        <v>13.282644628099174</v>
      </c>
      <c r="W99" s="23">
        <f t="shared" si="86"/>
        <v>13.282644628099174</v>
      </c>
      <c r="X99" s="23">
        <f t="shared" si="86"/>
        <v>11.954380165289255</v>
      </c>
      <c r="Y99" s="57">
        <f t="shared" si="86"/>
        <v>11.954380165289255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35">
        <v>5</v>
      </c>
      <c r="AG99" s="63">
        <f t="shared" si="56"/>
        <v>0.26805600000000002</v>
      </c>
      <c r="AH99" s="66"/>
      <c r="AI99" s="24">
        <v>2019</v>
      </c>
      <c r="AJ99" s="66">
        <v>8.5</v>
      </c>
      <c r="AL99" s="2"/>
      <c r="AM99" s="206" t="str">
        <f t="shared" si="84"/>
        <v>R-SW_Att_ELC_HPN2-E</v>
      </c>
      <c r="AN99" s="206" t="str">
        <f t="shared" si="84"/>
        <v>Residential Electric Heat Pump - Air to Water - SH + WH + Solar - E rated dwelling</v>
      </c>
      <c r="AO99" s="100" t="s">
        <v>13</v>
      </c>
      <c r="AP99" s="100" t="s">
        <v>175</v>
      </c>
      <c r="AQ99" s="100"/>
      <c r="AR99" s="100" t="s">
        <v>75</v>
      </c>
    </row>
    <row r="100" spans="3:44" ht="15" x14ac:dyDescent="0.25">
      <c r="C100" s="40" t="str">
        <f>"R-SW_Att"&amp;"_"&amp;RIGHT(E100,3)&amp;"_HPN2-D"</f>
        <v>R-SW_Att_ELC_HPN2-D</v>
      </c>
      <c r="D100" s="30" t="s">
        <v>758</v>
      </c>
      <c r="E100" s="30" t="s">
        <v>550</v>
      </c>
      <c r="F100" s="30" t="s">
        <v>660</v>
      </c>
      <c r="G100" s="30" t="s">
        <v>775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5"/>
        <v>0.7</v>
      </c>
      <c r="Q100" s="29">
        <f t="shared" si="79"/>
        <v>0.77700000000000002</v>
      </c>
      <c r="R100" s="29">
        <f t="shared" si="80"/>
        <v>0.83299999999999996</v>
      </c>
      <c r="S100" s="58">
        <f t="shared" si="81"/>
        <v>0.83299999999999996</v>
      </c>
      <c r="T100" s="512">
        <v>20</v>
      </c>
      <c r="U100" s="29"/>
      <c r="V100" s="40">
        <f t="shared" si="86"/>
        <v>13.282644628099174</v>
      </c>
      <c r="W100" s="29">
        <f t="shared" si="86"/>
        <v>13.282644628099174</v>
      </c>
      <c r="X100" s="29">
        <f t="shared" si="86"/>
        <v>11.954380165289255</v>
      </c>
      <c r="Y100" s="58">
        <f t="shared" si="86"/>
        <v>11.954380165289255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536">
        <v>5</v>
      </c>
      <c r="AG100" s="62">
        <f t="shared" si="56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4"/>
        <v>R-SW_Att_ELC_HPN2-F</v>
      </c>
      <c r="AN100" s="206" t="str">
        <f t="shared" si="84"/>
        <v>Residential Electric Heat Pump - Air to Water - SH + WH + Solar - F rated dwelling</v>
      </c>
      <c r="AO100" s="100" t="s">
        <v>13</v>
      </c>
      <c r="AP100" s="100" t="s">
        <v>175</v>
      </c>
      <c r="AQ100" s="100"/>
      <c r="AR100" s="100" t="s">
        <v>75</v>
      </c>
    </row>
    <row r="101" spans="3:44" ht="15" x14ac:dyDescent="0.25">
      <c r="C101" s="22" t="str">
        <f>"R-SW_Att"&amp;"_"&amp;RIGHT(E101,3)&amp;"_HPN2-E"</f>
        <v>R-SW_Att_ELC_HPN2-E</v>
      </c>
      <c r="D101" s="24" t="s">
        <v>759</v>
      </c>
      <c r="E101" s="24" t="s">
        <v>550</v>
      </c>
      <c r="F101" s="24" t="s">
        <v>660</v>
      </c>
      <c r="G101" s="24" t="s">
        <v>776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5"/>
        <v>0.7</v>
      </c>
      <c r="Q101" s="23">
        <f t="shared" si="79"/>
        <v>0.77700000000000002</v>
      </c>
      <c r="R101" s="23">
        <f t="shared" si="80"/>
        <v>0.83299999999999996</v>
      </c>
      <c r="S101" s="57">
        <f t="shared" si="81"/>
        <v>0.83299999999999996</v>
      </c>
      <c r="T101" s="511">
        <v>20</v>
      </c>
      <c r="U101" s="23"/>
      <c r="V101" s="22">
        <f t="shared" si="86"/>
        <v>15.120684661854447</v>
      </c>
      <c r="W101" s="23">
        <f t="shared" si="86"/>
        <v>15.120684661854447</v>
      </c>
      <c r="X101" s="23">
        <f t="shared" si="86"/>
        <v>13.79242019904453</v>
      </c>
      <c r="Y101" s="57">
        <f t="shared" si="86"/>
        <v>13.79242019904453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35">
        <v>5</v>
      </c>
      <c r="AG101" s="63">
        <f t="shared" si="56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4"/>
        <v>R-SW_Att_ELC_HPN2-G</v>
      </c>
      <c r="AN101" s="206" t="str">
        <f t="shared" si="84"/>
        <v>Residential Electric Heat Pump - Air to Water - SH + WH + Solar - G rated dwelling</v>
      </c>
      <c r="AO101" s="100" t="s">
        <v>13</v>
      </c>
      <c r="AP101" s="100" t="s">
        <v>175</v>
      </c>
      <c r="AQ101" s="100"/>
      <c r="AR101" s="100" t="s">
        <v>75</v>
      </c>
    </row>
    <row r="102" spans="3:44" ht="15" x14ac:dyDescent="0.25">
      <c r="C102" s="40" t="str">
        <f>"R-SW_Att"&amp;"_"&amp;RIGHT(E102,3)&amp;"_HPN2-F"</f>
        <v>R-SW_Att_ELC_HPN2-F</v>
      </c>
      <c r="D102" s="30" t="s">
        <v>760</v>
      </c>
      <c r="E102" s="30" t="s">
        <v>550</v>
      </c>
      <c r="F102" s="30" t="s">
        <v>660</v>
      </c>
      <c r="G102" s="30" t="s">
        <v>777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5"/>
        <v>0.7</v>
      </c>
      <c r="Q102" s="29">
        <f t="shared" si="79"/>
        <v>0.77700000000000002</v>
      </c>
      <c r="R102" s="29">
        <f t="shared" si="80"/>
        <v>0.83299999999999996</v>
      </c>
      <c r="S102" s="58">
        <f t="shared" si="81"/>
        <v>0.83299999999999996</v>
      </c>
      <c r="T102" s="512">
        <v>20</v>
      </c>
      <c r="U102" s="29"/>
      <c r="V102" s="40">
        <f t="shared" si="86"/>
        <v>15.350439666073857</v>
      </c>
      <c r="W102" s="29">
        <f t="shared" si="86"/>
        <v>15.350439666073857</v>
      </c>
      <c r="X102" s="29">
        <f t="shared" si="86"/>
        <v>14.022175203263942</v>
      </c>
      <c r="Y102" s="58">
        <f t="shared" si="86"/>
        <v>14.022175203263942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536">
        <v>5</v>
      </c>
      <c r="AG102" s="62">
        <f t="shared" si="56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4"/>
        <v>R-SH_Att_ELC_HPN3-AB</v>
      </c>
      <c r="AN102" s="206" t="str">
        <f t="shared" si="84"/>
        <v>Residential Electric Heat Pump - Ground to Water - SH - AB rated dwelling</v>
      </c>
      <c r="AO102" s="100" t="s">
        <v>13</v>
      </c>
      <c r="AP102" s="100" t="s">
        <v>175</v>
      </c>
      <c r="AQ102" s="100"/>
      <c r="AR102" s="100" t="s">
        <v>75</v>
      </c>
    </row>
    <row r="103" spans="3:44" ht="15" x14ac:dyDescent="0.25">
      <c r="C103" s="246" t="str">
        <f>"R-SW_Att"&amp;"_"&amp;RIGHT(E103,3)&amp;"_HPN2-G"</f>
        <v>R-SW_Att_ELC_HPN2-G</v>
      </c>
      <c r="D103" s="27" t="s">
        <v>761</v>
      </c>
      <c r="E103" s="27" t="s">
        <v>550</v>
      </c>
      <c r="F103" s="27" t="s">
        <v>660</v>
      </c>
      <c r="G103" s="27" t="s">
        <v>778</v>
      </c>
      <c r="H103" s="246">
        <v>1</v>
      </c>
      <c r="I103" s="26">
        <v>1.1100000000000001</v>
      </c>
      <c r="J103" s="26">
        <v>1.19</v>
      </c>
      <c r="K103" s="59">
        <v>1.19</v>
      </c>
      <c r="L103" s="246"/>
      <c r="M103" s="26"/>
      <c r="N103" s="26"/>
      <c r="O103" s="59"/>
      <c r="P103" s="246">
        <f t="shared" si="85"/>
        <v>0.7</v>
      </c>
      <c r="Q103" s="26">
        <f t="shared" si="79"/>
        <v>0.77700000000000002</v>
      </c>
      <c r="R103" s="26">
        <f t="shared" si="80"/>
        <v>0.83299999999999996</v>
      </c>
      <c r="S103" s="59">
        <f t="shared" si="81"/>
        <v>0.83299999999999996</v>
      </c>
      <c r="T103" s="514">
        <v>20</v>
      </c>
      <c r="U103" s="26"/>
      <c r="V103" s="246">
        <f t="shared" si="86"/>
        <v>15.580194670293265</v>
      </c>
      <c r="W103" s="26">
        <f t="shared" si="86"/>
        <v>15.580194670293265</v>
      </c>
      <c r="X103" s="26">
        <f t="shared" si="86"/>
        <v>14.251930207483348</v>
      </c>
      <c r="Y103" s="59">
        <f t="shared" si="86"/>
        <v>14.251930207483348</v>
      </c>
      <c r="Z103" s="64">
        <f>((JRC_Data!BL18+JRC_Data!BL45)*0.8)/1000</f>
        <v>0.16960000000000003</v>
      </c>
      <c r="AA103" s="67"/>
      <c r="AB103" s="515">
        <v>0.66</v>
      </c>
      <c r="AC103" s="515"/>
      <c r="AD103" s="515"/>
      <c r="AE103" s="515"/>
      <c r="AF103" s="535">
        <v>5</v>
      </c>
      <c r="AG103" s="64">
        <f t="shared" si="56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4"/>
        <v>R-SH_Att_ELC_HPN3-C</v>
      </c>
      <c r="AN103" s="206" t="str">
        <f t="shared" si="84"/>
        <v>Residential Electric Heat Pump - Ground to Water - SH - C rated dwelling</v>
      </c>
      <c r="AO103" s="100" t="s">
        <v>13</v>
      </c>
      <c r="AP103" s="100" t="s">
        <v>175</v>
      </c>
      <c r="AQ103" s="100"/>
      <c r="AR103" s="100" t="s">
        <v>75</v>
      </c>
    </row>
    <row r="104" spans="3:44" ht="15" x14ac:dyDescent="0.25">
      <c r="C104" s="19" t="str">
        <f>"R-SH_Att"&amp;"_"&amp;RIGHT(E104,3)&amp;"_HPN3-AB"</f>
        <v>R-SH_Att_ELC_HPN3-AB</v>
      </c>
      <c r="D104" s="88" t="s">
        <v>737</v>
      </c>
      <c r="E104" s="88" t="s">
        <v>148</v>
      </c>
      <c r="F104" s="88" t="s">
        <v>558</v>
      </c>
      <c r="G104" s="88" t="s">
        <v>727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10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54"/>
      <c r="AC104" s="254"/>
      <c r="AD104" s="254"/>
      <c r="AE104" s="254"/>
      <c r="AF104" s="46"/>
      <c r="AG104" s="84">
        <f t="shared" si="56"/>
        <v>0.220752</v>
      </c>
      <c r="AH104" s="87"/>
      <c r="AI104" s="88">
        <v>2019</v>
      </c>
      <c r="AJ104" s="87">
        <v>7</v>
      </c>
      <c r="AL104" s="2"/>
      <c r="AM104" s="206" t="str">
        <f t="shared" si="84"/>
        <v>R-SH_Att_ELC_HPN3-D</v>
      </c>
      <c r="AN104" s="206" t="str">
        <f t="shared" si="84"/>
        <v>Residential Electric Heat Pump - Ground to Water - SH - D rated dwelling</v>
      </c>
      <c r="AO104" s="100" t="s">
        <v>13</v>
      </c>
      <c r="AP104" s="100" t="s">
        <v>175</v>
      </c>
      <c r="AQ104" s="100"/>
      <c r="AR104" s="100" t="s">
        <v>75</v>
      </c>
    </row>
    <row r="105" spans="3:44" ht="15" x14ac:dyDescent="0.25">
      <c r="C105" s="22" t="str">
        <f>"R-SH_Att"&amp;"_"&amp;RIGHT(E105,3)&amp;"_HPN3-C"</f>
        <v>R-SH_Att_ELC_HPN3-C</v>
      </c>
      <c r="D105" s="24" t="s">
        <v>738</v>
      </c>
      <c r="E105" s="24" t="s">
        <v>148</v>
      </c>
      <c r="F105" s="24" t="s">
        <v>558</v>
      </c>
      <c r="G105" s="24" t="s">
        <v>750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11">
        <v>20</v>
      </c>
      <c r="U105" s="57"/>
      <c r="V105" s="22">
        <f t="shared" ref="V105:Y109" si="87">V21/$V$20*$V$104</f>
        <v>13.828571428571429</v>
      </c>
      <c r="W105" s="23">
        <f t="shared" si="87"/>
        <v>13.828571428571429</v>
      </c>
      <c r="X105" s="23">
        <f t="shared" si="87"/>
        <v>12.445714285714285</v>
      </c>
      <c r="Y105" s="57">
        <f t="shared" si="87"/>
        <v>12.445714285714285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56"/>
        <v>0.220752</v>
      </c>
      <c r="AH105" s="66"/>
      <c r="AI105" s="24">
        <v>2019</v>
      </c>
      <c r="AJ105" s="66">
        <v>7</v>
      </c>
      <c r="AL105" s="2"/>
      <c r="AM105" s="206" t="str">
        <f t="shared" si="84"/>
        <v>R-SH_Att_ELC_HPN3-E</v>
      </c>
      <c r="AN105" s="206" t="str">
        <f t="shared" si="84"/>
        <v>Residential Electric Heat Pump - Ground to Water - SH - E rated dwelling</v>
      </c>
      <c r="AO105" s="100" t="s">
        <v>13</v>
      </c>
      <c r="AP105" s="100" t="s">
        <v>175</v>
      </c>
      <c r="AQ105" s="100"/>
      <c r="AR105" s="100" t="s">
        <v>75</v>
      </c>
    </row>
    <row r="106" spans="3:44" ht="15" x14ac:dyDescent="0.25">
      <c r="C106" s="40" t="str">
        <f>"R-SH_Att"&amp;"_"&amp;RIGHT(E106,3)&amp;"_HPN3-D"</f>
        <v>R-SH_Att_ELC_HPN3-D</v>
      </c>
      <c r="D106" s="30" t="s">
        <v>739</v>
      </c>
      <c r="E106" s="30" t="s">
        <v>148</v>
      </c>
      <c r="F106" s="30" t="s">
        <v>558</v>
      </c>
      <c r="G106" s="30" t="s">
        <v>751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12">
        <v>20</v>
      </c>
      <c r="U106" s="58"/>
      <c r="V106" s="40">
        <f t="shared" si="87"/>
        <v>13.828571428571429</v>
      </c>
      <c r="W106" s="29">
        <f t="shared" si="87"/>
        <v>13.828571428571429</v>
      </c>
      <c r="X106" s="29">
        <f t="shared" si="87"/>
        <v>12.445714285714285</v>
      </c>
      <c r="Y106" s="58">
        <f t="shared" si="87"/>
        <v>12.445714285714285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56"/>
        <v>0.220752</v>
      </c>
      <c r="AH106" s="65"/>
      <c r="AI106" s="30">
        <v>2019</v>
      </c>
      <c r="AJ106" s="65">
        <v>7</v>
      </c>
      <c r="AL106" s="2"/>
      <c r="AM106" s="206" t="str">
        <f t="shared" si="84"/>
        <v>R-SH_Att_ELC_HPN3-F</v>
      </c>
      <c r="AN106" s="206" t="str">
        <f t="shared" si="84"/>
        <v>Residential Electric Heat Pump - Ground to Water - SH - F rated dwelling</v>
      </c>
      <c r="AO106" s="100" t="s">
        <v>13</v>
      </c>
      <c r="AP106" s="100" t="s">
        <v>175</v>
      </c>
      <c r="AQ106" s="100"/>
      <c r="AR106" s="100" t="s">
        <v>75</v>
      </c>
    </row>
    <row r="107" spans="3:44" ht="15" x14ac:dyDescent="0.25">
      <c r="C107" s="22" t="str">
        <f>"R-SH_Att"&amp;"_"&amp;RIGHT(E107,3)&amp;"_HPN3-E"</f>
        <v>R-SH_Att_ELC_HPN3-E</v>
      </c>
      <c r="D107" s="24" t="s">
        <v>740</v>
      </c>
      <c r="E107" s="24" t="s">
        <v>148</v>
      </c>
      <c r="F107" s="24" t="s">
        <v>558</v>
      </c>
      <c r="G107" s="24" t="s">
        <v>752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11">
        <v>20</v>
      </c>
      <c r="U107" s="57"/>
      <c r="V107" s="22">
        <f t="shared" si="87"/>
        <v>15.74215630620856</v>
      </c>
      <c r="W107" s="23">
        <f t="shared" si="87"/>
        <v>15.74215630620856</v>
      </c>
      <c r="X107" s="23">
        <f t="shared" si="87"/>
        <v>14.359299163351416</v>
      </c>
      <c r="Y107" s="57">
        <f t="shared" si="87"/>
        <v>14.359299163351416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56"/>
        <v>0.220752</v>
      </c>
      <c r="AH107" s="66"/>
      <c r="AI107" s="24">
        <v>2019</v>
      </c>
      <c r="AJ107" s="66">
        <v>7</v>
      </c>
      <c r="AL107" s="2"/>
      <c r="AM107" s="206" t="str">
        <f t="shared" si="84"/>
        <v>R-SH_Att_ELC_HPN3-G</v>
      </c>
      <c r="AN107" s="206" t="str">
        <f t="shared" si="84"/>
        <v>Residential Electric Heat Pump - Ground to Water - SH - G rated dwelling</v>
      </c>
      <c r="AO107" s="100" t="s">
        <v>13</v>
      </c>
      <c r="AP107" s="100" t="s">
        <v>175</v>
      </c>
      <c r="AQ107" s="100"/>
      <c r="AR107" s="100" t="s">
        <v>75</v>
      </c>
    </row>
    <row r="108" spans="3:44" ht="15" x14ac:dyDescent="0.25">
      <c r="C108" s="40" t="str">
        <f>"R-SH_Att"&amp;"_"&amp;RIGHT(E108,3)&amp;"_HPN3-F"</f>
        <v>R-SH_Att_ELC_HPN3-F</v>
      </c>
      <c r="D108" s="30" t="s">
        <v>741</v>
      </c>
      <c r="E108" s="30" t="s">
        <v>148</v>
      </c>
      <c r="F108" s="30" t="s">
        <v>558</v>
      </c>
      <c r="G108" s="30" t="s">
        <v>753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12">
        <v>20</v>
      </c>
      <c r="U108" s="58"/>
      <c r="V108" s="40">
        <f t="shared" si="87"/>
        <v>15.9813544159132</v>
      </c>
      <c r="W108" s="29">
        <f t="shared" si="87"/>
        <v>15.9813544159132</v>
      </c>
      <c r="X108" s="29">
        <f t="shared" si="87"/>
        <v>14.59849727305606</v>
      </c>
      <c r="Y108" s="58">
        <f t="shared" si="87"/>
        <v>14.59849727305606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56"/>
        <v>0.220752</v>
      </c>
      <c r="AH108" s="65"/>
      <c r="AI108" s="30">
        <v>2019</v>
      </c>
      <c r="AJ108" s="65">
        <v>7</v>
      </c>
      <c r="AL108" s="2"/>
      <c r="AM108" s="206" t="str">
        <f t="shared" si="84"/>
        <v>R-HC_Att_ELC_HPN2-AB</v>
      </c>
      <c r="AN108" s="206" t="str">
        <f t="shared" si="84"/>
        <v>Residential Electric Heat Pump - Ground to Water - SH + SC - AB rated dwelling</v>
      </c>
      <c r="AO108" s="100" t="s">
        <v>13</v>
      </c>
      <c r="AP108" s="100" t="s">
        <v>175</v>
      </c>
      <c r="AQ108" s="100"/>
      <c r="AR108" s="100" t="s">
        <v>75</v>
      </c>
    </row>
    <row r="109" spans="3:44" ht="15" x14ac:dyDescent="0.25">
      <c r="C109" s="246" t="str">
        <f>"R-SH_Att"&amp;"_"&amp;RIGHT(E109,3)&amp;"_HPN3-G"</f>
        <v>R-SH_Att_ELC_HPN3-G</v>
      </c>
      <c r="D109" s="27" t="s">
        <v>742</v>
      </c>
      <c r="E109" s="27" t="s">
        <v>148</v>
      </c>
      <c r="F109" s="27" t="s">
        <v>558</v>
      </c>
      <c r="G109" s="27" t="s">
        <v>754</v>
      </c>
      <c r="H109" s="246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46"/>
      <c r="M109" s="26"/>
      <c r="N109" s="26"/>
      <c r="O109" s="59"/>
      <c r="P109" s="246"/>
      <c r="Q109" s="26"/>
      <c r="R109" s="26"/>
      <c r="S109" s="59"/>
      <c r="T109" s="514">
        <v>20</v>
      </c>
      <c r="U109" s="59"/>
      <c r="V109" s="246">
        <f t="shared" si="87"/>
        <v>16.22055252561784</v>
      </c>
      <c r="W109" s="26">
        <f t="shared" si="87"/>
        <v>16.22055252561784</v>
      </c>
      <c r="X109" s="26">
        <f t="shared" si="87"/>
        <v>14.837695382760698</v>
      </c>
      <c r="Y109" s="59">
        <f t="shared" si="87"/>
        <v>14.837695382760698</v>
      </c>
      <c r="Z109" s="64">
        <f>JRC_Data!BL20/1000</f>
        <v>0.2</v>
      </c>
      <c r="AA109" s="67"/>
      <c r="AB109" s="515"/>
      <c r="AC109" s="515"/>
      <c r="AD109" s="515"/>
      <c r="AE109" s="515"/>
      <c r="AF109" s="49"/>
      <c r="AG109" s="64">
        <f t="shared" si="56"/>
        <v>0.220752</v>
      </c>
      <c r="AH109" s="67"/>
      <c r="AI109" s="27">
        <v>2019</v>
      </c>
      <c r="AJ109" s="67">
        <v>7</v>
      </c>
      <c r="AL109" s="2"/>
      <c r="AM109" s="206" t="str">
        <f t="shared" si="84"/>
        <v>R-HC_Att_ELC_HPN2-C</v>
      </c>
      <c r="AN109" s="206" t="str">
        <f t="shared" si="84"/>
        <v>Residential Electric Heat Pump - Ground to Water - SH + SC - C rated dwelling</v>
      </c>
      <c r="AO109" s="100" t="s">
        <v>13</v>
      </c>
      <c r="AP109" s="100" t="s">
        <v>175</v>
      </c>
      <c r="AQ109" s="100"/>
      <c r="AR109" s="100" t="s">
        <v>75</v>
      </c>
    </row>
    <row r="110" spans="3:44" ht="15" x14ac:dyDescent="0.25">
      <c r="C110" s="19" t="str">
        <f>"R-HC_Att"&amp;"_"&amp;RIGHT(E110,3)&amp;"_HPN2-AB"</f>
        <v>R-HC_Att_ELC_HPN2-AB</v>
      </c>
      <c r="D110" s="88" t="s">
        <v>743</v>
      </c>
      <c r="E110" s="88" t="s">
        <v>148</v>
      </c>
      <c r="F110" s="88" t="s">
        <v>558</v>
      </c>
      <c r="G110" s="88" t="s">
        <v>779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JRC_Data!AC20/JRC_Data!$AC$16</f>
        <v>1.0999999999999999</v>
      </c>
      <c r="M110" s="20">
        <f>JRC_Data!AD20/JRC_Data!$AC$16</f>
        <v>1.1666666666666667</v>
      </c>
      <c r="N110" s="20">
        <f>JRC_Data!AE20/JRC_Data!$AC$16</f>
        <v>1.3333333333333333</v>
      </c>
      <c r="O110" s="56">
        <f>JRC_Data!AF20/JRC_Data!$AC$16</f>
        <v>1.5</v>
      </c>
      <c r="P110" s="40"/>
      <c r="Q110" s="29"/>
      <c r="R110" s="29"/>
      <c r="S110" s="58"/>
      <c r="T110" s="510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54"/>
      <c r="AC110" s="254"/>
      <c r="AD110" s="254"/>
      <c r="AE110" s="254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4"/>
        <v>R-HC_Att_ELC_HPN2-D</v>
      </c>
      <c r="AN110" s="206" t="str">
        <f t="shared" si="84"/>
        <v>Residential Electric Heat Pump - Ground to Water - SH + SC - D rated dwelling</v>
      </c>
      <c r="AO110" s="100" t="s">
        <v>13</v>
      </c>
      <c r="AP110" s="100" t="s">
        <v>175</v>
      </c>
      <c r="AQ110" s="100"/>
      <c r="AR110" s="100" t="s">
        <v>75</v>
      </c>
    </row>
    <row r="111" spans="3:44" ht="15" x14ac:dyDescent="0.25">
      <c r="C111" s="22" t="str">
        <f>"R-HC_Att"&amp;"_"&amp;RIGHT(E111,3)&amp;"_HPN2-C"</f>
        <v>R-HC_Att_ELC_HPN2-C</v>
      </c>
      <c r="D111" s="24" t="s">
        <v>744</v>
      </c>
      <c r="E111" s="24" t="s">
        <v>148</v>
      </c>
      <c r="F111" s="24" t="s">
        <v>558</v>
      </c>
      <c r="G111" s="24" t="s">
        <v>780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>JRC_Data!AC20/JRC_Data!$AC$16</f>
        <v>1.0999999999999999</v>
      </c>
      <c r="M111" s="23">
        <f>JRC_Data!AD20/JRC_Data!$AC$16</f>
        <v>1.1666666666666667</v>
      </c>
      <c r="N111" s="23">
        <f>JRC_Data!AE20/JRC_Data!$AC$16</f>
        <v>1.3333333333333333</v>
      </c>
      <c r="O111" s="57">
        <f>JRC_Data!AF20/JRC_Data!$AC$16</f>
        <v>1.5</v>
      </c>
      <c r="P111" s="22"/>
      <c r="Q111" s="23"/>
      <c r="R111" s="23"/>
      <c r="S111" s="57"/>
      <c r="T111" s="511">
        <v>20</v>
      </c>
      <c r="U111" s="23"/>
      <c r="V111" s="22">
        <f t="shared" ref="V111:Y115" si="88">V21/$V$20*$V$110</f>
        <v>14</v>
      </c>
      <c r="W111" s="23">
        <f t="shared" si="88"/>
        <v>14</v>
      </c>
      <c r="X111" s="23">
        <f t="shared" si="88"/>
        <v>12.599999999999998</v>
      </c>
      <c r="Y111" s="57">
        <f t="shared" si="88"/>
        <v>12.599999999999998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89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4"/>
        <v>R-HC_Att_ELC_HPN2-E</v>
      </c>
      <c r="AN111" s="206" t="str">
        <f t="shared" si="84"/>
        <v>Residential Electric Heat Pump - Ground to Water - SH + SC - E rated dwelling</v>
      </c>
      <c r="AO111" s="100" t="s">
        <v>13</v>
      </c>
      <c r="AP111" s="100" t="s">
        <v>175</v>
      </c>
      <c r="AQ111" s="100"/>
      <c r="AR111" s="100" t="s">
        <v>75</v>
      </c>
    </row>
    <row r="112" spans="3:44" ht="15" x14ac:dyDescent="0.25">
      <c r="C112" s="40" t="str">
        <f>"R-HC_Att"&amp;"_"&amp;RIGHT(E112,3)&amp;"_HPN2-D"</f>
        <v>R-HC_Att_ELC_HPN2-D</v>
      </c>
      <c r="D112" s="30" t="s">
        <v>745</v>
      </c>
      <c r="E112" s="30" t="s">
        <v>148</v>
      </c>
      <c r="F112" s="30" t="s">
        <v>558</v>
      </c>
      <c r="G112" s="30" t="s">
        <v>781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>JRC_Data!AC20/JRC_Data!$AC$16</f>
        <v>1.0999999999999999</v>
      </c>
      <c r="M112" s="29">
        <f>JRC_Data!AD20/JRC_Data!$AC$16</f>
        <v>1.1666666666666667</v>
      </c>
      <c r="N112" s="29">
        <f>JRC_Data!AE20/JRC_Data!$AC$16</f>
        <v>1.3333333333333333</v>
      </c>
      <c r="O112" s="58">
        <f>JRC_Data!AF20/JRC_Data!$AC$16</f>
        <v>1.5</v>
      </c>
      <c r="P112" s="40"/>
      <c r="Q112" s="29"/>
      <c r="R112" s="29"/>
      <c r="S112" s="58"/>
      <c r="T112" s="512">
        <v>20</v>
      </c>
      <c r="U112" s="29"/>
      <c r="V112" s="40">
        <f t="shared" si="88"/>
        <v>14</v>
      </c>
      <c r="W112" s="29">
        <f t="shared" si="88"/>
        <v>14</v>
      </c>
      <c r="X112" s="29">
        <f t="shared" si="88"/>
        <v>12.599999999999998</v>
      </c>
      <c r="Y112" s="58">
        <f t="shared" si="88"/>
        <v>12.599999999999998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89"/>
        <v>0.26805600000000002</v>
      </c>
      <c r="AH112" s="65"/>
      <c r="AI112" s="30">
        <v>2019</v>
      </c>
      <c r="AJ112" s="65">
        <v>8.5</v>
      </c>
      <c r="AL112" s="2"/>
      <c r="AM112" s="206" t="str">
        <f t="shared" si="84"/>
        <v>R-HC_Att_ELC_HPN2-F</v>
      </c>
      <c r="AN112" s="206" t="str">
        <f t="shared" si="84"/>
        <v>Residential Electric Heat Pump - Ground to Water - SH + SC - F rated dwelling</v>
      </c>
      <c r="AO112" s="100" t="s">
        <v>13</v>
      </c>
      <c r="AP112" s="100" t="s">
        <v>175</v>
      </c>
      <c r="AQ112" s="100"/>
      <c r="AR112" s="100" t="s">
        <v>75</v>
      </c>
    </row>
    <row r="113" spans="3:45" ht="15" x14ac:dyDescent="0.25">
      <c r="C113" s="22" t="str">
        <f>"R-HC_Att"&amp;"_"&amp;RIGHT(E113,3)&amp;"_HPN2-E"</f>
        <v>R-HC_Att_ELC_HPN2-E</v>
      </c>
      <c r="D113" s="24" t="s">
        <v>746</v>
      </c>
      <c r="E113" s="24" t="s">
        <v>148</v>
      </c>
      <c r="F113" s="24" t="s">
        <v>558</v>
      </c>
      <c r="G113" s="24" t="s">
        <v>782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>JRC_Data!AC20/JRC_Data!$AC$16</f>
        <v>1.0999999999999999</v>
      </c>
      <c r="M113" s="23">
        <f>JRC_Data!AD20/JRC_Data!$AC$16</f>
        <v>1.1666666666666667</v>
      </c>
      <c r="N113" s="23">
        <f>JRC_Data!AE20/JRC_Data!$AC$16</f>
        <v>1.3333333333333333</v>
      </c>
      <c r="O113" s="57">
        <f>JRC_Data!AF20/JRC_Data!$AC$16</f>
        <v>1.5</v>
      </c>
      <c r="P113" s="22"/>
      <c r="Q113" s="23"/>
      <c r="R113" s="23"/>
      <c r="S113" s="57"/>
      <c r="T113" s="511">
        <v>20</v>
      </c>
      <c r="U113" s="23"/>
      <c r="V113" s="22">
        <f t="shared" si="88"/>
        <v>15.937307004219409</v>
      </c>
      <c r="W113" s="23">
        <f t="shared" si="88"/>
        <v>15.937307004219409</v>
      </c>
      <c r="X113" s="23">
        <f t="shared" si="88"/>
        <v>14.537307004219407</v>
      </c>
      <c r="Y113" s="57">
        <f t="shared" si="88"/>
        <v>14.537307004219407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89"/>
        <v>0.26805600000000002</v>
      </c>
      <c r="AH113" s="66"/>
      <c r="AI113" s="24">
        <v>2019</v>
      </c>
      <c r="AJ113" s="66">
        <v>8.5</v>
      </c>
      <c r="AL113" s="2"/>
      <c r="AM113" s="206" t="str">
        <f t="shared" si="84"/>
        <v>R-HC_Att_ELC_HPN2-G</v>
      </c>
      <c r="AN113" s="206" t="str">
        <f t="shared" si="84"/>
        <v>Residential Electric Heat Pump - Ground to Water - SH + SC - G rated dwelling</v>
      </c>
      <c r="AO113" s="100" t="s">
        <v>13</v>
      </c>
      <c r="AP113" s="100" t="s">
        <v>175</v>
      </c>
      <c r="AQ113" s="100"/>
      <c r="AR113" s="100" t="s">
        <v>75</v>
      </c>
    </row>
    <row r="114" spans="3:45" ht="15" x14ac:dyDescent="0.25">
      <c r="C114" s="40" t="str">
        <f>"R-HC_Att"&amp;"_"&amp;RIGHT(E114,3)&amp;"_HPN2-F"</f>
        <v>R-HC_Att_ELC_HPN2-F</v>
      </c>
      <c r="D114" s="30" t="s">
        <v>747</v>
      </c>
      <c r="E114" s="30" t="s">
        <v>148</v>
      </c>
      <c r="F114" s="30" t="s">
        <v>558</v>
      </c>
      <c r="G114" s="30" t="s">
        <v>783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>JRC_Data!AC20/JRC_Data!$AC$16</f>
        <v>1.0999999999999999</v>
      </c>
      <c r="M114" s="29">
        <f>JRC_Data!AD20/JRC_Data!$AC$16</f>
        <v>1.1666666666666667</v>
      </c>
      <c r="N114" s="29">
        <f>JRC_Data!AE20/JRC_Data!$AC$16</f>
        <v>1.3333333333333333</v>
      </c>
      <c r="O114" s="58">
        <f>JRC_Data!AF20/JRC_Data!$AC$16</f>
        <v>1.5</v>
      </c>
      <c r="P114" s="40"/>
      <c r="Q114" s="29"/>
      <c r="R114" s="29"/>
      <c r="S114" s="58"/>
      <c r="T114" s="512">
        <v>20</v>
      </c>
      <c r="U114" s="29"/>
      <c r="V114" s="40">
        <f t="shared" si="88"/>
        <v>16.179470379746835</v>
      </c>
      <c r="W114" s="29">
        <f t="shared" si="88"/>
        <v>16.179470379746835</v>
      </c>
      <c r="X114" s="29">
        <f t="shared" si="88"/>
        <v>14.779470379746837</v>
      </c>
      <c r="Y114" s="58">
        <f t="shared" si="88"/>
        <v>14.779470379746837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89"/>
        <v>0.26805600000000002</v>
      </c>
      <c r="AH114" s="65"/>
      <c r="AI114" s="30">
        <v>2019</v>
      </c>
      <c r="AJ114" s="65">
        <v>8.5</v>
      </c>
      <c r="AL114" s="2"/>
      <c r="AM114" s="206" t="str">
        <f>C117</f>
        <v>R-SW_Att_GAS_HPN1</v>
      </c>
      <c r="AN114" s="206" t="str">
        <f>D117</f>
        <v>Residential Gas Absorption Heat Pump - Air to Water - SH + WH</v>
      </c>
      <c r="AO114" s="100" t="s">
        <v>13</v>
      </c>
      <c r="AP114" s="100" t="s">
        <v>175</v>
      </c>
      <c r="AQ114" s="100"/>
      <c r="AR114" s="100" t="s">
        <v>75</v>
      </c>
      <c r="AS114" s="4"/>
    </row>
    <row r="115" spans="3:45" ht="15" x14ac:dyDescent="0.25">
      <c r="C115" s="246" t="str">
        <f>"R-HC_Att"&amp;"_"&amp;RIGHT(E115,3)&amp;"_HPN2-G"</f>
        <v>R-HC_Att_ELC_HPN2-G</v>
      </c>
      <c r="D115" s="27" t="s">
        <v>748</v>
      </c>
      <c r="E115" s="27" t="s">
        <v>148</v>
      </c>
      <c r="F115" s="27" t="s">
        <v>558</v>
      </c>
      <c r="G115" s="27" t="s">
        <v>784</v>
      </c>
      <c r="H115" s="246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46">
        <f>JRC_Data!AC20/JRC_Data!$AC$16</f>
        <v>1.0999999999999999</v>
      </c>
      <c r="M115" s="26">
        <f>JRC_Data!AD20/JRC_Data!$AC$16</f>
        <v>1.1666666666666667</v>
      </c>
      <c r="N115" s="26">
        <f>JRC_Data!AE20/JRC_Data!$AC$16</f>
        <v>1.3333333333333333</v>
      </c>
      <c r="O115" s="59">
        <f>JRC_Data!AF20/JRC_Data!$AC$16</f>
        <v>1.5</v>
      </c>
      <c r="P115" s="246"/>
      <c r="Q115" s="26"/>
      <c r="R115" s="26"/>
      <c r="S115" s="59"/>
      <c r="T115" s="514">
        <v>20</v>
      </c>
      <c r="U115" s="26"/>
      <c r="V115" s="246">
        <f t="shared" si="88"/>
        <v>16.421633755274261</v>
      </c>
      <c r="W115" s="26">
        <f t="shared" si="88"/>
        <v>16.421633755274261</v>
      </c>
      <c r="X115" s="26">
        <f t="shared" si="88"/>
        <v>15.021633755274259</v>
      </c>
      <c r="Y115" s="59">
        <f t="shared" si="88"/>
        <v>15.021633755274259</v>
      </c>
      <c r="Z115" s="64">
        <f>JRC_Data!BL20/1000</f>
        <v>0.2</v>
      </c>
      <c r="AA115" s="67"/>
      <c r="AB115" s="515"/>
      <c r="AC115" s="515"/>
      <c r="AD115" s="515"/>
      <c r="AE115" s="515"/>
      <c r="AF115" s="49"/>
      <c r="AG115" s="64">
        <f t="shared" si="89"/>
        <v>0.26805600000000002</v>
      </c>
      <c r="AH115" s="67"/>
      <c r="AI115" s="27">
        <v>2019</v>
      </c>
      <c r="AJ115" s="67">
        <v>8.5</v>
      </c>
      <c r="AL115" s="2"/>
      <c r="AM115" s="206" t="str">
        <f t="shared" ref="AM115:AN115" si="90">C118</f>
        <v>R-SW_Att_GAS_HPN2</v>
      </c>
      <c r="AN115" s="206" t="str">
        <f t="shared" si="90"/>
        <v>Residential Gas Engine Heat Pump - Air to Water - SH + WH</v>
      </c>
      <c r="AO115" s="100" t="s">
        <v>13</v>
      </c>
      <c r="AP115" s="100" t="s">
        <v>175</v>
      </c>
      <c r="AQ115" s="100"/>
      <c r="AR115" s="100" t="s">
        <v>75</v>
      </c>
      <c r="AS115" s="4"/>
    </row>
    <row r="116" spans="3:45" ht="15" x14ac:dyDescent="0.25">
      <c r="C116" s="33" t="s">
        <v>272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17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>C120</f>
        <v>R-SW_Att_GAS_HHPN1</v>
      </c>
      <c r="AN116" s="206" t="str">
        <f>D120</f>
        <v>Residential Gas Hybrid Heat Pump - Air to Water - SH + WH</v>
      </c>
      <c r="AO116" s="100" t="s">
        <v>13</v>
      </c>
      <c r="AP116" s="100" t="s">
        <v>175</v>
      </c>
      <c r="AQ116" s="100"/>
      <c r="AR116" s="100" t="s">
        <v>75</v>
      </c>
      <c r="AS116" s="4"/>
    </row>
    <row r="117" spans="3:45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694</v>
      </c>
      <c r="F117" s="88" t="s">
        <v>660</v>
      </c>
      <c r="G117" s="88" t="s">
        <v>722</v>
      </c>
      <c r="H117" s="373">
        <f>JRC_Data!AC28/0.81</f>
        <v>1.6666666666666667</v>
      </c>
      <c r="I117" s="373">
        <f>JRC_Data!AD28/0.81</f>
        <v>1.7901234567901232</v>
      </c>
      <c r="J117" s="373">
        <f>JRC_Data!AE28/0.81</f>
        <v>2.0987654320987654</v>
      </c>
      <c r="K117" s="373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1">I117*0.7</f>
        <v>1.2530864197530862</v>
      </c>
      <c r="R117" s="20">
        <f t="shared" ref="R117:R118" si="92">J117*0.7</f>
        <v>1.4691358024691357</v>
      </c>
      <c r="S117" s="56">
        <f t="shared" ref="S117:S118" si="93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56"/>
        <v>0.7884000000000001</v>
      </c>
      <c r="AH117" s="87"/>
      <c r="AI117" s="87">
        <v>2019</v>
      </c>
      <c r="AJ117" s="87">
        <v>25</v>
      </c>
      <c r="AL117" s="2"/>
      <c r="AM117" s="206" t="str">
        <f>C122</f>
        <v>R-SW_Att_HET_N1</v>
      </c>
      <c r="AN117" s="206" t="str">
        <f>D122</f>
        <v>Residential District Heating Centralized - SH + WH</v>
      </c>
      <c r="AO117" s="100" t="s">
        <v>13</v>
      </c>
      <c r="AP117" s="100" t="s">
        <v>175</v>
      </c>
      <c r="AQ117" s="100"/>
      <c r="AR117" s="100" t="s">
        <v>75</v>
      </c>
      <c r="AS117" s="4"/>
    </row>
    <row r="118" spans="3:45" ht="15" x14ac:dyDescent="0.25">
      <c r="C118" s="246" t="str">
        <f>"R-SW_Att"&amp;"_"&amp;RIGHT(E118,3)&amp;"_HPN2"</f>
        <v>R-SW_Att_GAS_HPN2</v>
      </c>
      <c r="D118" s="26" t="s">
        <v>112</v>
      </c>
      <c r="E118" s="27" t="s">
        <v>694</v>
      </c>
      <c r="F118" s="27" t="s">
        <v>660</v>
      </c>
      <c r="G118" s="27" t="s">
        <v>722</v>
      </c>
      <c r="H118" s="374">
        <f>JRC_Data!AC30/0.9</f>
        <v>1.6666666666666665</v>
      </c>
      <c r="I118" s="374">
        <f>JRC_Data!AD30/0.9</f>
        <v>1.7222222222222223</v>
      </c>
      <c r="J118" s="374">
        <f>JRC_Data!AE30/0.9</f>
        <v>1.7222222222222223</v>
      </c>
      <c r="K118" s="374">
        <f>JRC_Data!AF30/0.9</f>
        <v>1.7777777777777779</v>
      </c>
      <c r="L118" s="49"/>
      <c r="M118" s="50"/>
      <c r="N118" s="50"/>
      <c r="O118" s="51"/>
      <c r="P118" s="246">
        <f>H118*0.7</f>
        <v>1.1666666666666665</v>
      </c>
      <c r="Q118" s="26">
        <f t="shared" si="91"/>
        <v>1.2055555555555555</v>
      </c>
      <c r="R118" s="26">
        <f t="shared" si="92"/>
        <v>1.2055555555555555</v>
      </c>
      <c r="S118" s="59">
        <f t="shared" si="93"/>
        <v>1.2444444444444445</v>
      </c>
      <c r="T118" s="27">
        <v>15</v>
      </c>
      <c r="U118" s="51"/>
      <c r="V118" s="246">
        <f>(JRC_Data!BB30/1000)*($U$222/$U$223)</f>
        <v>44.932432432432435</v>
      </c>
      <c r="W118" s="246">
        <f>(JRC_Data!BC30/1000)*($U$222/$U$223)</f>
        <v>44.932432432432435</v>
      </c>
      <c r="X118" s="246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94">C123</f>
        <v>R-SW_Att_HET_N2</v>
      </c>
      <c r="AN118" s="206" t="str">
        <f>D123</f>
        <v>Residential District Heating Decentralized - SH + WH</v>
      </c>
      <c r="AO118" s="100" t="s">
        <v>13</v>
      </c>
      <c r="AP118" s="100" t="s">
        <v>175</v>
      </c>
      <c r="AQ118" s="100"/>
      <c r="AR118" s="100" t="s">
        <v>75</v>
      </c>
    </row>
    <row r="119" spans="3:45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C125</f>
        <v>R-WH_Att_ELC_N1</v>
      </c>
      <c r="AN119" s="206" t="str">
        <f>D125</f>
        <v xml:space="preserve">Residential Electric Water Heater </v>
      </c>
      <c r="AO119" s="100" t="s">
        <v>13</v>
      </c>
      <c r="AP119" s="100" t="s">
        <v>175</v>
      </c>
      <c r="AQ119" s="100"/>
      <c r="AR119" s="100" t="s">
        <v>75</v>
      </c>
    </row>
    <row r="120" spans="3:45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695</v>
      </c>
      <c r="F120" s="115" t="s">
        <v>660</v>
      </c>
      <c r="G120" s="94" t="s">
        <v>722</v>
      </c>
      <c r="H120" s="373">
        <f>1*$AD$48+JRC_Data!AD18*(1.2-$AD$48)</f>
        <v>3.1549999999999998</v>
      </c>
      <c r="I120" s="373">
        <f>1*$AD$48+JRC_Data!AE18*(1.2-$AD$48)</f>
        <v>3.4950000000000001</v>
      </c>
      <c r="J120" s="373">
        <f>1*$AD$48+JRC_Data!AF18*(1.2-$AD$48)</f>
        <v>3.75</v>
      </c>
      <c r="K120" s="373">
        <f>1*$AD$48+JRC_Data!AG18*(1.2-$AD$48)</f>
        <v>3.75</v>
      </c>
      <c r="L120" s="49"/>
      <c r="M120" s="50"/>
      <c r="N120" s="50"/>
      <c r="O120" s="51"/>
      <c r="P120" s="246">
        <f>H120*0.7</f>
        <v>2.2084999999999999</v>
      </c>
      <c r="Q120" s="26">
        <f t="shared" ref="Q120" si="95">I120*0.7</f>
        <v>2.4464999999999999</v>
      </c>
      <c r="R120" s="26">
        <f t="shared" ref="R120" si="96">J120*0.7</f>
        <v>2.625</v>
      </c>
      <c r="S120" s="59">
        <f t="shared" ref="S120" si="97">K120*0.7</f>
        <v>2.625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6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56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 t="str">
        <f t="shared" ref="AM120" si="98">C126</f>
        <v>R-WH_Att_SOL_N1</v>
      </c>
      <c r="AN120" s="206" t="str">
        <f t="shared" ref="AN120" si="99">D126</f>
        <v xml:space="preserve">Residential Solar Water Heater </v>
      </c>
      <c r="AO120" s="100" t="s">
        <v>13</v>
      </c>
      <c r="AP120" s="100" t="s">
        <v>175</v>
      </c>
      <c r="AQ120" s="100"/>
      <c r="AR120" s="100" t="s">
        <v>75</v>
      </c>
    </row>
    <row r="121" spans="3:45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 t="str">
        <f>C128</f>
        <v>R-SC_Att_ELC_N1</v>
      </c>
      <c r="AN121" s="206" t="str">
        <f>D128</f>
        <v>Residential Electric Air Conditioning</v>
      </c>
      <c r="AO121" s="100" t="s">
        <v>13</v>
      </c>
      <c r="AP121" s="100" t="s">
        <v>175</v>
      </c>
      <c r="AQ121" s="100"/>
      <c r="AR121" s="100" t="s">
        <v>75</v>
      </c>
    </row>
    <row r="122" spans="3:45" ht="15" x14ac:dyDescent="0.25">
      <c r="C122" s="19" t="str">
        <f>"R-SW_Att"&amp;"_"&amp;RIGHT(E122,3)&amp;"_N1"</f>
        <v>R-SW_Att_HET_N1</v>
      </c>
      <c r="D122" s="20" t="s">
        <v>114</v>
      </c>
      <c r="E122" s="88" t="s">
        <v>257</v>
      </c>
      <c r="F122" s="88"/>
      <c r="G122" s="88" t="s">
        <v>722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0">
        <v>1</v>
      </c>
      <c r="Q122" s="241">
        <v>1</v>
      </c>
      <c r="R122" s="241">
        <v>1</v>
      </c>
      <c r="S122" s="242">
        <v>1</v>
      </c>
      <c r="T122" s="52">
        <v>20</v>
      </c>
      <c r="U122" s="48"/>
      <c r="V122" s="19">
        <f>(JRC_Data!BB62/1000)*($U$222/$U$218)</f>
        <v>2.7222222222222219</v>
      </c>
      <c r="W122" s="19">
        <f>(JRC_Data!BC62/1000)*($U$222/$U$218)</f>
        <v>2.7222222222222219</v>
      </c>
      <c r="X122" s="19">
        <f>(JRC_Data!BD62/1000)*($U$222/$U$218)</f>
        <v>2.7222222222222219</v>
      </c>
      <c r="Y122" s="19">
        <f>(JRC_Data!BE62/1000)*($U$222/$U$218)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56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5" ht="15" x14ac:dyDescent="0.25">
      <c r="C123" s="246" t="str">
        <f>"R-SW_Att"&amp;"_"&amp;RIGHT(E123,3)&amp;"_N2"</f>
        <v>R-SW_Att_HET_N2</v>
      </c>
      <c r="D123" s="26" t="s">
        <v>115</v>
      </c>
      <c r="E123" s="27" t="s">
        <v>257</v>
      </c>
      <c r="F123" s="27"/>
      <c r="G123" s="27" t="s">
        <v>722</v>
      </c>
      <c r="H123" s="246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47">
        <v>1</v>
      </c>
      <c r="Q123" s="248">
        <v>1</v>
      </c>
      <c r="R123" s="248">
        <v>1</v>
      </c>
      <c r="S123" s="249">
        <v>1</v>
      </c>
      <c r="T123" s="55">
        <v>20</v>
      </c>
      <c r="U123" s="51"/>
      <c r="V123" s="246">
        <f>(JRC_Data!BB62/1000)*($U$222/$U$218)</f>
        <v>2.7222222222222219</v>
      </c>
      <c r="W123" s="246">
        <f>(JRC_Data!BC62/1000)*($U$222/$U$218)</f>
        <v>2.7222222222222219</v>
      </c>
      <c r="X123" s="246">
        <f>(JRC_Data!BD62/1000)*($U$222/$U$218)</f>
        <v>2.7222222222222219</v>
      </c>
      <c r="Y123" s="246">
        <f>(JRC_Data!BE62/1000)*($U$222/$U$218)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56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</row>
    <row r="124" spans="3:45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</row>
    <row r="125" spans="3:45" ht="15" x14ac:dyDescent="0.25">
      <c r="C125" s="19" t="str">
        <f>"R-WH_Att"&amp;"_"&amp;RIGHT(E125,3)&amp;"_N1"</f>
        <v>R-WH_Att_ELC_N1</v>
      </c>
      <c r="D125" s="20" t="s">
        <v>117</v>
      </c>
      <c r="E125" s="88" t="s">
        <v>148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40">
        <v>1</v>
      </c>
      <c r="Q125" s="241">
        <v>1</v>
      </c>
      <c r="R125" s="241">
        <v>1</v>
      </c>
      <c r="S125" s="242">
        <v>1</v>
      </c>
      <c r="T125" s="52">
        <v>20</v>
      </c>
      <c r="U125" s="48"/>
      <c r="V125" s="19">
        <f>(JRC_Data!BB48/1000)*($U$216/$U$216)</f>
        <v>4</v>
      </c>
      <c r="W125" s="19">
        <f>(JRC_Data!BC48/1000)*($U$216/$U$216)</f>
        <v>4</v>
      </c>
      <c r="X125" s="19">
        <f>(JRC_Data!BD48/1000)*($U$216/$U$216)</f>
        <v>4</v>
      </c>
      <c r="Y125" s="19">
        <f>(JRC_Data!BE48/1000)*($U$216/$U$216)</f>
        <v>4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56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</row>
    <row r="126" spans="3:45" ht="15" x14ac:dyDescent="0.25">
      <c r="C126" s="246" t="str">
        <f>"R-WH_Att"&amp;"_"&amp;RIGHT(E126,3)&amp;"_N1"</f>
        <v>R-WH_Att_SOL_N1</v>
      </c>
      <c r="D126" s="26" t="s">
        <v>118</v>
      </c>
      <c r="E126" s="27" t="s">
        <v>266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37">
        <v>1</v>
      </c>
      <c r="Q126" s="238">
        <v>1</v>
      </c>
      <c r="R126" s="238">
        <v>1</v>
      </c>
      <c r="S126" s="239">
        <v>1</v>
      </c>
      <c r="T126" s="53">
        <v>25</v>
      </c>
      <c r="U126" s="22">
        <v>30</v>
      </c>
      <c r="V126" s="22">
        <f>(JRC_Data!BB45/1000)*($U$216/$U$216)</f>
        <v>5.4</v>
      </c>
      <c r="W126" s="22">
        <f>(JRC_Data!BC45/1000)*($U$216/$U$216)</f>
        <v>5.0999999999999996</v>
      </c>
      <c r="X126" s="22">
        <f>(JRC_Data!BD45/1000)*($U$216/$U$216)</f>
        <v>4.5999999999999996</v>
      </c>
      <c r="Y126" s="22">
        <f>(JRC_Data!BE45/1000)*($U$216/$U$216)</f>
        <v>3.7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56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5" ht="15" x14ac:dyDescent="0.25">
      <c r="C127" s="33" t="s">
        <v>276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5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148</v>
      </c>
      <c r="F128" s="111"/>
      <c r="G128" s="112" t="s">
        <v>137</v>
      </c>
      <c r="H128" s="109"/>
      <c r="I128" s="110"/>
      <c r="J128" s="110"/>
      <c r="K128" s="110"/>
      <c r="L128" s="252">
        <v>1</v>
      </c>
      <c r="M128" s="253">
        <f>JRC_Data!AD16/JRC_Data!$AC$16</f>
        <v>1.0666666666666667</v>
      </c>
      <c r="N128" s="253">
        <f>JRC_Data!AE16/JRC_Data!$AC$16</f>
        <v>1.2333333333333334</v>
      </c>
      <c r="O128" s="253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56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4" ht="15" x14ac:dyDescent="0.25">
      <c r="AL129" s="2"/>
      <c r="AM129" s="206"/>
      <c r="AN129" s="206"/>
      <c r="AO129" s="100"/>
      <c r="AP129" s="100"/>
      <c r="AQ129" s="100"/>
      <c r="AR129" s="100"/>
    </row>
    <row r="130" spans="3:44" ht="15" x14ac:dyDescent="0.25">
      <c r="AL130" s="2"/>
      <c r="AM130" s="206"/>
      <c r="AN130" s="206"/>
      <c r="AO130" s="100"/>
      <c r="AP130" s="100"/>
      <c r="AQ130" s="100"/>
      <c r="AR130" s="100"/>
    </row>
    <row r="133" spans="3:44" x14ac:dyDescent="0.2">
      <c r="H133" s="5" t="s">
        <v>19</v>
      </c>
      <c r="AL133" s="10" t="s">
        <v>20</v>
      </c>
      <c r="AM133" s="11"/>
      <c r="AN133" s="11"/>
      <c r="AO133" s="11"/>
      <c r="AP133" s="11"/>
      <c r="AQ133" s="11"/>
      <c r="AR133" s="11"/>
    </row>
    <row r="134" spans="3:44" ht="45.75" thickBot="1" x14ac:dyDescent="0.25">
      <c r="C134" s="14" t="s">
        <v>21</v>
      </c>
      <c r="D134" s="15" t="s">
        <v>32</v>
      </c>
      <c r="E134" s="14" t="s">
        <v>23</v>
      </c>
      <c r="F134" s="14" t="s">
        <v>556</v>
      </c>
      <c r="G134" s="14" t="s">
        <v>24</v>
      </c>
      <c r="H134" s="17" t="s">
        <v>729</v>
      </c>
      <c r="I134" s="17" t="s">
        <v>730</v>
      </c>
      <c r="J134" s="17" t="s">
        <v>731</v>
      </c>
      <c r="K134" s="17" t="s">
        <v>732</v>
      </c>
      <c r="L134" s="17" t="s">
        <v>530</v>
      </c>
      <c r="M134" s="17" t="s">
        <v>531</v>
      </c>
      <c r="N134" s="17" t="s">
        <v>532</v>
      </c>
      <c r="O134" s="17" t="s">
        <v>533</v>
      </c>
      <c r="P134" s="17" t="s">
        <v>534</v>
      </c>
      <c r="Q134" s="17" t="s">
        <v>535</v>
      </c>
      <c r="R134" s="17" t="s">
        <v>536</v>
      </c>
      <c r="S134" s="17" t="s">
        <v>537</v>
      </c>
      <c r="T134" s="18" t="s">
        <v>26</v>
      </c>
      <c r="U134" s="18" t="s">
        <v>76</v>
      </c>
      <c r="V134" s="17" t="s">
        <v>236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280</v>
      </c>
      <c r="AC134" s="17" t="s">
        <v>281</v>
      </c>
      <c r="AD134" s="17" t="s">
        <v>282</v>
      </c>
      <c r="AE134" s="17" t="s">
        <v>693</v>
      </c>
      <c r="AF134" s="17" t="s">
        <v>238</v>
      </c>
      <c r="AG134" s="17" t="s">
        <v>77</v>
      </c>
      <c r="AH134" s="17" t="s">
        <v>267</v>
      </c>
      <c r="AI134" s="17" t="s">
        <v>78</v>
      </c>
      <c r="AJ134" s="17" t="s">
        <v>554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30</v>
      </c>
      <c r="AR134" s="12" t="s">
        <v>67</v>
      </c>
    </row>
    <row r="135" spans="3:44" ht="45" x14ac:dyDescent="0.2">
      <c r="C135" s="16" t="s">
        <v>79</v>
      </c>
      <c r="D135" s="16" t="s">
        <v>33</v>
      </c>
      <c r="E135" s="16" t="s">
        <v>80</v>
      </c>
      <c r="F135" s="16" t="s">
        <v>557</v>
      </c>
      <c r="G135" s="16" t="s">
        <v>81</v>
      </c>
      <c r="H135" s="611" t="s">
        <v>82</v>
      </c>
      <c r="I135" s="612"/>
      <c r="J135" s="612"/>
      <c r="K135" s="613"/>
      <c r="L135" s="611" t="s">
        <v>83</v>
      </c>
      <c r="M135" s="612"/>
      <c r="N135" s="612"/>
      <c r="O135" s="613"/>
      <c r="P135" s="611" t="s">
        <v>84</v>
      </c>
      <c r="Q135" s="612"/>
      <c r="R135" s="612"/>
      <c r="S135" s="613"/>
      <c r="T135" s="611" t="s">
        <v>85</v>
      </c>
      <c r="U135" s="613"/>
      <c r="V135" s="605" t="s">
        <v>86</v>
      </c>
      <c r="W135" s="606"/>
      <c r="X135" s="606"/>
      <c r="Y135" s="607"/>
      <c r="Z135" s="60"/>
      <c r="AA135" s="60"/>
      <c r="AB135" s="68" t="s">
        <v>207</v>
      </c>
      <c r="AC135" s="70" t="s">
        <v>207</v>
      </c>
      <c r="AD135" s="70" t="s">
        <v>207</v>
      </c>
      <c r="AE135" s="70" t="s">
        <v>207</v>
      </c>
      <c r="AF135" s="70" t="s">
        <v>237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73</v>
      </c>
      <c r="AR135" s="205" t="s">
        <v>74</v>
      </c>
    </row>
    <row r="136" spans="3:44" ht="30" customHeight="1" thickBot="1" x14ac:dyDescent="0.3">
      <c r="C136" s="14" t="s">
        <v>551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66"/>
      <c r="U136" s="366"/>
      <c r="V136" s="366"/>
      <c r="W136" s="366"/>
      <c r="X136" s="366"/>
      <c r="Y136" s="366"/>
      <c r="Z136" s="366"/>
      <c r="AA136" s="366"/>
      <c r="AB136" s="366"/>
      <c r="AC136" s="366"/>
      <c r="AD136" s="366"/>
      <c r="AE136" s="366"/>
      <c r="AF136" s="366"/>
      <c r="AG136" s="366"/>
      <c r="AH136" s="366"/>
      <c r="AI136" s="366"/>
      <c r="AJ136" s="366"/>
      <c r="AL136" s="100" t="s">
        <v>31</v>
      </c>
      <c r="AM136" s="99" t="str">
        <f t="shared" ref="AM136:AM147" si="100">C138</f>
        <v>R-SH_Det_KER_N1</v>
      </c>
      <c r="AN136" s="99" t="str">
        <f t="shared" ref="AN136:AN147" si="101">D138</f>
        <v>Residential Kerosene Heating Oil - New 1 SH</v>
      </c>
      <c r="AO136" s="100" t="s">
        <v>13</v>
      </c>
      <c r="AP136" s="100" t="s">
        <v>175</v>
      </c>
      <c r="AQ136" s="100"/>
      <c r="AR136" s="100" t="s">
        <v>75</v>
      </c>
    </row>
    <row r="137" spans="3:44" ht="15" x14ac:dyDescent="0.25">
      <c r="C137" s="37" t="s">
        <v>269</v>
      </c>
      <c r="D137" s="38"/>
      <c r="E137" s="38"/>
      <c r="F137" s="38"/>
      <c r="G137" s="39"/>
      <c r="H137" s="608" t="s">
        <v>34</v>
      </c>
      <c r="I137" s="609"/>
      <c r="J137" s="609"/>
      <c r="K137" s="610"/>
      <c r="L137" s="609" t="s">
        <v>34</v>
      </c>
      <c r="M137" s="609"/>
      <c r="N137" s="609"/>
      <c r="O137" s="610"/>
      <c r="P137" s="608" t="s">
        <v>34</v>
      </c>
      <c r="Q137" s="609"/>
      <c r="R137" s="609"/>
      <c r="S137" s="610"/>
      <c r="T137" s="614" t="s">
        <v>68</v>
      </c>
      <c r="U137" s="615"/>
      <c r="V137" s="614" t="s">
        <v>503</v>
      </c>
      <c r="W137" s="616"/>
      <c r="X137" s="616"/>
      <c r="Y137" s="615"/>
      <c r="Z137" s="367" t="s">
        <v>515</v>
      </c>
      <c r="AA137" s="367" t="s">
        <v>93</v>
      </c>
      <c r="AB137" s="368" t="s">
        <v>34</v>
      </c>
      <c r="AC137" s="367" t="s">
        <v>34</v>
      </c>
      <c r="AD137" s="367" t="s">
        <v>34</v>
      </c>
      <c r="AE137" s="367"/>
      <c r="AF137" s="367"/>
      <c r="AG137" s="369" t="s">
        <v>283</v>
      </c>
      <c r="AH137" s="367" t="s">
        <v>34</v>
      </c>
      <c r="AI137" s="367" t="s">
        <v>94</v>
      </c>
      <c r="AJ137" s="367" t="s">
        <v>555</v>
      </c>
      <c r="AL137" s="100"/>
      <c r="AM137" s="99" t="str">
        <f t="shared" si="100"/>
        <v>R-SW_Det_KER_N1</v>
      </c>
      <c r="AN137" s="99" t="str">
        <f t="shared" si="101"/>
        <v>Residential Kerosene Heating Oil - New 2 SH + WH</v>
      </c>
      <c r="AO137" s="100" t="s">
        <v>13</v>
      </c>
      <c r="AP137" s="100" t="s">
        <v>175</v>
      </c>
      <c r="AQ137" s="100"/>
      <c r="AR137" s="100" t="s">
        <v>75</v>
      </c>
    </row>
    <row r="138" spans="3:44" ht="15" x14ac:dyDescent="0.25">
      <c r="C138" s="19" t="str">
        <f>"R-SH_Det"&amp;"_"&amp;RIGHT(E138,3)&amp;"_N1"</f>
        <v>R-SH_Det_KER_N1</v>
      </c>
      <c r="D138" s="20" t="s">
        <v>96</v>
      </c>
      <c r="E138" s="88" t="s">
        <v>259</v>
      </c>
      <c r="F138" s="88"/>
      <c r="G138" s="509" t="s">
        <v>724</v>
      </c>
      <c r="H138" s="19">
        <v>1</v>
      </c>
      <c r="I138" s="20">
        <v>1</v>
      </c>
      <c r="J138" s="20">
        <v>1</v>
      </c>
      <c r="K138" s="56">
        <v>1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3">
        <f>V142*1.3</f>
        <v>4.5825000000000005</v>
      </c>
      <c r="W138" s="373">
        <f t="shared" ref="W138:Y138" si="102">W142*1.3</f>
        <v>4.5825000000000005</v>
      </c>
      <c r="X138" s="373">
        <f t="shared" si="102"/>
        <v>4.5825000000000005</v>
      </c>
      <c r="Y138" s="373">
        <f t="shared" si="102"/>
        <v>4.5825000000000005</v>
      </c>
      <c r="Z138" s="373">
        <v>0.12</v>
      </c>
      <c r="AA138" s="65"/>
      <c r="AB138" s="42"/>
      <c r="AC138" s="71"/>
      <c r="AD138" s="71"/>
      <c r="AE138" s="71"/>
      <c r="AF138" s="71"/>
      <c r="AG138" s="62">
        <f t="shared" ref="AG138:AG201" si="103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0"/>
        <v>R-SW_Det_KER_N2</v>
      </c>
      <c r="AN138" s="99" t="str">
        <f t="shared" si="101"/>
        <v>Residential Kerosene Heating Oil - New 3 SH+WH + Solar</v>
      </c>
      <c r="AO138" s="100" t="s">
        <v>13</v>
      </c>
      <c r="AP138" s="100" t="s">
        <v>175</v>
      </c>
      <c r="AQ138" s="100"/>
      <c r="AR138" s="100" t="s">
        <v>75</v>
      </c>
    </row>
    <row r="139" spans="3:44" ht="15" x14ac:dyDescent="0.25">
      <c r="C139" s="22" t="str">
        <f>"R-SW_Det"&amp;"_"&amp;RIGHT(E139,3)&amp;"_N1"</f>
        <v>R-SW_Det_KER_N1</v>
      </c>
      <c r="D139" s="23" t="s">
        <v>97</v>
      </c>
      <c r="E139" s="24" t="s">
        <v>259</v>
      </c>
      <c r="F139" s="24"/>
      <c r="G139" s="57" t="s">
        <v>725</v>
      </c>
      <c r="H139" s="22">
        <v>1</v>
      </c>
      <c r="I139" s="23">
        <v>1</v>
      </c>
      <c r="J139" s="23">
        <v>1</v>
      </c>
      <c r="K139" s="57">
        <v>1</v>
      </c>
      <c r="L139" s="44"/>
      <c r="M139" s="32"/>
      <c r="N139" s="32"/>
      <c r="O139" s="45"/>
      <c r="P139" s="22">
        <f>H139*0.7</f>
        <v>0.7</v>
      </c>
      <c r="Q139" s="23">
        <f t="shared" ref="Q139:Q141" si="104">I139*0.7</f>
        <v>0.7</v>
      </c>
      <c r="R139" s="23">
        <f t="shared" ref="R139:R141" si="105">J139*0.7</f>
        <v>0.7</v>
      </c>
      <c r="S139" s="57">
        <f t="shared" ref="S139:S141" si="106">K139*0.7</f>
        <v>0.7</v>
      </c>
      <c r="T139" s="53">
        <v>20</v>
      </c>
      <c r="U139" s="25"/>
      <c r="V139" s="374">
        <f>V143*1.3</f>
        <v>4.9452075289575284</v>
      </c>
      <c r="W139" s="374">
        <f t="shared" ref="W139:Y139" si="107">W143*1.3</f>
        <v>4.9452075289575284</v>
      </c>
      <c r="X139" s="374">
        <f t="shared" si="107"/>
        <v>4.9452075289575284</v>
      </c>
      <c r="Y139" s="374">
        <f t="shared" si="107"/>
        <v>4.9452075289575284</v>
      </c>
      <c r="Z139" s="374">
        <v>0.12</v>
      </c>
      <c r="AA139" s="66"/>
      <c r="AB139" s="44"/>
      <c r="AC139" s="72"/>
      <c r="AD139" s="72"/>
      <c r="AE139" s="72"/>
      <c r="AF139" s="72"/>
      <c r="AG139" s="63">
        <f t="shared" si="103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0"/>
        <v>R-SW_Det_KER_N3</v>
      </c>
      <c r="AN139" s="99" t="str">
        <f t="shared" si="101"/>
        <v>Residential Kerosene Heating Oil - New 3 SH+WH + Wood Stove</v>
      </c>
      <c r="AO139" s="101" t="s">
        <v>13</v>
      </c>
      <c r="AP139" s="101" t="s">
        <v>175</v>
      </c>
      <c r="AQ139" s="100"/>
      <c r="AR139" s="100"/>
    </row>
    <row r="140" spans="3:44" ht="15" x14ac:dyDescent="0.25">
      <c r="C140" s="40" t="str">
        <f>"R-SW_Det"&amp;"_"&amp;RIGHT(E140,3)&amp;"_N2"</f>
        <v>R-SW_Det_KER_N2</v>
      </c>
      <c r="D140" s="29" t="s">
        <v>98</v>
      </c>
      <c r="E140" s="30" t="s">
        <v>261</v>
      </c>
      <c r="F140" s="30"/>
      <c r="G140" s="58" t="s">
        <v>725</v>
      </c>
      <c r="H140" s="40">
        <v>1</v>
      </c>
      <c r="I140" s="29">
        <v>1</v>
      </c>
      <c r="J140" s="29">
        <v>1</v>
      </c>
      <c r="K140" s="58">
        <v>1</v>
      </c>
      <c r="L140" s="42"/>
      <c r="M140" s="31"/>
      <c r="N140" s="31"/>
      <c r="O140" s="43"/>
      <c r="P140" s="40">
        <f>H140*0.7</f>
        <v>0.7</v>
      </c>
      <c r="Q140" s="29">
        <f t="shared" si="104"/>
        <v>0.7</v>
      </c>
      <c r="R140" s="29">
        <f t="shared" si="105"/>
        <v>0.7</v>
      </c>
      <c r="S140" s="58">
        <f t="shared" si="106"/>
        <v>0.7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3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0"/>
        <v>R-SH_Det_GAS_N1</v>
      </c>
      <c r="AN140" s="99" t="str">
        <f t="shared" si="101"/>
        <v>Residential Natural Gas Heating - New 1 SH</v>
      </c>
      <c r="AO140" s="100" t="s">
        <v>13</v>
      </c>
      <c r="AP140" s="100" t="s">
        <v>175</v>
      </c>
      <c r="AQ140" s="100"/>
      <c r="AR140" s="100" t="s">
        <v>75</v>
      </c>
    </row>
    <row r="141" spans="3:44" ht="15" x14ac:dyDescent="0.25">
      <c r="C141" s="22" t="str">
        <f>"R-SW_Det"&amp;"_"&amp;RIGHT(E141,3)&amp;"_N3"</f>
        <v>R-SW_Det_KER_N3</v>
      </c>
      <c r="D141" s="23" t="s">
        <v>102</v>
      </c>
      <c r="E141" s="24" t="s">
        <v>262</v>
      </c>
      <c r="F141" s="24"/>
      <c r="G141" s="57" t="s">
        <v>725</v>
      </c>
      <c r="H141" s="22">
        <v>1</v>
      </c>
      <c r="I141" s="23">
        <v>1.0249999999999999</v>
      </c>
      <c r="J141" s="23">
        <v>1.0249999999999999</v>
      </c>
      <c r="K141" s="57">
        <v>1.0249999999999999</v>
      </c>
      <c r="L141" s="44"/>
      <c r="M141" s="32"/>
      <c r="N141" s="32"/>
      <c r="O141" s="45"/>
      <c r="P141" s="22">
        <f>H141*0.7</f>
        <v>0.7</v>
      </c>
      <c r="Q141" s="23">
        <f t="shared" si="104"/>
        <v>0.71749999999999992</v>
      </c>
      <c r="R141" s="23">
        <f t="shared" si="105"/>
        <v>0.71749999999999992</v>
      </c>
      <c r="S141" s="57">
        <f t="shared" si="106"/>
        <v>0.71749999999999992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3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0"/>
        <v>R-SW_Det_GAS_N1</v>
      </c>
      <c r="AN141" s="99" t="str">
        <f t="shared" si="101"/>
        <v>Residential Natural Gas Heating - New 2 SH + WH</v>
      </c>
      <c r="AO141" s="100" t="s">
        <v>13</v>
      </c>
      <c r="AP141" s="100" t="s">
        <v>175</v>
      </c>
      <c r="AQ141" s="100"/>
      <c r="AR141" s="100" t="s">
        <v>75</v>
      </c>
    </row>
    <row r="142" spans="3:44" ht="15" x14ac:dyDescent="0.25">
      <c r="C142" s="40" t="str">
        <f>"R-SH_Det"&amp;"_"&amp;RIGHT(E142,3)&amp;"_N1"</f>
        <v>R-SH_Det_GAS_N1</v>
      </c>
      <c r="D142" s="29" t="s">
        <v>95</v>
      </c>
      <c r="E142" s="30" t="s">
        <v>694</v>
      </c>
      <c r="F142" s="30"/>
      <c r="G142" s="58" t="s">
        <v>724</v>
      </c>
      <c r="H142" s="40">
        <v>1</v>
      </c>
      <c r="I142" s="29">
        <v>1</v>
      </c>
      <c r="J142" s="29">
        <v>1</v>
      </c>
      <c r="K142" s="58">
        <v>1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3">
        <f>3.525</f>
        <v>3.5249999999999999</v>
      </c>
      <c r="W142" s="373">
        <f t="shared" ref="W142:Y142" si="108">3.525</f>
        <v>3.5249999999999999</v>
      </c>
      <c r="X142" s="373">
        <f t="shared" si="108"/>
        <v>3.5249999999999999</v>
      </c>
      <c r="Y142" s="373">
        <f t="shared" si="108"/>
        <v>3.5249999999999999</v>
      </c>
      <c r="Z142" s="373">
        <v>0.12</v>
      </c>
      <c r="AA142" s="65"/>
      <c r="AB142" s="42"/>
      <c r="AC142" s="71"/>
      <c r="AD142" s="71"/>
      <c r="AE142" s="71"/>
      <c r="AF142" s="71"/>
      <c r="AG142" s="62">
        <f t="shared" si="103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0"/>
        <v>R-SW_Det_GAS_N2</v>
      </c>
      <c r="AN142" s="99" t="str">
        <f t="shared" si="101"/>
        <v>Residential Natural Gas Heating - New 3 SH + WH + Solar</v>
      </c>
      <c r="AO142" s="100" t="s">
        <v>13</v>
      </c>
      <c r="AP142" s="100" t="s">
        <v>175</v>
      </c>
      <c r="AQ142" s="100"/>
      <c r="AR142" s="100" t="s">
        <v>75</v>
      </c>
    </row>
    <row r="143" spans="3:44" ht="15" x14ac:dyDescent="0.25">
      <c r="C143" s="22" t="str">
        <f>"R-SW_Det"&amp;"_"&amp;RIGHT(E143,3)&amp;"_N1"</f>
        <v>R-SW_Det_GAS_N1</v>
      </c>
      <c r="D143" s="23" t="s">
        <v>99</v>
      </c>
      <c r="E143" s="24" t="s">
        <v>694</v>
      </c>
      <c r="F143" s="24"/>
      <c r="G143" s="57" t="s">
        <v>725</v>
      </c>
      <c r="H143" s="22">
        <v>1</v>
      </c>
      <c r="I143" s="23">
        <v>1</v>
      </c>
      <c r="J143" s="23">
        <v>1</v>
      </c>
      <c r="K143" s="57">
        <v>1</v>
      </c>
      <c r="L143" s="44"/>
      <c r="M143" s="32"/>
      <c r="N143" s="32"/>
      <c r="O143" s="45"/>
      <c r="P143" s="22">
        <f>H143*0.7</f>
        <v>0.7</v>
      </c>
      <c r="Q143" s="23">
        <f t="shared" ref="Q143:Q145" si="109">I143*0.7</f>
        <v>0.7</v>
      </c>
      <c r="R143" s="23">
        <f t="shared" ref="R143:R145" si="110">J143*0.7</f>
        <v>0.7</v>
      </c>
      <c r="S143" s="57">
        <f t="shared" ref="S143:S145" si="111">K143*0.7</f>
        <v>0.7</v>
      </c>
      <c r="T143" s="53">
        <v>20</v>
      </c>
      <c r="U143" s="25"/>
      <c r="V143" s="374">
        <f>V142*($U$224/$U$223)</f>
        <v>3.8040057915057912</v>
      </c>
      <c r="W143" s="374">
        <f>W142*($U$224/$U$223)</f>
        <v>3.8040057915057912</v>
      </c>
      <c r="X143" s="374">
        <f>X142*($U$224/$U$223)</f>
        <v>3.8040057915057912</v>
      </c>
      <c r="Y143" s="374">
        <f>Y142*($U$224/$U$223)</f>
        <v>3.8040057915057912</v>
      </c>
      <c r="Z143" s="374">
        <v>0.12</v>
      </c>
      <c r="AA143" s="66"/>
      <c r="AB143" s="44"/>
      <c r="AC143" s="72"/>
      <c r="AD143" s="72"/>
      <c r="AE143" s="72"/>
      <c r="AF143" s="72"/>
      <c r="AG143" s="63">
        <f t="shared" si="103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0"/>
        <v>R-SW_Det_GAS_N3</v>
      </c>
      <c r="AN143" s="99" t="str">
        <f t="shared" si="101"/>
        <v>Residential Natural Gas Heating - New 4 SH + WH + Wood Stove</v>
      </c>
      <c r="AO143" s="100" t="s">
        <v>13</v>
      </c>
      <c r="AP143" s="100" t="s">
        <v>175</v>
      </c>
      <c r="AQ143" s="100"/>
      <c r="AR143" s="100" t="s">
        <v>75</v>
      </c>
    </row>
    <row r="144" spans="3:44" ht="15" x14ac:dyDescent="0.25">
      <c r="C144" s="40" t="str">
        <f>"R-SW_Det"&amp;"_"&amp;RIGHT(E144,3)&amp;"_N2"</f>
        <v>R-SW_Det_GAS_N2</v>
      </c>
      <c r="D144" s="29" t="s">
        <v>100</v>
      </c>
      <c r="E144" s="30" t="s">
        <v>696</v>
      </c>
      <c r="F144" s="30"/>
      <c r="G144" s="58" t="s">
        <v>725</v>
      </c>
      <c r="H144" s="40">
        <v>1</v>
      </c>
      <c r="I144" s="29">
        <v>1</v>
      </c>
      <c r="J144" s="29">
        <v>1</v>
      </c>
      <c r="K144" s="58">
        <v>1</v>
      </c>
      <c r="L144" s="42"/>
      <c r="M144" s="31"/>
      <c r="N144" s="31"/>
      <c r="O144" s="43"/>
      <c r="P144" s="40">
        <f>H144*0.7</f>
        <v>0.7</v>
      </c>
      <c r="Q144" s="29">
        <f t="shared" si="109"/>
        <v>0.7</v>
      </c>
      <c r="R144" s="29">
        <f t="shared" si="110"/>
        <v>0.7</v>
      </c>
      <c r="S144" s="58">
        <f t="shared" si="111"/>
        <v>0.7</v>
      </c>
      <c r="T144" s="54">
        <v>20</v>
      </c>
      <c r="U144" s="41"/>
      <c r="V144" s="62">
        <v>13.025</v>
      </c>
      <c r="W144" s="373">
        <f>V144*0.9685</f>
        <v>12.614712500000001</v>
      </c>
      <c r="X144" s="373">
        <f>V144*0.916</f>
        <v>11.930900000000001</v>
      </c>
      <c r="Y144" s="373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3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0"/>
        <v>R-SH_Det_LPG_N1</v>
      </c>
      <c r="AN144" s="99" t="str">
        <f t="shared" si="101"/>
        <v>Residential Liquid Petroleum Gas- New 1 SH</v>
      </c>
      <c r="AO144" s="100" t="s">
        <v>13</v>
      </c>
      <c r="AP144" s="100" t="s">
        <v>175</v>
      </c>
      <c r="AQ144" s="100"/>
      <c r="AR144" s="100" t="s">
        <v>75</v>
      </c>
    </row>
    <row r="145" spans="1:44" ht="15" x14ac:dyDescent="0.25">
      <c r="C145" s="22" t="str">
        <f>"R-SW_Det"&amp;"_"&amp;RIGHT(E145,3)&amp;"_N3"</f>
        <v>R-SW_Det_GAS_N3</v>
      </c>
      <c r="D145" s="23" t="s">
        <v>101</v>
      </c>
      <c r="E145" s="24" t="s">
        <v>697</v>
      </c>
      <c r="F145" s="24"/>
      <c r="G145" s="57" t="s">
        <v>725</v>
      </c>
      <c r="H145" s="22">
        <v>1</v>
      </c>
      <c r="I145" s="23">
        <v>1.0249999999999999</v>
      </c>
      <c r="J145" s="23">
        <v>1.0249999999999999</v>
      </c>
      <c r="K145" s="57">
        <v>1.0249999999999999</v>
      </c>
      <c r="L145" s="44"/>
      <c r="M145" s="32"/>
      <c r="N145" s="32"/>
      <c r="O145" s="45"/>
      <c r="P145" s="22">
        <f>H145*0.7</f>
        <v>0.7</v>
      </c>
      <c r="Q145" s="23">
        <f t="shared" si="109"/>
        <v>0.71749999999999992</v>
      </c>
      <c r="R145" s="23">
        <f t="shared" si="110"/>
        <v>0.71749999999999992</v>
      </c>
      <c r="S145" s="57">
        <f t="shared" si="111"/>
        <v>0.71749999999999992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3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0"/>
        <v>R-SW_Det_LPG_N1</v>
      </c>
      <c r="AN145" s="99" t="str">
        <f t="shared" si="101"/>
        <v>Residential Liquid Petroleum Gas- New 2 SH + WH</v>
      </c>
      <c r="AO145" s="100" t="s">
        <v>13</v>
      </c>
      <c r="AP145" s="100" t="s">
        <v>175</v>
      </c>
      <c r="AQ145" s="100"/>
      <c r="AR145" s="100" t="s">
        <v>75</v>
      </c>
    </row>
    <row r="146" spans="1:44" ht="15" x14ac:dyDescent="0.25">
      <c r="C146" s="40" t="str">
        <f>"R-SH_Det"&amp;"_"&amp;RIGHT(E146,3)&amp;"_N1"</f>
        <v>R-SH_Det_LPG_N1</v>
      </c>
      <c r="D146" s="29" t="s">
        <v>103</v>
      </c>
      <c r="E146" s="30" t="s">
        <v>260</v>
      </c>
      <c r="F146" s="30"/>
      <c r="G146" s="58" t="s">
        <v>724</v>
      </c>
      <c r="H146" s="40">
        <v>1</v>
      </c>
      <c r="I146" s="29">
        <v>1</v>
      </c>
      <c r="J146" s="29">
        <v>1</v>
      </c>
      <c r="K146" s="58">
        <v>1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3">
        <f t="shared" ref="V146:Y147" si="112">V142+0.3</f>
        <v>3.8249999999999997</v>
      </c>
      <c r="W146" s="373">
        <f t="shared" si="112"/>
        <v>3.8249999999999997</v>
      </c>
      <c r="X146" s="373">
        <f t="shared" si="112"/>
        <v>3.8249999999999997</v>
      </c>
      <c r="Y146" s="373">
        <f t="shared" si="112"/>
        <v>3.8249999999999997</v>
      </c>
      <c r="Z146" s="373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3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0"/>
        <v>R-SH_Det_WOO_N1</v>
      </c>
      <c r="AN146" s="206" t="str">
        <f t="shared" si="101"/>
        <v>Residential Biomass Boiler - New 1 SH</v>
      </c>
      <c r="AO146" s="100" t="s">
        <v>13</v>
      </c>
      <c r="AP146" s="100" t="s">
        <v>175</v>
      </c>
      <c r="AQ146" s="100"/>
      <c r="AR146" s="100" t="s">
        <v>75</v>
      </c>
    </row>
    <row r="147" spans="1:44" ht="15" x14ac:dyDescent="0.25">
      <c r="C147" s="22" t="str">
        <f>"R-SW_Det"&amp;"_"&amp;RIGHT(E147,3)&amp;"_N1"</f>
        <v>R-SW_Det_LPG_N1</v>
      </c>
      <c r="D147" s="23" t="s">
        <v>104</v>
      </c>
      <c r="E147" s="24" t="s">
        <v>260</v>
      </c>
      <c r="F147" s="24"/>
      <c r="G147" s="57" t="s">
        <v>725</v>
      </c>
      <c r="H147" s="22">
        <v>1</v>
      </c>
      <c r="I147" s="23">
        <v>1</v>
      </c>
      <c r="J147" s="23">
        <v>1</v>
      </c>
      <c r="K147" s="57">
        <v>1</v>
      </c>
      <c r="L147" s="44"/>
      <c r="M147" s="32"/>
      <c r="N147" s="32"/>
      <c r="O147" s="45"/>
      <c r="P147" s="22">
        <f>H147*0.7</f>
        <v>0.7</v>
      </c>
      <c r="Q147" s="23">
        <f t="shared" ref="Q147" si="113">I147*0.7</f>
        <v>0.7</v>
      </c>
      <c r="R147" s="23">
        <f t="shared" ref="R147" si="114">J147*0.7</f>
        <v>0.7</v>
      </c>
      <c r="S147" s="57">
        <f t="shared" ref="S147" si="115">K147*0.7</f>
        <v>0.7</v>
      </c>
      <c r="T147" s="53">
        <v>20</v>
      </c>
      <c r="U147" s="25"/>
      <c r="V147" s="374">
        <f t="shared" si="112"/>
        <v>4.1040057915057915</v>
      </c>
      <c r="W147" s="374">
        <f t="shared" si="112"/>
        <v>4.1040057915057915</v>
      </c>
      <c r="X147" s="374">
        <f t="shared" si="112"/>
        <v>4.1040057915057915</v>
      </c>
      <c r="Y147" s="374">
        <f t="shared" si="112"/>
        <v>4.1040057915057915</v>
      </c>
      <c r="Z147" s="373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3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0"/>
        <v>R-SW_Det_WOO_N1</v>
      </c>
      <c r="AN147" s="206" t="str">
        <f t="shared" si="101"/>
        <v>Residential Biomass Boiler - New 2 SH + WH</v>
      </c>
      <c r="AO147" s="100" t="s">
        <v>13</v>
      </c>
      <c r="AP147" s="100" t="s">
        <v>175</v>
      </c>
      <c r="AQ147" s="100"/>
      <c r="AR147" s="100" t="s">
        <v>75</v>
      </c>
    </row>
    <row r="148" spans="1:44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263</v>
      </c>
      <c r="F148" s="30"/>
      <c r="G148" s="58" t="s">
        <v>724</v>
      </c>
      <c r="H148" s="40">
        <v>1</v>
      </c>
      <c r="I148" s="29">
        <v>1</v>
      </c>
      <c r="J148" s="29">
        <v>1</v>
      </c>
      <c r="K148" s="58">
        <v>1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3">
        <v>22.5</v>
      </c>
      <c r="W148" s="373">
        <f>V148*0.96777</f>
        <v>21.774825</v>
      </c>
      <c r="X148" s="373">
        <f>V148*0.914844</f>
        <v>20.58399</v>
      </c>
      <c r="Y148" s="373">
        <f>V148*0.8181</f>
        <v>18.407250000000001</v>
      </c>
      <c r="Z148" s="373">
        <v>0.25</v>
      </c>
      <c r="AA148" s="65"/>
      <c r="AB148" s="42"/>
      <c r="AC148" s="71"/>
      <c r="AD148" s="71"/>
      <c r="AE148" s="71"/>
      <c r="AF148" s="71"/>
      <c r="AG148" s="62">
        <f t="shared" si="103"/>
        <v>0.94608000000000003</v>
      </c>
      <c r="AH148" s="65"/>
      <c r="AI148" s="65">
        <v>2019</v>
      </c>
      <c r="AJ148" s="65">
        <v>30</v>
      </c>
      <c r="AL148" s="100"/>
      <c r="AM148" s="101" t="s">
        <v>569</v>
      </c>
      <c r="AN148" s="206" t="str">
        <f>D150</f>
        <v>Residential  Stove New 1 - SH</v>
      </c>
      <c r="AO148" s="100" t="s">
        <v>13</v>
      </c>
      <c r="AP148" s="100" t="s">
        <v>175</v>
      </c>
      <c r="AQ148" s="100"/>
      <c r="AR148" s="100"/>
    </row>
    <row r="149" spans="1:44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263</v>
      </c>
      <c r="F149" s="24"/>
      <c r="G149" s="57" t="s">
        <v>725</v>
      </c>
      <c r="H149" s="22">
        <v>1</v>
      </c>
      <c r="I149" s="23">
        <v>1</v>
      </c>
      <c r="J149" s="23">
        <v>1</v>
      </c>
      <c r="K149" s="57">
        <v>1</v>
      </c>
      <c r="L149" s="44"/>
      <c r="M149" s="32"/>
      <c r="N149" s="32"/>
      <c r="O149" s="45"/>
      <c r="P149" s="22">
        <f t="shared" ref="P149:S149" si="116">H149*0.7</f>
        <v>0.7</v>
      </c>
      <c r="Q149" s="23">
        <f t="shared" si="116"/>
        <v>0.7</v>
      </c>
      <c r="R149" s="23">
        <f t="shared" si="116"/>
        <v>0.7</v>
      </c>
      <c r="S149" s="57">
        <f t="shared" si="116"/>
        <v>0.7</v>
      </c>
      <c r="T149" s="53">
        <v>20</v>
      </c>
      <c r="U149" s="25"/>
      <c r="V149" s="374">
        <f>V148*($U$222/$U$221)</f>
        <v>22.778925619834713</v>
      </c>
      <c r="W149" s="374">
        <f>W148*($U$222/$U$221)</f>
        <v>22.04476084710744</v>
      </c>
      <c r="X149" s="374">
        <f>X148*($U$222/$U$221)</f>
        <v>20.839163429752066</v>
      </c>
      <c r="Y149" s="374">
        <f>Y148*($U$222/$U$221)</f>
        <v>18.635439049586779</v>
      </c>
      <c r="Z149" s="374">
        <v>0.25</v>
      </c>
      <c r="AA149" s="66"/>
      <c r="AB149" s="44"/>
      <c r="AC149" s="72"/>
      <c r="AD149" s="72"/>
      <c r="AE149" s="72"/>
      <c r="AF149" s="72"/>
      <c r="AG149" s="63">
        <f t="shared" si="103"/>
        <v>1.1983680000000001</v>
      </c>
      <c r="AH149" s="66"/>
      <c r="AI149" s="66">
        <v>2019</v>
      </c>
      <c r="AJ149" s="66">
        <v>38</v>
      </c>
      <c r="AL149" s="100"/>
      <c r="AM149" s="101" t="s">
        <v>570</v>
      </c>
      <c r="AN149" s="206" t="str">
        <f>D151</f>
        <v>Residential  Stove with back boiler New 1 - SH +WH</v>
      </c>
      <c r="AO149" s="100" t="s">
        <v>13</v>
      </c>
      <c r="AP149" s="100" t="s">
        <v>175</v>
      </c>
      <c r="AQ149" s="100"/>
      <c r="AR149" s="100"/>
    </row>
    <row r="150" spans="1:44" ht="15" x14ac:dyDescent="0.25">
      <c r="C150" s="40" t="str">
        <f>"R-SH_Det"&amp;"_"&amp;"FPL"&amp;"_N1"</f>
        <v>R-SH_Det_FPL_N1</v>
      </c>
      <c r="D150" s="29" t="s">
        <v>563</v>
      </c>
      <c r="E150" s="30" t="s">
        <v>560</v>
      </c>
      <c r="F150" s="30"/>
      <c r="G150" s="58" t="s">
        <v>724</v>
      </c>
      <c r="H150" s="40">
        <v>0.55000000000000004</v>
      </c>
      <c r="I150" s="40">
        <v>0.55000000000000004</v>
      </c>
      <c r="J150" s="40">
        <v>0.55000000000000004</v>
      </c>
      <c r="K150" s="40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4">
        <f>((JRC_Data!BB13)/1000)*$U$223</f>
        <v>2.6</v>
      </c>
      <c r="W150" s="374">
        <f>((JRC_Data!BC13)/1000)*$U$223</f>
        <v>2.6</v>
      </c>
      <c r="X150" s="374">
        <f>((JRC_Data!BD13)/1000)*$U$223</f>
        <v>3.5</v>
      </c>
      <c r="Y150" s="374">
        <f>((JRC_Data!BE13)/1000)*$U$223</f>
        <v>3.5</v>
      </c>
      <c r="Z150" s="374">
        <v>0.12</v>
      </c>
      <c r="AA150" s="66"/>
      <c r="AB150" s="44"/>
      <c r="AC150" s="72"/>
      <c r="AD150" s="72"/>
      <c r="AE150" s="72"/>
      <c r="AF150" s="72"/>
      <c r="AG150" s="63">
        <f t="shared" si="103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175</v>
      </c>
      <c r="AQ150" s="100"/>
      <c r="AR150" s="100" t="s">
        <v>75</v>
      </c>
    </row>
    <row r="151" spans="1:44" ht="15" x14ac:dyDescent="0.25">
      <c r="C151" s="22" t="str">
        <f>"R-SW_Det"&amp;"_"&amp;"FPL"&amp;"_N1"</f>
        <v>R-SW_Det_FPL_N1</v>
      </c>
      <c r="D151" s="23" t="s">
        <v>564</v>
      </c>
      <c r="E151" s="24" t="s">
        <v>560</v>
      </c>
      <c r="F151" s="24"/>
      <c r="G151" s="57" t="s">
        <v>725</v>
      </c>
      <c r="H151" s="40">
        <v>0.55000000000000004</v>
      </c>
      <c r="I151" s="40">
        <v>0.55000000000000004</v>
      </c>
      <c r="J151" s="40">
        <v>0.55000000000000004</v>
      </c>
      <c r="K151" s="40">
        <v>0.55000000000000004</v>
      </c>
      <c r="L151" s="44"/>
      <c r="M151" s="32"/>
      <c r="N151" s="32"/>
      <c r="O151" s="45"/>
      <c r="P151" s="22">
        <f t="shared" ref="P151:P153" si="117">H151*0.7</f>
        <v>0.38500000000000001</v>
      </c>
      <c r="Q151" s="23">
        <f t="shared" ref="Q151:Q153" si="118">I151*0.7</f>
        <v>0.38500000000000001</v>
      </c>
      <c r="R151" s="23">
        <f t="shared" ref="R151:R153" si="119">J151*0.7</f>
        <v>0.38500000000000001</v>
      </c>
      <c r="S151" s="57">
        <f t="shared" ref="S151:S153" si="120">K151*0.7</f>
        <v>0.38500000000000001</v>
      </c>
      <c r="T151" s="53">
        <v>20</v>
      </c>
      <c r="U151" s="25"/>
      <c r="V151" s="374">
        <f>((JRC_Data!BB13)/1000)*$U$224</f>
        <v>2.8057915057915057</v>
      </c>
      <c r="W151" s="374">
        <f>((JRC_Data!BC13)/1000)*$U$224</f>
        <v>2.8057915057915057</v>
      </c>
      <c r="X151" s="374">
        <f>((JRC_Data!BD13)/1000)*$U$224</f>
        <v>3.7770270270270268</v>
      </c>
      <c r="Y151" s="374">
        <f>((JRC_Data!BE13)/1000)*$U$224</f>
        <v>3.7770270270270268</v>
      </c>
      <c r="Z151" s="436">
        <v>0.12</v>
      </c>
      <c r="AA151" s="66"/>
      <c r="AB151" s="44"/>
      <c r="AC151" s="72"/>
      <c r="AD151" s="72"/>
      <c r="AE151" s="72"/>
      <c r="AF151" s="72"/>
      <c r="AG151" s="63">
        <f t="shared" si="103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175</v>
      </c>
      <c r="AQ151" s="100"/>
      <c r="AR151" s="100" t="s">
        <v>75</v>
      </c>
    </row>
    <row r="152" spans="1:44" ht="15" x14ac:dyDescent="0.25">
      <c r="C152" s="40" t="s">
        <v>567</v>
      </c>
      <c r="D152" s="29" t="s">
        <v>256</v>
      </c>
      <c r="E152" s="30" t="s">
        <v>265</v>
      </c>
      <c r="F152" s="30"/>
      <c r="G152" s="58" t="s">
        <v>724</v>
      </c>
      <c r="H152" s="40">
        <v>0.82</v>
      </c>
      <c r="I152" s="40">
        <v>0.82</v>
      </c>
      <c r="J152" s="40">
        <v>0.82</v>
      </c>
      <c r="K152" s="40">
        <v>0.82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1">W138</f>
        <v>4.5825000000000005</v>
      </c>
      <c r="X152" s="62">
        <f t="shared" si="121"/>
        <v>4.5825000000000005</v>
      </c>
      <c r="Y152" s="62">
        <f t="shared" si="121"/>
        <v>4.5825000000000005</v>
      </c>
      <c r="Z152" s="62">
        <f t="shared" si="121"/>
        <v>0.12</v>
      </c>
      <c r="AA152" s="65"/>
      <c r="AB152" s="42"/>
      <c r="AC152" s="71"/>
      <c r="AD152" s="71"/>
      <c r="AE152" s="71"/>
      <c r="AF152" s="71"/>
      <c r="AG152" s="62">
        <f t="shared" si="103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175</v>
      </c>
      <c r="AQ152" s="100"/>
      <c r="AR152" s="100" t="s">
        <v>75</v>
      </c>
    </row>
    <row r="153" spans="1:44" ht="15" x14ac:dyDescent="0.25">
      <c r="C153" s="22" t="s">
        <v>568</v>
      </c>
      <c r="D153" s="23" t="s">
        <v>526</v>
      </c>
      <c r="E153" s="24" t="s">
        <v>265</v>
      </c>
      <c r="F153" s="24"/>
      <c r="G153" s="57" t="s">
        <v>725</v>
      </c>
      <c r="H153" s="22">
        <v>0.82</v>
      </c>
      <c r="I153" s="22">
        <v>0.82</v>
      </c>
      <c r="J153" s="22">
        <v>0.82</v>
      </c>
      <c r="K153" s="22">
        <v>0.82</v>
      </c>
      <c r="L153" s="49"/>
      <c r="M153" s="50"/>
      <c r="N153" s="50"/>
      <c r="O153" s="51"/>
      <c r="P153" s="246">
        <f t="shared" si="117"/>
        <v>0.57399999999999995</v>
      </c>
      <c r="Q153" s="26">
        <f t="shared" si="118"/>
        <v>0.57399999999999995</v>
      </c>
      <c r="R153" s="26">
        <f t="shared" si="119"/>
        <v>0.57399999999999995</v>
      </c>
      <c r="S153" s="59">
        <f t="shared" si="120"/>
        <v>0.57399999999999995</v>
      </c>
      <c r="T153" s="55">
        <v>20</v>
      </c>
      <c r="U153" s="28"/>
      <c r="V153" s="62">
        <f>V139</f>
        <v>4.9452075289575284</v>
      </c>
      <c r="W153" s="62">
        <f t="shared" ref="W153:Z153" si="122">W139</f>
        <v>4.9452075289575284</v>
      </c>
      <c r="X153" s="62">
        <f t="shared" si="122"/>
        <v>4.9452075289575284</v>
      </c>
      <c r="Y153" s="62">
        <f t="shared" si="122"/>
        <v>4.9452075289575284</v>
      </c>
      <c r="Z153" s="62">
        <f t="shared" si="122"/>
        <v>0.12</v>
      </c>
      <c r="AA153" s="66"/>
      <c r="AB153" s="44"/>
      <c r="AC153" s="72"/>
      <c r="AD153" s="72"/>
      <c r="AE153" s="72"/>
      <c r="AF153" s="72"/>
      <c r="AG153" s="63">
        <f t="shared" si="103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3">C157</f>
        <v>R-SH_Det_ELC_HPN1</v>
      </c>
      <c r="AN153" s="206" t="str">
        <f t="shared" ref="AN153:AN184" si="124">D157</f>
        <v>Residential Electric Heat Pump - Air to Air - SH</v>
      </c>
      <c r="AO153" s="100" t="s">
        <v>13</v>
      </c>
      <c r="AP153" s="100" t="s">
        <v>175</v>
      </c>
      <c r="AQ153" s="100"/>
      <c r="AR153" s="100" t="s">
        <v>75</v>
      </c>
    </row>
    <row r="154" spans="1:44" ht="15" x14ac:dyDescent="0.25">
      <c r="C154" s="33" t="s">
        <v>270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3"/>
        <v>R-HC_Det_ELC_HPN1</v>
      </c>
      <c r="AN154" s="206" t="str">
        <f t="shared" si="124"/>
        <v>Residential Electric Heat Pump - Air to Air - SH + SC</v>
      </c>
      <c r="AO154" s="100" t="s">
        <v>13</v>
      </c>
      <c r="AP154" s="100" t="s">
        <v>175</v>
      </c>
      <c r="AQ154" s="100"/>
      <c r="AR154" s="100" t="s">
        <v>75</v>
      </c>
    </row>
    <row r="155" spans="1:44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148</v>
      </c>
      <c r="F155" s="115"/>
      <c r="G155" s="80" t="s">
        <v>724</v>
      </c>
      <c r="H155" s="243">
        <v>1</v>
      </c>
      <c r="I155" s="244">
        <v>1</v>
      </c>
      <c r="J155" s="244">
        <v>1</v>
      </c>
      <c r="K155" s="245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(JRC_Data!BB48/1000)*($U$223/$U$221)</f>
        <v>4.2809917355371896</v>
      </c>
      <c r="W155" s="78">
        <f>(JRC_Data!BC48/1000)*($U$223/$U$221)</f>
        <v>4.2809917355371896</v>
      </c>
      <c r="X155" s="78">
        <f>(JRC_Data!BD48/1000)*($U$223/$U$221)</f>
        <v>4.2809917355371896</v>
      </c>
      <c r="Y155" s="78">
        <f>(JRC_Data!BE48/1000)*($U$223/$U$221)</f>
        <v>4.2809917355371896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3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3"/>
        <v>R-SH_Det_ELC_HPN2-AB</v>
      </c>
      <c r="AN155" s="206" t="str">
        <f t="shared" si="124"/>
        <v>Residential Electric Heat Pump - Air to Water - SH - AB rated dwelling</v>
      </c>
      <c r="AO155" s="100" t="s">
        <v>13</v>
      </c>
      <c r="AP155" s="100" t="s">
        <v>175</v>
      </c>
      <c r="AQ155" s="100"/>
      <c r="AR155" s="100" t="s">
        <v>75</v>
      </c>
    </row>
    <row r="156" spans="1:44" ht="15" x14ac:dyDescent="0.25">
      <c r="C156" s="33" t="s">
        <v>271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3"/>
        <v>R-SH_Det_ELC_HPN2-C</v>
      </c>
      <c r="AN156" s="206" t="str">
        <f t="shared" si="124"/>
        <v>Residential Electric Heat Pump - Air to Water - SH - C rated dwelling</v>
      </c>
      <c r="AO156" s="100" t="s">
        <v>13</v>
      </c>
      <c r="AP156" s="100" t="s">
        <v>175</v>
      </c>
      <c r="AQ156" s="100"/>
      <c r="AR156" s="100" t="s">
        <v>75</v>
      </c>
    </row>
    <row r="157" spans="1:44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148</v>
      </c>
      <c r="F157" s="88" t="s">
        <v>558</v>
      </c>
      <c r="G157" s="20" t="s">
        <v>724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3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3"/>
        <v>R-SH_Det_ELC_HPN2-D</v>
      </c>
      <c r="AN157" s="206" t="str">
        <f t="shared" si="124"/>
        <v>Residential Electric Heat Pump - Air to Water - SH - D rated dwelling</v>
      </c>
      <c r="AO157" s="100" t="s">
        <v>13</v>
      </c>
      <c r="AP157" s="100" t="s">
        <v>175</v>
      </c>
      <c r="AQ157" s="100"/>
      <c r="AR157" s="100" t="s">
        <v>75</v>
      </c>
    </row>
    <row r="158" spans="1:44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148</v>
      </c>
      <c r="F158" s="24" t="s">
        <v>558</v>
      </c>
      <c r="G158" s="23" t="s">
        <v>726</v>
      </c>
      <c r="H158" s="246">
        <v>1</v>
      </c>
      <c r="I158" s="26">
        <v>1.0666666666666667</v>
      </c>
      <c r="J158" s="26">
        <v>1.2333333333333334</v>
      </c>
      <c r="K158" s="26">
        <v>1.3333333333333333</v>
      </c>
      <c r="L158" s="246">
        <v>1</v>
      </c>
      <c r="M158" s="26">
        <v>1.0666666666666667</v>
      </c>
      <c r="N158" s="26">
        <v>1.2333333333333334</v>
      </c>
      <c r="O158" s="59">
        <v>1.3333333333333333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3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3"/>
        <v>R-SH_Det_ELC_HPN2-E</v>
      </c>
      <c r="AN158" s="206" t="str">
        <f t="shared" si="124"/>
        <v>Residential Electric Heat Pump - Air to Water - SH - E rated dwelling</v>
      </c>
      <c r="AO158" s="100" t="s">
        <v>13</v>
      </c>
      <c r="AP158" s="100" t="s">
        <v>175</v>
      </c>
      <c r="AQ158" s="100"/>
      <c r="AR158" s="100" t="s">
        <v>75</v>
      </c>
    </row>
    <row r="159" spans="1:44" ht="15" x14ac:dyDescent="0.25">
      <c r="C159" s="19" t="str">
        <f>"R-SH_Det"&amp;"_"&amp;RIGHT(E159,3)&amp;"_HPN2-AB"</f>
        <v>R-SH_Det_ELC_HPN2-AB</v>
      </c>
      <c r="D159" s="88" t="s">
        <v>703</v>
      </c>
      <c r="E159" s="88" t="s">
        <v>148</v>
      </c>
      <c r="F159" s="88" t="s">
        <v>558</v>
      </c>
      <c r="G159" s="88" t="s">
        <v>728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510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54"/>
      <c r="AC159" s="254"/>
      <c r="AD159" s="254"/>
      <c r="AE159" s="254"/>
      <c r="AF159" s="46"/>
      <c r="AG159" s="84">
        <f t="shared" si="103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3"/>
        <v>R-SH_Det_ELC_HPN2-F</v>
      </c>
      <c r="AN159" s="206" t="str">
        <f t="shared" si="124"/>
        <v>Residential Electric Heat Pump - Air to Water - SH - F rated dwelling</v>
      </c>
      <c r="AO159" s="100" t="s">
        <v>13</v>
      </c>
      <c r="AP159" s="100" t="s">
        <v>175</v>
      </c>
      <c r="AQ159" s="100"/>
      <c r="AR159" s="100" t="s">
        <v>75</v>
      </c>
    </row>
    <row r="160" spans="1:44" ht="15" x14ac:dyDescent="0.25">
      <c r="C160" s="22" t="str">
        <f>"R-SH_Det"&amp;"_"&amp;RIGHT(E160,3)&amp;"_HPN2-C"</f>
        <v>R-SH_Det_ELC_HPN2-C</v>
      </c>
      <c r="D160" s="24" t="s">
        <v>704</v>
      </c>
      <c r="E160" s="24" t="s">
        <v>148</v>
      </c>
      <c r="F160" s="24" t="s">
        <v>558</v>
      </c>
      <c r="G160" s="24" t="s">
        <v>762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511">
        <v>20</v>
      </c>
      <c r="U160" s="23"/>
      <c r="V160" s="22">
        <f t="shared" ref="V160:Y164" si="125">V21/$V$20*$V$159</f>
        <v>9.8469999999999995</v>
      </c>
      <c r="W160" s="23">
        <f t="shared" si="125"/>
        <v>9.8469999999999995</v>
      </c>
      <c r="X160" s="23">
        <f t="shared" si="125"/>
        <v>8.8622999999999994</v>
      </c>
      <c r="Y160" s="57">
        <f t="shared" si="125"/>
        <v>8.8622999999999994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3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3"/>
        <v>R-SH_Det_ELC_HPN2-G</v>
      </c>
      <c r="AN160" s="206" t="str">
        <f t="shared" si="124"/>
        <v>Residential Electric Heat Pump - Air to Water - SH - G rated dwelling</v>
      </c>
      <c r="AO160" s="100" t="s">
        <v>13</v>
      </c>
      <c r="AP160" s="100" t="s">
        <v>175</v>
      </c>
      <c r="AQ160" s="100"/>
      <c r="AR160" s="100" t="s">
        <v>75</v>
      </c>
    </row>
    <row r="161" spans="3:44" ht="15" x14ac:dyDescent="0.25">
      <c r="C161" s="40" t="str">
        <f>"R-SH_Det"&amp;"_"&amp;RIGHT(E161,3)&amp;"_HPN2-D"</f>
        <v>R-SH_Det_ELC_HPN2-D</v>
      </c>
      <c r="D161" s="30" t="s">
        <v>705</v>
      </c>
      <c r="E161" s="30" t="s">
        <v>148</v>
      </c>
      <c r="F161" s="30" t="s">
        <v>558</v>
      </c>
      <c r="G161" s="30" t="s">
        <v>763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512">
        <v>20</v>
      </c>
      <c r="U161" s="29"/>
      <c r="V161" s="40">
        <f t="shared" si="125"/>
        <v>9.8469999999999995</v>
      </c>
      <c r="W161" s="29">
        <f t="shared" si="125"/>
        <v>9.8469999999999995</v>
      </c>
      <c r="X161" s="29">
        <f t="shared" si="125"/>
        <v>8.8622999999999994</v>
      </c>
      <c r="Y161" s="58">
        <f t="shared" si="125"/>
        <v>8.8622999999999994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3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3"/>
        <v>R-SW_Det_ELC_HPN1-AB</v>
      </c>
      <c r="AN161" s="206" t="str">
        <f t="shared" si="124"/>
        <v>Residential Electric Heat Pump - Air to Water - SH + WH - AB rated dwelling</v>
      </c>
      <c r="AO161" s="100" t="s">
        <v>13</v>
      </c>
      <c r="AP161" s="100" t="s">
        <v>175</v>
      </c>
      <c r="AQ161" s="100"/>
      <c r="AR161" s="100" t="s">
        <v>75</v>
      </c>
    </row>
    <row r="162" spans="3:44" ht="15" x14ac:dyDescent="0.25">
      <c r="C162" s="22" t="str">
        <f>"R-SH_Det"&amp;"_"&amp;RIGHT(E162,3)&amp;"_HPN2-E"</f>
        <v>R-SH_Det_ELC_HPN2-E</v>
      </c>
      <c r="D162" s="24" t="s">
        <v>706</v>
      </c>
      <c r="E162" s="24" t="s">
        <v>148</v>
      </c>
      <c r="F162" s="24" t="s">
        <v>558</v>
      </c>
      <c r="G162" s="24" t="s">
        <v>764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511">
        <v>20</v>
      </c>
      <c r="U162" s="23"/>
      <c r="V162" s="22">
        <f t="shared" si="125"/>
        <v>11.209618719324894</v>
      </c>
      <c r="W162" s="23">
        <f t="shared" si="125"/>
        <v>11.209618719324894</v>
      </c>
      <c r="X162" s="23">
        <f t="shared" si="125"/>
        <v>10.224918719324894</v>
      </c>
      <c r="Y162" s="57">
        <f t="shared" si="125"/>
        <v>10.224918719324894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3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3"/>
        <v>R-SW_Det_ELC_HPN1-C</v>
      </c>
      <c r="AN162" s="206" t="str">
        <f t="shared" si="124"/>
        <v>Residential Electric Heat Pump - Air to Water - SH + WH - C rated dwelling</v>
      </c>
      <c r="AO162" s="100" t="s">
        <v>13</v>
      </c>
      <c r="AP162" s="100" t="s">
        <v>175</v>
      </c>
      <c r="AQ162" s="100"/>
      <c r="AR162" s="100" t="s">
        <v>75</v>
      </c>
    </row>
    <row r="163" spans="3:44" ht="15" x14ac:dyDescent="0.25">
      <c r="C163" s="40" t="str">
        <f>"R-SH_Det"&amp;"_"&amp;RIGHT(E163,3)&amp;"_HPN2-F"</f>
        <v>R-SH_Det_ELC_HPN2-F</v>
      </c>
      <c r="D163" s="30" t="s">
        <v>707</v>
      </c>
      <c r="E163" s="30" t="s">
        <v>148</v>
      </c>
      <c r="F163" s="30" t="s">
        <v>558</v>
      </c>
      <c r="G163" s="30" t="s">
        <v>766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512">
        <v>20</v>
      </c>
      <c r="U163" s="29"/>
      <c r="V163" s="40">
        <f t="shared" si="125"/>
        <v>11.379946059240504</v>
      </c>
      <c r="W163" s="29">
        <f t="shared" si="125"/>
        <v>11.379946059240504</v>
      </c>
      <c r="X163" s="29">
        <f t="shared" si="125"/>
        <v>10.395246059240506</v>
      </c>
      <c r="Y163" s="58">
        <f t="shared" si="125"/>
        <v>10.395246059240506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3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3"/>
        <v>R-SW_Det_ELC_HPN1-D</v>
      </c>
      <c r="AN163" s="206" t="str">
        <f t="shared" si="124"/>
        <v>Residential Electric Heat Pump - Air to Water - SH + WH - D rated dwelling</v>
      </c>
      <c r="AO163" s="100" t="s">
        <v>13</v>
      </c>
      <c r="AP163" s="100" t="s">
        <v>175</v>
      </c>
      <c r="AQ163" s="100"/>
      <c r="AR163" s="100" t="s">
        <v>75</v>
      </c>
    </row>
    <row r="164" spans="3:44" ht="15" x14ac:dyDescent="0.25">
      <c r="C164" s="246" t="str">
        <f>"R-SH_Det"&amp;"_"&amp;RIGHT(E164,3)&amp;"_HPN2-G"</f>
        <v>R-SH_Det_ELC_HPN2-G</v>
      </c>
      <c r="D164" s="27" t="s">
        <v>733</v>
      </c>
      <c r="E164" s="27" t="s">
        <v>148</v>
      </c>
      <c r="F164" s="27" t="s">
        <v>558</v>
      </c>
      <c r="G164" s="27" t="s">
        <v>765</v>
      </c>
      <c r="H164" s="246">
        <v>1</v>
      </c>
      <c r="I164" s="26">
        <v>1.0999999999999999</v>
      </c>
      <c r="J164" s="26">
        <v>1.2333333333333334</v>
      </c>
      <c r="K164" s="59">
        <v>1.3333333333333333</v>
      </c>
      <c r="L164" s="246"/>
      <c r="M164" s="26"/>
      <c r="N164" s="26"/>
      <c r="O164" s="59"/>
      <c r="P164" s="246"/>
      <c r="Q164" s="26"/>
      <c r="R164" s="26"/>
      <c r="S164" s="59"/>
      <c r="T164" s="514">
        <v>20</v>
      </c>
      <c r="U164" s="26"/>
      <c r="V164" s="246">
        <f t="shared" si="125"/>
        <v>11.550273399156117</v>
      </c>
      <c r="W164" s="26">
        <f t="shared" si="125"/>
        <v>11.550273399156117</v>
      </c>
      <c r="X164" s="26">
        <f t="shared" si="125"/>
        <v>10.565573399156117</v>
      </c>
      <c r="Y164" s="59">
        <f t="shared" si="125"/>
        <v>10.565573399156117</v>
      </c>
      <c r="Z164" s="64">
        <v>0.1</v>
      </c>
      <c r="AA164" s="67"/>
      <c r="AB164" s="515"/>
      <c r="AC164" s="515"/>
      <c r="AD164" s="515"/>
      <c r="AE164" s="515"/>
      <c r="AF164" s="49"/>
      <c r="AG164" s="64">
        <f t="shared" si="103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3"/>
        <v>R-SW_Det_ELC_HPN1-E</v>
      </c>
      <c r="AN164" s="206" t="str">
        <f t="shared" si="124"/>
        <v>Residential Electric Heat Pump - Air to Water - SH + WH - E rated dwelling</v>
      </c>
      <c r="AO164" s="100" t="s">
        <v>13</v>
      </c>
      <c r="AP164" s="100" t="s">
        <v>175</v>
      </c>
      <c r="AQ164" s="100"/>
      <c r="AR164" s="100" t="s">
        <v>75</v>
      </c>
    </row>
    <row r="165" spans="3:44" ht="15" x14ac:dyDescent="0.25">
      <c r="C165" s="19" t="str">
        <f>"R-SW_Det"&amp;"_"&amp;RIGHT(E165,3)&amp;"_HPN1-AB"</f>
        <v>R-SW_Det_ELC_HPN1-AB</v>
      </c>
      <c r="D165" s="88" t="s">
        <v>711</v>
      </c>
      <c r="E165" s="88" t="s">
        <v>148</v>
      </c>
      <c r="F165" s="88" t="s">
        <v>660</v>
      </c>
      <c r="G165" s="88" t="s">
        <v>767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26">I165*0.7</f>
        <v>0.76999999999999991</v>
      </c>
      <c r="R165" s="20">
        <f t="shared" si="126"/>
        <v>0.86333333333333329</v>
      </c>
      <c r="S165" s="56">
        <f t="shared" si="126"/>
        <v>0.93333333333333324</v>
      </c>
      <c r="T165" s="510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54"/>
      <c r="AC165" s="254"/>
      <c r="AD165" s="254"/>
      <c r="AE165" s="254"/>
      <c r="AF165" s="46"/>
      <c r="AG165" s="84">
        <f t="shared" si="103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3"/>
        <v>R-SW_Det_ELC_HPN1-F</v>
      </c>
      <c r="AN165" s="206" t="str">
        <f t="shared" si="124"/>
        <v>Residential Electric Heat Pump - Air to Water - SH + WH - F rated dwelling</v>
      </c>
      <c r="AO165" s="100" t="s">
        <v>13</v>
      </c>
      <c r="AP165" s="100" t="s">
        <v>175</v>
      </c>
      <c r="AQ165" s="100"/>
      <c r="AR165" s="100" t="s">
        <v>75</v>
      </c>
    </row>
    <row r="166" spans="3:44" ht="14.25" customHeight="1" x14ac:dyDescent="0.25">
      <c r="C166" s="22" t="str">
        <f>"R-SW_Det"&amp;"_"&amp;RIGHT(E166,3)&amp;"_HPN1-C"</f>
        <v>R-SW_Det_ELC_HPN1-C</v>
      </c>
      <c r="D166" s="24" t="s">
        <v>712</v>
      </c>
      <c r="E166" s="24" t="s">
        <v>148</v>
      </c>
      <c r="F166" s="24" t="s">
        <v>660</v>
      </c>
      <c r="G166" s="24" t="s">
        <v>768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27">H166*0.7</f>
        <v>0.7</v>
      </c>
      <c r="Q166" s="23">
        <f t="shared" si="126"/>
        <v>0.76999999999999991</v>
      </c>
      <c r="R166" s="23">
        <f t="shared" si="126"/>
        <v>0.86333333333333329</v>
      </c>
      <c r="S166" s="57">
        <f t="shared" si="126"/>
        <v>0.93333333333333324</v>
      </c>
      <c r="T166" s="511">
        <v>20</v>
      </c>
      <c r="U166" s="57"/>
      <c r="V166" s="22">
        <f t="shared" ref="V166:Y170" si="128">V21/$V$20*$V$165</f>
        <v>9.9300970464135023</v>
      </c>
      <c r="W166" s="23">
        <f t="shared" si="128"/>
        <v>9.9300970464135023</v>
      </c>
      <c r="X166" s="23">
        <f t="shared" si="128"/>
        <v>8.9370873417721519</v>
      </c>
      <c r="Y166" s="57">
        <f t="shared" si="128"/>
        <v>8.9370873417721519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3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3"/>
        <v>R-SW_Det_ELC_HPN1-G</v>
      </c>
      <c r="AN166" s="206" t="str">
        <f t="shared" si="124"/>
        <v>Residential Electric Heat Pump - Air to Water - SH + WH - G rated dwelling</v>
      </c>
      <c r="AO166" s="100" t="s">
        <v>13</v>
      </c>
      <c r="AP166" s="100" t="s">
        <v>175</v>
      </c>
      <c r="AQ166" s="100"/>
      <c r="AR166" s="100" t="s">
        <v>75</v>
      </c>
    </row>
    <row r="167" spans="3:44" ht="15" x14ac:dyDescent="0.25">
      <c r="C167" s="40" t="str">
        <f>"R-SW_Det"&amp;"_"&amp;RIGHT(E167,3)&amp;"_HPN1-D"</f>
        <v>R-SW_Det_ELC_HPN1-D</v>
      </c>
      <c r="D167" s="30" t="s">
        <v>713</v>
      </c>
      <c r="E167" s="30" t="s">
        <v>148</v>
      </c>
      <c r="F167" s="30" t="s">
        <v>660</v>
      </c>
      <c r="G167" s="30" t="s">
        <v>769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27"/>
        <v>0.7</v>
      </c>
      <c r="Q167" s="29">
        <f t="shared" si="126"/>
        <v>0.76999999999999991</v>
      </c>
      <c r="R167" s="29">
        <f t="shared" si="126"/>
        <v>0.86333333333333329</v>
      </c>
      <c r="S167" s="58">
        <f t="shared" si="126"/>
        <v>0.93333333333333324</v>
      </c>
      <c r="T167" s="512">
        <v>20</v>
      </c>
      <c r="U167" s="58"/>
      <c r="V167" s="40">
        <f t="shared" si="128"/>
        <v>9.9300970464135023</v>
      </c>
      <c r="W167" s="29">
        <f t="shared" si="128"/>
        <v>9.9300970464135023</v>
      </c>
      <c r="X167" s="29">
        <f t="shared" si="128"/>
        <v>8.9370873417721519</v>
      </c>
      <c r="Y167" s="58">
        <f t="shared" si="128"/>
        <v>8.9370873417721519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3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3"/>
        <v>R-SW_Det_ELC_HPN2-AB</v>
      </c>
      <c r="AN167" s="206" t="str">
        <f t="shared" si="124"/>
        <v>Residential Electric Heat Pump - Air to Water - SH + WH + Solar - AB rated dwelling</v>
      </c>
      <c r="AO167" s="100" t="s">
        <v>13</v>
      </c>
      <c r="AP167" s="100" t="s">
        <v>175</v>
      </c>
      <c r="AQ167" s="100"/>
      <c r="AR167" s="100" t="s">
        <v>75</v>
      </c>
    </row>
    <row r="168" spans="3:44" ht="15" x14ac:dyDescent="0.25">
      <c r="C168" s="22" t="str">
        <f>"R-SW_Det"&amp;"_"&amp;RIGHT(E168,3)&amp;"_HPN1-E"</f>
        <v>R-SW_Det_ELC_HPN1-E</v>
      </c>
      <c r="D168" s="24" t="s">
        <v>714</v>
      </c>
      <c r="E168" s="24" t="s">
        <v>148</v>
      </c>
      <c r="F168" s="24" t="s">
        <v>660</v>
      </c>
      <c r="G168" s="24" t="s">
        <v>770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27"/>
        <v>0.7</v>
      </c>
      <c r="Q168" s="23">
        <f t="shared" si="126"/>
        <v>0.76999999999999991</v>
      </c>
      <c r="R168" s="23">
        <f t="shared" si="126"/>
        <v>0.86333333333333329</v>
      </c>
      <c r="S168" s="57">
        <f t="shared" si="126"/>
        <v>0.93333333333333324</v>
      </c>
      <c r="T168" s="511">
        <v>20</v>
      </c>
      <c r="U168" s="57"/>
      <c r="V168" s="22">
        <f t="shared" si="128"/>
        <v>11.304214657884598</v>
      </c>
      <c r="W168" s="23">
        <f t="shared" si="128"/>
        <v>11.304214657884598</v>
      </c>
      <c r="X168" s="23">
        <f t="shared" si="128"/>
        <v>10.311204953243248</v>
      </c>
      <c r="Y168" s="57">
        <f t="shared" si="128"/>
        <v>10.311204953243248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3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3"/>
        <v>R-SW_Det_ELC_HPN2-C</v>
      </c>
      <c r="AN168" s="206" t="str">
        <f t="shared" si="124"/>
        <v>Residential Electric Heat Pump - Air to Water - SH + WH + Solar - C rated dwelling</v>
      </c>
      <c r="AO168" s="100" t="s">
        <v>13</v>
      </c>
      <c r="AP168" s="100" t="s">
        <v>175</v>
      </c>
      <c r="AQ168" s="100"/>
      <c r="AR168" s="100" t="s">
        <v>75</v>
      </c>
    </row>
    <row r="169" spans="3:44" ht="15" x14ac:dyDescent="0.25">
      <c r="C169" s="40" t="str">
        <f>"R-SW_Det"&amp;"_"&amp;RIGHT(E169,3)&amp;"_HPN1-F"</f>
        <v>R-SW_Det_ELC_HPN1-F</v>
      </c>
      <c r="D169" s="30" t="s">
        <v>715</v>
      </c>
      <c r="E169" s="30" t="s">
        <v>148</v>
      </c>
      <c r="F169" s="30" t="s">
        <v>660</v>
      </c>
      <c r="G169" s="30" t="s">
        <v>771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27"/>
        <v>0.7</v>
      </c>
      <c r="Q169" s="29">
        <f t="shared" si="126"/>
        <v>0.76999999999999991</v>
      </c>
      <c r="R169" s="29">
        <f t="shared" si="126"/>
        <v>0.86333333333333329</v>
      </c>
      <c r="S169" s="58">
        <f t="shared" si="126"/>
        <v>0.93333333333333324</v>
      </c>
      <c r="T169" s="512">
        <v>20</v>
      </c>
      <c r="U169" s="58"/>
      <c r="V169" s="40">
        <f t="shared" si="128"/>
        <v>11.475979359318485</v>
      </c>
      <c r="W169" s="29">
        <f t="shared" si="128"/>
        <v>11.475979359318485</v>
      </c>
      <c r="X169" s="29">
        <f t="shared" si="128"/>
        <v>10.482969654677136</v>
      </c>
      <c r="Y169" s="58">
        <f t="shared" si="128"/>
        <v>10.482969654677136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3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3"/>
        <v>R-SW_Det_ELC_HPN2-D</v>
      </c>
      <c r="AN169" s="206" t="str">
        <f t="shared" si="124"/>
        <v>Residential Electric Heat Pump - Air to Water - SH + WH + Solar - D rated dwelling</v>
      </c>
      <c r="AO169" s="100" t="s">
        <v>13</v>
      </c>
      <c r="AP169" s="100" t="s">
        <v>175</v>
      </c>
      <c r="AQ169" s="100"/>
      <c r="AR169" s="100" t="s">
        <v>75</v>
      </c>
    </row>
    <row r="170" spans="3:44" ht="15" x14ac:dyDescent="0.25">
      <c r="C170" s="246" t="str">
        <f>"R-SW_Det"&amp;"_"&amp;RIGHT(E170,3)&amp;"_HPN1-G"</f>
        <v>R-SW_Det_ELC_HPN1-G</v>
      </c>
      <c r="D170" s="27" t="s">
        <v>735</v>
      </c>
      <c r="E170" s="27" t="s">
        <v>148</v>
      </c>
      <c r="F170" s="27" t="s">
        <v>660</v>
      </c>
      <c r="G170" s="27" t="s">
        <v>772</v>
      </c>
      <c r="H170" s="246">
        <v>1</v>
      </c>
      <c r="I170" s="26">
        <v>1.0999999999999999</v>
      </c>
      <c r="J170" s="26">
        <v>1.2333333333333334</v>
      </c>
      <c r="K170" s="59">
        <v>1.3333333333333333</v>
      </c>
      <c r="L170" s="246"/>
      <c r="M170" s="26"/>
      <c r="N170" s="26"/>
      <c r="O170" s="59"/>
      <c r="P170" s="246">
        <f t="shared" si="127"/>
        <v>0.7</v>
      </c>
      <c r="Q170" s="26">
        <f t="shared" si="126"/>
        <v>0.76999999999999991</v>
      </c>
      <c r="R170" s="26">
        <f t="shared" si="126"/>
        <v>0.86333333333333329</v>
      </c>
      <c r="S170" s="59">
        <f t="shared" si="126"/>
        <v>0.93333333333333324</v>
      </c>
      <c r="T170" s="514">
        <v>20</v>
      </c>
      <c r="U170" s="59"/>
      <c r="V170" s="246">
        <f t="shared" si="128"/>
        <v>11.647744060752371</v>
      </c>
      <c r="W170" s="26">
        <f t="shared" si="128"/>
        <v>11.647744060752371</v>
      </c>
      <c r="X170" s="26">
        <f t="shared" si="128"/>
        <v>10.654734356111021</v>
      </c>
      <c r="Y170" s="59">
        <f t="shared" si="128"/>
        <v>10.654734356111021</v>
      </c>
      <c r="Z170" s="64">
        <v>0.1</v>
      </c>
      <c r="AA170" s="67"/>
      <c r="AB170" s="515"/>
      <c r="AC170" s="515"/>
      <c r="AD170" s="515"/>
      <c r="AE170" s="515"/>
      <c r="AF170" s="49"/>
      <c r="AG170" s="64">
        <f t="shared" si="103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3"/>
        <v>R-SW_Det_ELC_HPN2-E</v>
      </c>
      <c r="AN170" s="206" t="str">
        <f t="shared" si="124"/>
        <v>Residential Electric Heat Pump - Air to Water - SH + WH + Solar - E rated dwelling</v>
      </c>
      <c r="AO170" s="100" t="s">
        <v>13</v>
      </c>
      <c r="AP170" s="100" t="s">
        <v>175</v>
      </c>
      <c r="AQ170" s="100"/>
      <c r="AR170" s="100" t="s">
        <v>75</v>
      </c>
    </row>
    <row r="171" spans="3:44" ht="15" x14ac:dyDescent="0.25">
      <c r="C171" s="19" t="str">
        <f>"R-SW_Det"&amp;"_"&amp;RIGHT(E171,3)&amp;"_HPN2-AB"</f>
        <v>R-SW_Det_ELC_HPN2-AB</v>
      </c>
      <c r="D171" s="88" t="s">
        <v>756</v>
      </c>
      <c r="E171" s="88" t="s">
        <v>550</v>
      </c>
      <c r="F171" s="88" t="s">
        <v>660</v>
      </c>
      <c r="G171" s="88" t="s">
        <v>767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26"/>
        <v>0.77700000000000002</v>
      </c>
      <c r="R171" s="29">
        <f t="shared" si="126"/>
        <v>0.83299999999999996</v>
      </c>
      <c r="S171" s="58">
        <f t="shared" si="126"/>
        <v>0.83299999999999996</v>
      </c>
      <c r="T171" s="510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54">
        <v>0.66</v>
      </c>
      <c r="AC171" s="254"/>
      <c r="AD171" s="254"/>
      <c r="AE171" s="254"/>
      <c r="AF171" s="534">
        <v>5</v>
      </c>
      <c r="AG171" s="84">
        <f t="shared" si="103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3"/>
        <v>R-SW_Det_ELC_HPN2-F</v>
      </c>
      <c r="AN171" s="206" t="str">
        <f t="shared" si="124"/>
        <v>Residential Electric Heat Pump - Air to Water - SH + WH + Solar - F rated dwelling</v>
      </c>
      <c r="AO171" s="100" t="s">
        <v>13</v>
      </c>
      <c r="AP171" s="100" t="s">
        <v>175</v>
      </c>
      <c r="AQ171" s="100"/>
      <c r="AR171" s="100" t="s">
        <v>75</v>
      </c>
    </row>
    <row r="172" spans="3:44" ht="15" x14ac:dyDescent="0.25">
      <c r="C172" s="22" t="str">
        <f>"R-SW_Det"&amp;"_"&amp;RIGHT(E172,3)&amp;"_HPN2-C"</f>
        <v>R-SW_Det_ELC_HPN2-C</v>
      </c>
      <c r="D172" s="24" t="s">
        <v>757</v>
      </c>
      <c r="E172" s="24" t="s">
        <v>550</v>
      </c>
      <c r="F172" s="24" t="s">
        <v>660</v>
      </c>
      <c r="G172" s="24" t="s">
        <v>768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29">H172*0.7</f>
        <v>0.7</v>
      </c>
      <c r="Q172" s="23">
        <f t="shared" si="126"/>
        <v>0.77700000000000002</v>
      </c>
      <c r="R172" s="23">
        <f t="shared" si="126"/>
        <v>0.83299999999999996</v>
      </c>
      <c r="S172" s="57">
        <f t="shared" si="126"/>
        <v>0.83299999999999996</v>
      </c>
      <c r="T172" s="511">
        <v>20</v>
      </c>
      <c r="U172" s="23"/>
      <c r="V172" s="22">
        <f t="shared" ref="V172:Y176" si="130">V21/$V$20*$V$171</f>
        <v>15.153057851239668</v>
      </c>
      <c r="W172" s="23">
        <f t="shared" si="130"/>
        <v>15.153057851239668</v>
      </c>
      <c r="X172" s="23">
        <f t="shared" si="130"/>
        <v>13.6377520661157</v>
      </c>
      <c r="Y172" s="57">
        <f t="shared" si="130"/>
        <v>13.6377520661157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535">
        <v>5</v>
      </c>
      <c r="AG172" s="63">
        <f t="shared" si="103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3"/>
        <v>R-SW_Det_ELC_HPN2-G</v>
      </c>
      <c r="AN172" s="206" t="str">
        <f t="shared" si="124"/>
        <v>Residential Electric Heat Pump - Air to Water - SH + WH + Solar - G rated dwelling</v>
      </c>
      <c r="AO172" s="100" t="s">
        <v>13</v>
      </c>
      <c r="AP172" s="100" t="s">
        <v>175</v>
      </c>
      <c r="AQ172" s="100"/>
      <c r="AR172" s="100" t="s">
        <v>75</v>
      </c>
    </row>
    <row r="173" spans="3:44" ht="15" x14ac:dyDescent="0.25">
      <c r="C173" s="40" t="str">
        <f>"R-SW_Det"&amp;"_"&amp;RIGHT(E173,3)&amp;"_HPN2-D"</f>
        <v>R-SW_Det_ELC_HPN2-D</v>
      </c>
      <c r="D173" s="30" t="s">
        <v>758</v>
      </c>
      <c r="E173" s="30" t="s">
        <v>550</v>
      </c>
      <c r="F173" s="30" t="s">
        <v>660</v>
      </c>
      <c r="G173" s="30" t="s">
        <v>769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29"/>
        <v>0.7</v>
      </c>
      <c r="Q173" s="29">
        <f t="shared" si="126"/>
        <v>0.77700000000000002</v>
      </c>
      <c r="R173" s="29">
        <f t="shared" si="126"/>
        <v>0.83299999999999996</v>
      </c>
      <c r="S173" s="58">
        <f t="shared" si="126"/>
        <v>0.83299999999999996</v>
      </c>
      <c r="T173" s="512">
        <v>20</v>
      </c>
      <c r="U173" s="29"/>
      <c r="V173" s="40">
        <f t="shared" si="130"/>
        <v>15.153057851239668</v>
      </c>
      <c r="W173" s="29">
        <f t="shared" si="130"/>
        <v>15.153057851239668</v>
      </c>
      <c r="X173" s="29">
        <f t="shared" si="130"/>
        <v>13.6377520661157</v>
      </c>
      <c r="Y173" s="58">
        <f t="shared" si="130"/>
        <v>13.6377520661157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536">
        <v>5</v>
      </c>
      <c r="AG173" s="62">
        <f t="shared" si="103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3"/>
        <v>R-SH_Det_ELC_HPN3-AB</v>
      </c>
      <c r="AN173" s="206" t="str">
        <f t="shared" si="124"/>
        <v>Residential Electric Heat Pump - Ground to Water - SH - AB rated dwelling</v>
      </c>
      <c r="AO173" s="100" t="s">
        <v>13</v>
      </c>
      <c r="AP173" s="100" t="s">
        <v>175</v>
      </c>
      <c r="AQ173" s="100"/>
      <c r="AR173" s="100" t="s">
        <v>75</v>
      </c>
    </row>
    <row r="174" spans="3:44" ht="15" x14ac:dyDescent="0.25">
      <c r="C174" s="22" t="str">
        <f>"R-SW_Det"&amp;"_"&amp;RIGHT(E174,3)&amp;"_HPN2-E"</f>
        <v>R-SW_Det_ELC_HPN2-E</v>
      </c>
      <c r="D174" s="24" t="s">
        <v>759</v>
      </c>
      <c r="E174" s="24" t="s">
        <v>550</v>
      </c>
      <c r="F174" s="24" t="s">
        <v>660</v>
      </c>
      <c r="G174" s="24" t="s">
        <v>770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29"/>
        <v>0.7</v>
      </c>
      <c r="Q174" s="23">
        <f t="shared" si="126"/>
        <v>0.77700000000000002</v>
      </c>
      <c r="R174" s="23">
        <f t="shared" si="126"/>
        <v>0.83299999999999996</v>
      </c>
      <c r="S174" s="57">
        <f t="shared" si="126"/>
        <v>0.83299999999999996</v>
      </c>
      <c r="T174" s="511">
        <v>20</v>
      </c>
      <c r="U174" s="23"/>
      <c r="V174" s="22">
        <f t="shared" si="130"/>
        <v>17.249923930564563</v>
      </c>
      <c r="W174" s="23">
        <f t="shared" si="130"/>
        <v>17.249923930564563</v>
      </c>
      <c r="X174" s="23">
        <f t="shared" si="130"/>
        <v>15.734618145440594</v>
      </c>
      <c r="Y174" s="57">
        <f t="shared" si="130"/>
        <v>15.734618145440594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535">
        <v>5</v>
      </c>
      <c r="AG174" s="63">
        <f t="shared" si="103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3"/>
        <v>R-SH_Det_ELC_HPN3-C</v>
      </c>
      <c r="AN174" s="206" t="str">
        <f t="shared" si="124"/>
        <v>Residential Electric Heat Pump - Ground to Water - SH - C rated dwelling</v>
      </c>
      <c r="AO174" s="100" t="s">
        <v>13</v>
      </c>
      <c r="AP174" s="100" t="s">
        <v>175</v>
      </c>
      <c r="AQ174" s="100"/>
      <c r="AR174" s="100" t="s">
        <v>75</v>
      </c>
    </row>
    <row r="175" spans="3:44" ht="15" x14ac:dyDescent="0.25">
      <c r="C175" s="40" t="str">
        <f>"R-SW_Det"&amp;"_"&amp;RIGHT(E175,3)&amp;"_HPN2-F"</f>
        <v>R-SW_Det_ELC_HPN2-F</v>
      </c>
      <c r="D175" s="30" t="s">
        <v>760</v>
      </c>
      <c r="E175" s="30" t="s">
        <v>550</v>
      </c>
      <c r="F175" s="30" t="s">
        <v>660</v>
      </c>
      <c r="G175" s="30" t="s">
        <v>771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29"/>
        <v>0.7</v>
      </c>
      <c r="Q175" s="29">
        <f t="shared" si="126"/>
        <v>0.77700000000000002</v>
      </c>
      <c r="R175" s="29">
        <f t="shared" si="126"/>
        <v>0.83299999999999996</v>
      </c>
      <c r="S175" s="58">
        <f t="shared" si="126"/>
        <v>0.83299999999999996</v>
      </c>
      <c r="T175" s="512">
        <v>20</v>
      </c>
      <c r="U175" s="29"/>
      <c r="V175" s="40">
        <f t="shared" si="130"/>
        <v>17.512032190480173</v>
      </c>
      <c r="W175" s="29">
        <f t="shared" si="130"/>
        <v>17.512032190480173</v>
      </c>
      <c r="X175" s="29">
        <f t="shared" si="130"/>
        <v>15.996726405356208</v>
      </c>
      <c r="Y175" s="58">
        <f t="shared" si="130"/>
        <v>15.996726405356208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536">
        <v>5</v>
      </c>
      <c r="AG175" s="62">
        <f t="shared" si="103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3"/>
        <v>R-SH_Det_ELC_HPN3-D</v>
      </c>
      <c r="AN175" s="206" t="str">
        <f t="shared" si="124"/>
        <v>Residential Electric Heat Pump - Ground to Water - SH - D rated dwelling</v>
      </c>
      <c r="AO175" s="100" t="s">
        <v>13</v>
      </c>
      <c r="AP175" s="100" t="s">
        <v>175</v>
      </c>
      <c r="AQ175" s="100"/>
      <c r="AR175" s="100" t="s">
        <v>75</v>
      </c>
    </row>
    <row r="176" spans="3:44" ht="15" x14ac:dyDescent="0.25">
      <c r="C176" s="246" t="str">
        <f>"R-SW_Det"&amp;"_"&amp;RIGHT(E176,3)&amp;"_HPN2-G"</f>
        <v>R-SW_Det_ELC_HPN2-G</v>
      </c>
      <c r="D176" s="27" t="s">
        <v>761</v>
      </c>
      <c r="E176" s="27" t="s">
        <v>550</v>
      </c>
      <c r="F176" s="27" t="s">
        <v>660</v>
      </c>
      <c r="G176" s="27" t="s">
        <v>772</v>
      </c>
      <c r="H176" s="246">
        <v>1</v>
      </c>
      <c r="I176" s="26">
        <v>1.1100000000000001</v>
      </c>
      <c r="J176" s="26">
        <v>1.19</v>
      </c>
      <c r="K176" s="59">
        <v>1.19</v>
      </c>
      <c r="L176" s="246"/>
      <c r="M176" s="26"/>
      <c r="N176" s="26"/>
      <c r="O176" s="59"/>
      <c r="P176" s="246">
        <f t="shared" si="129"/>
        <v>0.7</v>
      </c>
      <c r="Q176" s="26">
        <f t="shared" si="126"/>
        <v>0.77700000000000002</v>
      </c>
      <c r="R176" s="26">
        <f t="shared" si="126"/>
        <v>0.83299999999999996</v>
      </c>
      <c r="S176" s="59">
        <f t="shared" si="126"/>
        <v>0.83299999999999996</v>
      </c>
      <c r="T176" s="514">
        <v>20</v>
      </c>
      <c r="U176" s="26"/>
      <c r="V176" s="246">
        <f t="shared" si="130"/>
        <v>17.774140450395784</v>
      </c>
      <c r="W176" s="26">
        <f t="shared" si="130"/>
        <v>17.774140450395784</v>
      </c>
      <c r="X176" s="26">
        <f t="shared" si="130"/>
        <v>16.258834665271817</v>
      </c>
      <c r="Y176" s="59">
        <f t="shared" si="130"/>
        <v>16.258834665271817</v>
      </c>
      <c r="Z176" s="64">
        <f>((JRC_Data!BL18+JRC_Data!BL45)*0.8)/1000</f>
        <v>0.16960000000000003</v>
      </c>
      <c r="AA176" s="67"/>
      <c r="AB176" s="515">
        <v>0.66</v>
      </c>
      <c r="AC176" s="515"/>
      <c r="AD176" s="515"/>
      <c r="AE176" s="515"/>
      <c r="AF176" s="535">
        <v>5</v>
      </c>
      <c r="AG176" s="64">
        <f t="shared" si="103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3"/>
        <v>R-SH_Det_ELC_HPN3-E</v>
      </c>
      <c r="AN176" s="206" t="str">
        <f t="shared" si="124"/>
        <v>Residential Electric Heat Pump - Ground to Water - SH - E rated dwelling</v>
      </c>
      <c r="AO176" s="100" t="s">
        <v>13</v>
      </c>
      <c r="AP176" s="100" t="s">
        <v>175</v>
      </c>
      <c r="AQ176" s="100"/>
      <c r="AR176" s="100" t="s">
        <v>75</v>
      </c>
    </row>
    <row r="177" spans="3:44" ht="15" x14ac:dyDescent="0.25">
      <c r="C177" s="19" t="str">
        <f>"R-SH_Det"&amp;"_"&amp;RIGHT(E177,3)&amp;"_HPN3-AB"</f>
        <v>R-SH_Det_ELC_HPN3-AB</v>
      </c>
      <c r="D177" s="88" t="s">
        <v>737</v>
      </c>
      <c r="E177" s="88" t="s">
        <v>148</v>
      </c>
      <c r="F177" s="88" t="s">
        <v>558</v>
      </c>
      <c r="G177" s="88" t="s">
        <v>728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510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54"/>
      <c r="AC177" s="254"/>
      <c r="AD177" s="254"/>
      <c r="AE177" s="254"/>
      <c r="AF177" s="46"/>
      <c r="AG177" s="84">
        <f t="shared" si="103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3"/>
        <v>R-SH_Det_ELC_HPN3-F</v>
      </c>
      <c r="AN177" s="206" t="str">
        <f t="shared" si="124"/>
        <v>Residential Electric Heat Pump - Ground to Water - SH - F rated dwelling</v>
      </c>
      <c r="AO177" s="100" t="s">
        <v>13</v>
      </c>
      <c r="AP177" s="100" t="s">
        <v>175</v>
      </c>
      <c r="AQ177" s="100"/>
      <c r="AR177" s="100" t="s">
        <v>75</v>
      </c>
    </row>
    <row r="178" spans="3:44" ht="15" x14ac:dyDescent="0.25">
      <c r="C178" s="22" t="str">
        <f>"R-SH_Det"&amp;"_"&amp;RIGHT(E178,3)&amp;"_HPN3-C"</f>
        <v>R-SH_Det_ELC_HPN3-C</v>
      </c>
      <c r="D178" s="24" t="s">
        <v>738</v>
      </c>
      <c r="E178" s="24" t="s">
        <v>148</v>
      </c>
      <c r="F178" s="24" t="s">
        <v>558</v>
      </c>
      <c r="G178" s="24" t="s">
        <v>762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511">
        <v>20</v>
      </c>
      <c r="U178" s="57"/>
      <c r="V178" s="22">
        <f t="shared" ref="V178:Y182" si="131">V21/$V$20*$V$177</f>
        <v>14.8</v>
      </c>
      <c r="W178" s="23">
        <f t="shared" si="131"/>
        <v>14.8</v>
      </c>
      <c r="X178" s="23">
        <f t="shared" si="131"/>
        <v>13.319999999999999</v>
      </c>
      <c r="Y178" s="57">
        <f t="shared" si="131"/>
        <v>13.319999999999999</v>
      </c>
      <c r="Z178" s="63"/>
      <c r="AA178" s="66"/>
      <c r="AB178" s="72"/>
      <c r="AC178" s="72"/>
      <c r="AD178" s="72"/>
      <c r="AE178" s="72"/>
      <c r="AF178" s="44"/>
      <c r="AG178" s="63">
        <f t="shared" si="103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3"/>
        <v>R-SH_Det_ELC_HPN3-G</v>
      </c>
      <c r="AN178" s="206" t="str">
        <f t="shared" si="124"/>
        <v>Residential Electric Heat Pump - Ground to Water - SH - G rated dwelling</v>
      </c>
      <c r="AO178" s="100" t="s">
        <v>13</v>
      </c>
      <c r="AP178" s="100" t="s">
        <v>175</v>
      </c>
      <c r="AQ178" s="100"/>
      <c r="AR178" s="100" t="s">
        <v>75</v>
      </c>
    </row>
    <row r="179" spans="3:44" ht="15" x14ac:dyDescent="0.25">
      <c r="C179" s="40" t="str">
        <f>"R-SH_Det"&amp;"_"&amp;RIGHT(E179,3)&amp;"_HPN3-D"</f>
        <v>R-SH_Det_ELC_HPN3-D</v>
      </c>
      <c r="D179" s="30" t="s">
        <v>739</v>
      </c>
      <c r="E179" s="30" t="s">
        <v>148</v>
      </c>
      <c r="F179" s="30" t="s">
        <v>558</v>
      </c>
      <c r="G179" s="30" t="s">
        <v>763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512">
        <v>20</v>
      </c>
      <c r="U179" s="58"/>
      <c r="V179" s="40">
        <f t="shared" si="131"/>
        <v>14.8</v>
      </c>
      <c r="W179" s="29">
        <f t="shared" si="131"/>
        <v>14.8</v>
      </c>
      <c r="X179" s="29">
        <f t="shared" si="131"/>
        <v>13.319999999999999</v>
      </c>
      <c r="Y179" s="58">
        <f t="shared" si="131"/>
        <v>13.319999999999999</v>
      </c>
      <c r="Z179" s="62"/>
      <c r="AA179" s="65"/>
      <c r="AB179" s="71"/>
      <c r="AC179" s="71"/>
      <c r="AD179" s="71"/>
      <c r="AE179" s="71"/>
      <c r="AF179" s="42"/>
      <c r="AG179" s="62">
        <f t="shared" si="103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3"/>
        <v>R-HC_Det_ELC_HPN2-AB</v>
      </c>
      <c r="AN179" s="206" t="str">
        <f t="shared" si="124"/>
        <v>Residential Electric Heat Pump - Ground to Water - SH + SC - AB rated dwelling</v>
      </c>
      <c r="AO179" s="100" t="s">
        <v>13</v>
      </c>
      <c r="AP179" s="100" t="s">
        <v>175</v>
      </c>
      <c r="AQ179" s="100"/>
      <c r="AR179" s="100" t="s">
        <v>75</v>
      </c>
    </row>
    <row r="180" spans="3:44" ht="15" x14ac:dyDescent="0.25">
      <c r="C180" s="22" t="str">
        <f>"R-SH_Det"&amp;"_"&amp;RIGHT(E180,3)&amp;"_HPN3-E"</f>
        <v>R-SH_Det_ELC_HPN3-E</v>
      </c>
      <c r="D180" s="24" t="s">
        <v>740</v>
      </c>
      <c r="E180" s="24" t="s">
        <v>148</v>
      </c>
      <c r="F180" s="24" t="s">
        <v>558</v>
      </c>
      <c r="G180" s="24" t="s">
        <v>764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511">
        <v>20</v>
      </c>
      <c r="U180" s="57"/>
      <c r="V180" s="22">
        <f t="shared" si="131"/>
        <v>16.848010261603378</v>
      </c>
      <c r="W180" s="23">
        <f t="shared" si="131"/>
        <v>16.848010261603378</v>
      </c>
      <c r="X180" s="23">
        <f t="shared" si="131"/>
        <v>15.368010261603375</v>
      </c>
      <c r="Y180" s="57">
        <f t="shared" si="131"/>
        <v>15.368010261603375</v>
      </c>
      <c r="Z180" s="63"/>
      <c r="AA180" s="66"/>
      <c r="AB180" s="72"/>
      <c r="AC180" s="72"/>
      <c r="AD180" s="72"/>
      <c r="AE180" s="72"/>
      <c r="AF180" s="44"/>
      <c r="AG180" s="63">
        <f t="shared" si="103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3"/>
        <v>R-HC_Det_ELC_HPN2-C</v>
      </c>
      <c r="AN180" s="206" t="str">
        <f t="shared" si="124"/>
        <v>Residential Electric Heat Pump - Ground to Water - SH + SC - C rated dwelling</v>
      </c>
      <c r="AO180" s="100" t="s">
        <v>13</v>
      </c>
      <c r="AP180" s="100" t="s">
        <v>175</v>
      </c>
      <c r="AQ180" s="100"/>
      <c r="AR180" s="100" t="s">
        <v>75</v>
      </c>
    </row>
    <row r="181" spans="3:44" ht="15" x14ac:dyDescent="0.25">
      <c r="C181" s="40" t="str">
        <f>"R-SH_Det"&amp;"_"&amp;RIGHT(E181,3)&amp;"_HPN3-F"</f>
        <v>R-SH_Det_ELC_HPN3-F</v>
      </c>
      <c r="D181" s="30" t="s">
        <v>741</v>
      </c>
      <c r="E181" s="30" t="s">
        <v>148</v>
      </c>
      <c r="F181" s="30" t="s">
        <v>558</v>
      </c>
      <c r="G181" s="30" t="s">
        <v>766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512">
        <v>20</v>
      </c>
      <c r="U181" s="58"/>
      <c r="V181" s="40">
        <f t="shared" si="131"/>
        <v>17.104011544303798</v>
      </c>
      <c r="W181" s="29">
        <f t="shared" si="131"/>
        <v>17.104011544303798</v>
      </c>
      <c r="X181" s="29">
        <f t="shared" si="131"/>
        <v>15.6240115443038</v>
      </c>
      <c r="Y181" s="58">
        <f t="shared" si="131"/>
        <v>15.6240115443038</v>
      </c>
      <c r="Z181" s="62"/>
      <c r="AA181" s="65"/>
      <c r="AB181" s="71"/>
      <c r="AC181" s="71"/>
      <c r="AD181" s="71"/>
      <c r="AE181" s="71"/>
      <c r="AF181" s="42"/>
      <c r="AG181" s="62">
        <f t="shared" si="103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3"/>
        <v>R-HC_Det_ELC_HPN2-D</v>
      </c>
      <c r="AN181" s="206" t="str">
        <f t="shared" si="124"/>
        <v>Residential Electric Heat Pump - Ground to Water - SH + SC - D rated dwelling</v>
      </c>
      <c r="AO181" s="100" t="s">
        <v>13</v>
      </c>
      <c r="AP181" s="100" t="s">
        <v>175</v>
      </c>
      <c r="AQ181" s="100"/>
      <c r="AR181" s="100" t="s">
        <v>75</v>
      </c>
    </row>
    <row r="182" spans="3:44" ht="15" x14ac:dyDescent="0.25">
      <c r="C182" s="246" t="str">
        <f>"R-SH_Det"&amp;"_"&amp;RIGHT(E182,3)&amp;"_HPN3-G"</f>
        <v>R-SH_Det_ELC_HPN3-G</v>
      </c>
      <c r="D182" s="27" t="s">
        <v>742</v>
      </c>
      <c r="E182" s="27" t="s">
        <v>148</v>
      </c>
      <c r="F182" s="27" t="s">
        <v>558</v>
      </c>
      <c r="G182" s="27" t="s">
        <v>765</v>
      </c>
      <c r="H182" s="246">
        <v>1.0999999999999999</v>
      </c>
      <c r="I182" s="26">
        <v>1.1666666666666667</v>
      </c>
      <c r="J182" s="26">
        <v>1.3333333333333333</v>
      </c>
      <c r="K182" s="59">
        <v>1.5</v>
      </c>
      <c r="L182" s="246"/>
      <c r="M182" s="26"/>
      <c r="N182" s="26"/>
      <c r="O182" s="59"/>
      <c r="P182" s="246"/>
      <c r="Q182" s="26"/>
      <c r="R182" s="26"/>
      <c r="S182" s="59"/>
      <c r="T182" s="514">
        <v>20</v>
      </c>
      <c r="U182" s="59"/>
      <c r="V182" s="246">
        <f t="shared" si="131"/>
        <v>17.360012827004219</v>
      </c>
      <c r="W182" s="26">
        <f t="shared" si="131"/>
        <v>17.360012827004219</v>
      </c>
      <c r="X182" s="26">
        <f t="shared" si="131"/>
        <v>15.880012827004217</v>
      </c>
      <c r="Y182" s="59">
        <f t="shared" si="131"/>
        <v>15.880012827004217</v>
      </c>
      <c r="Z182" s="64"/>
      <c r="AA182" s="67"/>
      <c r="AB182" s="515"/>
      <c r="AC182" s="515"/>
      <c r="AD182" s="515"/>
      <c r="AE182" s="515"/>
      <c r="AF182" s="49"/>
      <c r="AG182" s="64">
        <f t="shared" si="103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3"/>
        <v>R-HC_Det_ELC_HPN2-E</v>
      </c>
      <c r="AN182" s="206" t="str">
        <f t="shared" si="124"/>
        <v>Residential Electric Heat Pump - Ground to Water - SH + SC - E rated dwelling</v>
      </c>
      <c r="AO182" s="100" t="s">
        <v>13</v>
      </c>
      <c r="AP182" s="100" t="s">
        <v>175</v>
      </c>
      <c r="AQ182" s="100"/>
      <c r="AR182" s="100" t="s">
        <v>75</v>
      </c>
    </row>
    <row r="183" spans="3:44" ht="15" x14ac:dyDescent="0.25">
      <c r="C183" s="19" t="str">
        <f>"R-HC_Det"&amp;"_"&amp;RIGHT(E183,3)&amp;"_HPN2-AB"</f>
        <v>R-HC_Det_ELC_HPN2-AB</v>
      </c>
      <c r="D183" s="88" t="s">
        <v>743</v>
      </c>
      <c r="E183" s="88" t="s">
        <v>148</v>
      </c>
      <c r="F183" s="88" t="s">
        <v>558</v>
      </c>
      <c r="G183" s="88" t="s">
        <v>791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v>1.0999999999999999</v>
      </c>
      <c r="M183" s="20">
        <v>1.1666666666666667</v>
      </c>
      <c r="N183" s="20">
        <v>1.3333333333333333</v>
      </c>
      <c r="O183" s="56">
        <v>1.5</v>
      </c>
      <c r="P183" s="40"/>
      <c r="Q183" s="29"/>
      <c r="R183" s="29"/>
      <c r="S183" s="58"/>
      <c r="T183" s="510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54"/>
      <c r="AC183" s="254"/>
      <c r="AD183" s="254"/>
      <c r="AE183" s="254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3"/>
        <v>R-HC_Det_ELC_HPN2-F</v>
      </c>
      <c r="AN183" s="206" t="str">
        <f t="shared" si="124"/>
        <v>Residential Electric Heat Pump - Ground to Water - SH + SC - F rated dwelling</v>
      </c>
      <c r="AO183" s="100" t="s">
        <v>13</v>
      </c>
      <c r="AP183" s="100" t="s">
        <v>175</v>
      </c>
      <c r="AQ183" s="100"/>
      <c r="AR183" s="100" t="s">
        <v>75</v>
      </c>
    </row>
    <row r="184" spans="3:44" ht="15" x14ac:dyDescent="0.25">
      <c r="C184" s="22" t="str">
        <f>"R-HC_Det"&amp;"_"&amp;RIGHT(E184,3)&amp;"_HPN2-C"</f>
        <v>R-HC_Det_ELC_HPN2-C</v>
      </c>
      <c r="D184" s="24" t="s">
        <v>744</v>
      </c>
      <c r="E184" s="24" t="s">
        <v>148</v>
      </c>
      <c r="F184" s="24" t="s">
        <v>558</v>
      </c>
      <c r="G184" s="24" t="s">
        <v>792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v>1.0999999999999999</v>
      </c>
      <c r="M184" s="23">
        <v>1.1666666666666667</v>
      </c>
      <c r="N184" s="23">
        <v>1.3333333333333333</v>
      </c>
      <c r="O184" s="57">
        <v>1.5</v>
      </c>
      <c r="P184" s="22"/>
      <c r="Q184" s="23"/>
      <c r="R184" s="23"/>
      <c r="S184" s="57"/>
      <c r="T184" s="511">
        <v>20</v>
      </c>
      <c r="U184" s="23"/>
      <c r="V184" s="22">
        <f t="shared" ref="V184:Y188" si="132">V21/$V$20*$V$183</f>
        <v>15.97142857142857</v>
      </c>
      <c r="W184" s="23">
        <f t="shared" si="132"/>
        <v>15.97142857142857</v>
      </c>
      <c r="X184" s="23">
        <f t="shared" si="132"/>
        <v>14.374285714285712</v>
      </c>
      <c r="Y184" s="57">
        <f t="shared" si="132"/>
        <v>14.374285714285712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33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3"/>
        <v>R-HC_Det_ELC_HPN2-G</v>
      </c>
      <c r="AN184" s="206" t="str">
        <f t="shared" si="124"/>
        <v>Residential Electric Heat Pump - Ground to Water - SH + SC - G rated dwelling</v>
      </c>
      <c r="AO184" s="100" t="s">
        <v>13</v>
      </c>
      <c r="AP184" s="100" t="s">
        <v>175</v>
      </c>
      <c r="AQ184" s="100"/>
      <c r="AR184" s="100" t="s">
        <v>75</v>
      </c>
    </row>
    <row r="185" spans="3:44" ht="15" x14ac:dyDescent="0.25">
      <c r="C185" s="40" t="str">
        <f>"R-HC_Det"&amp;"_"&amp;RIGHT(E185,3)&amp;"_HPN2-D"</f>
        <v>R-HC_Det_ELC_HPN2-D</v>
      </c>
      <c r="D185" s="30" t="s">
        <v>745</v>
      </c>
      <c r="E185" s="30" t="s">
        <v>148</v>
      </c>
      <c r="F185" s="30" t="s">
        <v>558</v>
      </c>
      <c r="G185" s="30" t="s">
        <v>793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v>1.0999999999999999</v>
      </c>
      <c r="M185" s="29">
        <v>1.1666666666666667</v>
      </c>
      <c r="N185" s="29">
        <v>1.3333333333333333</v>
      </c>
      <c r="O185" s="58">
        <v>1.5</v>
      </c>
      <c r="P185" s="40"/>
      <c r="Q185" s="29"/>
      <c r="R185" s="29"/>
      <c r="S185" s="58"/>
      <c r="T185" s="512">
        <v>20</v>
      </c>
      <c r="U185" s="29"/>
      <c r="V185" s="40">
        <f t="shared" si="132"/>
        <v>15.97142857142857</v>
      </c>
      <c r="W185" s="29">
        <f t="shared" si="132"/>
        <v>15.97142857142857</v>
      </c>
      <c r="X185" s="29">
        <f t="shared" si="132"/>
        <v>14.374285714285712</v>
      </c>
      <c r="Y185" s="58">
        <f t="shared" si="132"/>
        <v>14.374285714285712</v>
      </c>
      <c r="Z185" s="62"/>
      <c r="AA185" s="65"/>
      <c r="AB185" s="71"/>
      <c r="AC185" s="71"/>
      <c r="AD185" s="71"/>
      <c r="AE185" s="71"/>
      <c r="AF185" s="42"/>
      <c r="AG185" s="62">
        <f t="shared" si="133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175</v>
      </c>
      <c r="AQ185" s="100"/>
      <c r="AR185" s="100" t="s">
        <v>75</v>
      </c>
    </row>
    <row r="186" spans="3:44" ht="15" x14ac:dyDescent="0.25">
      <c r="C186" s="22" t="str">
        <f>"R-HC_Det"&amp;"_"&amp;RIGHT(E186,3)&amp;"_HPN2-E"</f>
        <v>R-HC_Det_ELC_HPN2-E</v>
      </c>
      <c r="D186" s="24" t="s">
        <v>746</v>
      </c>
      <c r="E186" s="24" t="s">
        <v>148</v>
      </c>
      <c r="F186" s="24" t="s">
        <v>558</v>
      </c>
      <c r="G186" s="24" t="s">
        <v>794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v>1.0999999999999999</v>
      </c>
      <c r="M186" s="23">
        <v>1.1666666666666667</v>
      </c>
      <c r="N186" s="23">
        <v>1.3333333333333333</v>
      </c>
      <c r="O186" s="57">
        <v>1.5</v>
      </c>
      <c r="P186" s="22"/>
      <c r="Q186" s="23"/>
      <c r="R186" s="23"/>
      <c r="S186" s="57"/>
      <c r="T186" s="511">
        <v>20</v>
      </c>
      <c r="U186" s="23"/>
      <c r="V186" s="22">
        <f t="shared" si="132"/>
        <v>18.181540031344181</v>
      </c>
      <c r="W186" s="23">
        <f t="shared" si="132"/>
        <v>18.181540031344181</v>
      </c>
      <c r="X186" s="23">
        <f t="shared" si="132"/>
        <v>16.584397174201321</v>
      </c>
      <c r="Y186" s="57">
        <f t="shared" si="132"/>
        <v>16.584397174201321</v>
      </c>
      <c r="Z186" s="63"/>
      <c r="AA186" s="66"/>
      <c r="AB186" s="72"/>
      <c r="AC186" s="72"/>
      <c r="AD186" s="72"/>
      <c r="AE186" s="72"/>
      <c r="AF186" s="44"/>
      <c r="AG186" s="63">
        <f t="shared" si="133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175</v>
      </c>
      <c r="AQ186" s="100"/>
      <c r="AR186" s="100" t="s">
        <v>75</v>
      </c>
    </row>
    <row r="187" spans="3:44" ht="15" x14ac:dyDescent="0.25">
      <c r="C187" s="40" t="str">
        <f>"R-HC_Det"&amp;"_"&amp;RIGHT(E187,3)&amp;"_HPN2-F"</f>
        <v>R-HC_Det_ELC_HPN2-F</v>
      </c>
      <c r="D187" s="30" t="s">
        <v>747</v>
      </c>
      <c r="E187" s="30" t="s">
        <v>148</v>
      </c>
      <c r="F187" s="30" t="s">
        <v>558</v>
      </c>
      <c r="G187" s="30" t="s">
        <v>795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v>1.0999999999999999</v>
      </c>
      <c r="M187" s="29">
        <v>1.1666666666666667</v>
      </c>
      <c r="N187" s="29">
        <v>1.3333333333333333</v>
      </c>
      <c r="O187" s="58">
        <v>1.5</v>
      </c>
      <c r="P187" s="40"/>
      <c r="Q187" s="29"/>
      <c r="R187" s="29"/>
      <c r="S187" s="58"/>
      <c r="T187" s="512">
        <v>20</v>
      </c>
      <c r="U187" s="29"/>
      <c r="V187" s="40">
        <f t="shared" si="132"/>
        <v>18.457803963833634</v>
      </c>
      <c r="W187" s="29">
        <f t="shared" si="132"/>
        <v>18.457803963833634</v>
      </c>
      <c r="X187" s="29">
        <f t="shared" si="132"/>
        <v>16.860661106690777</v>
      </c>
      <c r="Y187" s="58">
        <f t="shared" si="132"/>
        <v>16.860661106690777</v>
      </c>
      <c r="Z187" s="62"/>
      <c r="AA187" s="65"/>
      <c r="AB187" s="71"/>
      <c r="AC187" s="71"/>
      <c r="AD187" s="71"/>
      <c r="AE187" s="71"/>
      <c r="AF187" s="42"/>
      <c r="AG187" s="62">
        <f t="shared" si="133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175</v>
      </c>
      <c r="AQ187" s="100"/>
      <c r="AR187" s="100" t="s">
        <v>75</v>
      </c>
    </row>
    <row r="188" spans="3:44" ht="15" x14ac:dyDescent="0.25">
      <c r="C188" s="246" t="str">
        <f>"R-HC_Det"&amp;"_"&amp;RIGHT(E188,3)&amp;"_HPN2-G"</f>
        <v>R-HC_Det_ELC_HPN2-G</v>
      </c>
      <c r="D188" s="27" t="s">
        <v>748</v>
      </c>
      <c r="E188" s="27" t="s">
        <v>148</v>
      </c>
      <c r="F188" s="27" t="s">
        <v>558</v>
      </c>
      <c r="G188" s="27" t="s">
        <v>796</v>
      </c>
      <c r="H188" s="246">
        <v>1.0999999999999999</v>
      </c>
      <c r="I188" s="26">
        <v>1.1666666666666667</v>
      </c>
      <c r="J188" s="26">
        <v>1.3333333333333333</v>
      </c>
      <c r="K188" s="59">
        <v>1.5</v>
      </c>
      <c r="L188" s="246">
        <v>1.0999999999999999</v>
      </c>
      <c r="M188" s="26">
        <v>1.1666666666666667</v>
      </c>
      <c r="N188" s="26">
        <v>1.3333333333333333</v>
      </c>
      <c r="O188" s="59">
        <v>1.5</v>
      </c>
      <c r="P188" s="246"/>
      <c r="Q188" s="26"/>
      <c r="R188" s="26"/>
      <c r="S188" s="59"/>
      <c r="T188" s="514">
        <v>20</v>
      </c>
      <c r="U188" s="26"/>
      <c r="V188" s="246">
        <f t="shared" si="132"/>
        <v>18.734067896323083</v>
      </c>
      <c r="W188" s="26">
        <f t="shared" si="132"/>
        <v>18.734067896323083</v>
      </c>
      <c r="X188" s="26">
        <f t="shared" si="132"/>
        <v>17.136925039180223</v>
      </c>
      <c r="Y188" s="59">
        <f t="shared" si="132"/>
        <v>17.136925039180223</v>
      </c>
      <c r="Z188" s="64"/>
      <c r="AA188" s="67"/>
      <c r="AB188" s="515"/>
      <c r="AC188" s="515"/>
      <c r="AD188" s="515"/>
      <c r="AE188" s="515"/>
      <c r="AF188" s="49"/>
      <c r="AG188" s="64">
        <f t="shared" si="133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175</v>
      </c>
      <c r="AQ188" s="100"/>
      <c r="AR188" s="100" t="s">
        <v>75</v>
      </c>
    </row>
    <row r="189" spans="3:44" ht="15" x14ac:dyDescent="0.25">
      <c r="C189" s="33" t="s">
        <v>272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175</v>
      </c>
      <c r="AQ189" s="100"/>
      <c r="AR189" s="100" t="s">
        <v>75</v>
      </c>
    </row>
    <row r="190" spans="3:44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694</v>
      </c>
      <c r="F190" s="88" t="s">
        <v>660</v>
      </c>
      <c r="G190" s="88" t="s">
        <v>725</v>
      </c>
      <c r="H190" s="373">
        <f>JRC_Data!AC28/0.81</f>
        <v>1.6666666666666667</v>
      </c>
      <c r="I190" s="373">
        <f>JRC_Data!AD28/0.81</f>
        <v>1.7901234567901232</v>
      </c>
      <c r="J190" s="373">
        <f>JRC_Data!AE28/0.81</f>
        <v>2.0987654320987654</v>
      </c>
      <c r="K190" s="373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34">I190*0.7</f>
        <v>1.2530864197530862</v>
      </c>
      <c r="R190" s="20">
        <f t="shared" ref="R190:R191" si="135">J190*0.7</f>
        <v>1.4691358024691357</v>
      </c>
      <c r="S190" s="56">
        <f t="shared" ref="S190:S191" si="136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3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175</v>
      </c>
      <c r="AQ190" s="100"/>
      <c r="AR190" s="100" t="s">
        <v>75</v>
      </c>
    </row>
    <row r="191" spans="3:44" ht="15" x14ac:dyDescent="0.25">
      <c r="C191" s="246" t="str">
        <f>"R-SW_Det"&amp;"_"&amp;RIGHT(E191,3)&amp;"_HPN2"</f>
        <v>R-SW_Det_GAS_HPN2</v>
      </c>
      <c r="D191" s="26" t="s">
        <v>112</v>
      </c>
      <c r="E191" s="27" t="s">
        <v>694</v>
      </c>
      <c r="F191" s="27" t="s">
        <v>660</v>
      </c>
      <c r="G191" s="27" t="s">
        <v>725</v>
      </c>
      <c r="H191" s="374">
        <f>JRC_Data!AC30/0.9</f>
        <v>1.6666666666666665</v>
      </c>
      <c r="I191" s="374">
        <f>JRC_Data!AD30/0.9</f>
        <v>1.7222222222222223</v>
      </c>
      <c r="J191" s="374">
        <f>JRC_Data!AE30/0.9</f>
        <v>1.7222222222222223</v>
      </c>
      <c r="K191" s="374">
        <f>JRC_Data!AF30/0.9</f>
        <v>1.7777777777777779</v>
      </c>
      <c r="L191" s="49"/>
      <c r="M191" s="50"/>
      <c r="N191" s="50"/>
      <c r="O191" s="51"/>
      <c r="P191" s="246">
        <f>H191*0.7</f>
        <v>1.1666666666666665</v>
      </c>
      <c r="Q191" s="26">
        <f t="shared" si="134"/>
        <v>1.2055555555555555</v>
      </c>
      <c r="R191" s="26">
        <f t="shared" si="135"/>
        <v>1.2055555555555555</v>
      </c>
      <c r="S191" s="59">
        <f t="shared" si="136"/>
        <v>1.2444444444444445</v>
      </c>
      <c r="T191" s="27">
        <v>15</v>
      </c>
      <c r="U191" s="51"/>
      <c r="V191" s="246">
        <f>(JRC_Data!BB30/1000)*($U$224/$U$223)</f>
        <v>51.259652509652504</v>
      </c>
      <c r="W191" s="246">
        <f>(JRC_Data!BC30/1000)*($U$224/$U$223)</f>
        <v>51.259652509652504</v>
      </c>
      <c r="X191" s="246">
        <f>(JRC_Data!BD30/1000)*($U$224/$U$223)</f>
        <v>51.259652509652504</v>
      </c>
      <c r="Y191" s="246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3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175</v>
      </c>
      <c r="AQ191" s="100"/>
      <c r="AR191" s="100" t="s">
        <v>75</v>
      </c>
    </row>
    <row r="192" spans="3:44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175</v>
      </c>
      <c r="AQ192" s="100"/>
      <c r="AR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695</v>
      </c>
      <c r="F193" s="115" t="s">
        <v>660</v>
      </c>
      <c r="G193" s="94" t="s">
        <v>725</v>
      </c>
      <c r="H193" s="373">
        <f>1*$AD$48+JRC_Data!AD18*(1.2-$AD$48)</f>
        <v>3.1549999999999998</v>
      </c>
      <c r="I193" s="373">
        <f>1*$AD$48+JRC_Data!AE18*(1.2-$AD$48)</f>
        <v>3.4950000000000001</v>
      </c>
      <c r="J193" s="373">
        <f>1*$AD$48+JRC_Data!AF18*(1.2-$AD$48)</f>
        <v>3.75</v>
      </c>
      <c r="K193" s="373">
        <f>1*$AD$48+JRC_Data!AG18*(1.2-$AD$48)</f>
        <v>3.75</v>
      </c>
      <c r="L193" s="49"/>
      <c r="M193" s="50"/>
      <c r="N193" s="50"/>
      <c r="O193" s="51"/>
      <c r="P193" s="246">
        <f>H193*0.7</f>
        <v>2.2084999999999999</v>
      </c>
      <c r="Q193" s="26">
        <f t="shared" ref="Q193" si="137">I193*0.7</f>
        <v>2.4464999999999999</v>
      </c>
      <c r="R193" s="26">
        <f t="shared" ref="R193" si="138">J193*0.7</f>
        <v>2.625</v>
      </c>
      <c r="S193" s="59">
        <f t="shared" ref="S193" si="139">K193*0.7</f>
        <v>2.625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6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3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"R-SW_Det"&amp;"_"&amp;RIGHT(E195,3)&amp;"_N1"</f>
        <v>R-SW_Det_HET_N1</v>
      </c>
      <c r="D195" s="20" t="s">
        <v>114</v>
      </c>
      <c r="E195" s="88" t="s">
        <v>257</v>
      </c>
      <c r="F195" s="88"/>
      <c r="G195" s="88" t="s">
        <v>725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40">
        <v>1</v>
      </c>
      <c r="Q195" s="241">
        <v>1</v>
      </c>
      <c r="R195" s="241">
        <v>1</v>
      </c>
      <c r="S195" s="242">
        <v>1</v>
      </c>
      <c r="T195" s="52">
        <v>20</v>
      </c>
      <c r="U195" s="48"/>
      <c r="V195" s="19">
        <f>(JRC_Data!BB62/1000)*($U$224/$U$218)*1.5</f>
        <v>4.6583333333333332</v>
      </c>
      <c r="W195" s="19">
        <f>(JRC_Data!BC62/1000)*($U$224/$U$218)*1.5</f>
        <v>4.6583333333333332</v>
      </c>
      <c r="X195" s="19">
        <f>(JRC_Data!BD62/1000)*($U$224/$U$218)*1.5</f>
        <v>4.6583333333333332</v>
      </c>
      <c r="Y195" s="19">
        <f>(JRC_Data!BE62/1000)*($U$224/$U$218)*1.5</f>
        <v>4.6583333333333332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3"/>
        <v>1.1983680000000001</v>
      </c>
      <c r="AH195" s="87"/>
      <c r="AI195" s="65">
        <v>2100</v>
      </c>
      <c r="AJ195" s="87">
        <v>38</v>
      </c>
      <c r="AL195" s="100"/>
    </row>
    <row r="196" spans="3:38" ht="15" x14ac:dyDescent="0.25">
      <c r="C196" s="246" t="str">
        <f>"R-SW_Det"&amp;"_"&amp;RIGHT(E196,3)&amp;"_N2"</f>
        <v>R-SW_Det_HET_N2</v>
      </c>
      <c r="D196" s="26" t="s">
        <v>115</v>
      </c>
      <c r="E196" s="27" t="s">
        <v>257</v>
      </c>
      <c r="F196" s="27"/>
      <c r="G196" s="27" t="s">
        <v>725</v>
      </c>
      <c r="H196" s="246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47">
        <v>1</v>
      </c>
      <c r="Q196" s="248">
        <v>1</v>
      </c>
      <c r="R196" s="248">
        <v>1</v>
      </c>
      <c r="S196" s="249">
        <v>1</v>
      </c>
      <c r="T196" s="55">
        <v>20</v>
      </c>
      <c r="U196" s="51"/>
      <c r="V196" s="246">
        <f>(JRC_Data!BB62/1000)*($U$224/$U$218)*1.5</f>
        <v>4.6583333333333332</v>
      </c>
      <c r="W196" s="246">
        <f>(JRC_Data!BC62/1000)*($U$224/$U$218)*1.5</f>
        <v>4.6583333333333332</v>
      </c>
      <c r="X196" s="246">
        <f>(JRC_Data!BD62/1000)*($U$224/$U$218)*1.5</f>
        <v>4.6583333333333332</v>
      </c>
      <c r="Y196" s="246">
        <f>(JRC_Data!BE62/1000)*($U$224/$U$218)*1.5</f>
        <v>4.6583333333333332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3"/>
        <v>1.1983680000000001</v>
      </c>
      <c r="AH196" s="67"/>
      <c r="AI196" s="66">
        <v>2100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148</v>
      </c>
      <c r="F198" s="88"/>
      <c r="G198" s="56" t="s">
        <v>145</v>
      </c>
      <c r="H198" s="46"/>
      <c r="I198" s="47"/>
      <c r="J198" s="47"/>
      <c r="K198" s="48"/>
      <c r="L198" s="46"/>
      <c r="M198" s="47"/>
      <c r="N198" s="47"/>
      <c r="O198" s="48"/>
      <c r="P198" s="240">
        <v>1</v>
      </c>
      <c r="Q198" s="241">
        <v>1</v>
      </c>
      <c r="R198" s="241">
        <v>1</v>
      </c>
      <c r="S198" s="242">
        <v>1</v>
      </c>
      <c r="T198" s="52">
        <v>20</v>
      </c>
      <c r="U198" s="48"/>
      <c r="V198" s="19">
        <f>(JRC_Data!BB48/1000)*($U$217/$U$216)</f>
        <v>4.3022222222222215</v>
      </c>
      <c r="W198" s="19">
        <f>(JRC_Data!BC48/1000)*($U$217/$U$216)</f>
        <v>4.3022222222222215</v>
      </c>
      <c r="X198" s="19">
        <f>(JRC_Data!BD48/1000)*($U$217/$U$216)</f>
        <v>4.3022222222222215</v>
      </c>
      <c r="Y198" s="19">
        <f>(JRC_Data!BE48/1000)*($U$217/$U$216)</f>
        <v>4.3022222222222215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3"/>
        <v>0.25228800000000001</v>
      </c>
      <c r="AH198" s="87"/>
      <c r="AI198" s="87">
        <v>2019</v>
      </c>
      <c r="AJ198" s="87">
        <v>8</v>
      </c>
    </row>
    <row r="199" spans="3:38" x14ac:dyDescent="0.2">
      <c r="C199" s="246" t="str">
        <f>"R-WH_Det"&amp;"_"&amp;RIGHT(E199,3)&amp;"_N1"</f>
        <v>R-WH_Det_SOL_N1</v>
      </c>
      <c r="D199" s="26" t="s">
        <v>118</v>
      </c>
      <c r="E199" s="27" t="s">
        <v>266</v>
      </c>
      <c r="F199" s="27"/>
      <c r="G199" s="59" t="s">
        <v>145</v>
      </c>
      <c r="H199" s="49"/>
      <c r="I199" s="50"/>
      <c r="J199" s="50"/>
      <c r="K199" s="51"/>
      <c r="L199" s="49"/>
      <c r="M199" s="50"/>
      <c r="N199" s="50"/>
      <c r="O199" s="51"/>
      <c r="P199" s="237">
        <v>1</v>
      </c>
      <c r="Q199" s="238">
        <v>1</v>
      </c>
      <c r="R199" s="238">
        <v>1</v>
      </c>
      <c r="S199" s="239">
        <v>1</v>
      </c>
      <c r="T199" s="53">
        <v>25</v>
      </c>
      <c r="U199" s="22">
        <v>30</v>
      </c>
      <c r="V199" s="22">
        <f>(JRC_Data!BB45/1000)*($U$217/$U$216)</f>
        <v>5.8079999999999998</v>
      </c>
      <c r="W199" s="22">
        <f>(JRC_Data!BC45/1000)*($U$217/$U$216)</f>
        <v>5.4853333333333323</v>
      </c>
      <c r="X199" s="22">
        <f>(JRC_Data!BD45/1000)*($U$217/$U$216)</f>
        <v>4.9475555555555539</v>
      </c>
      <c r="Y199" s="22">
        <f>(JRC_Data!BE45/1000)*($U$217/$U$216)</f>
        <v>3.9795555555555553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3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276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148</v>
      </c>
      <c r="F201" s="111"/>
      <c r="G201" s="112" t="s">
        <v>144</v>
      </c>
      <c r="H201" s="109"/>
      <c r="I201" s="110"/>
      <c r="J201" s="110"/>
      <c r="K201" s="110"/>
      <c r="L201" s="252">
        <v>1</v>
      </c>
      <c r="M201" s="253">
        <v>1.0666666666666667</v>
      </c>
      <c r="N201" s="253">
        <v>1.2333333333333334</v>
      </c>
      <c r="O201" s="253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3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x14ac:dyDescent="0.2">
      <c r="J212" s="11"/>
    </row>
    <row r="213" spans="10:36" x14ac:dyDescent="0.2">
      <c r="J213" s="11"/>
      <c r="T213" s="3" t="s">
        <v>519</v>
      </c>
    </row>
    <row r="214" spans="10:36" x14ac:dyDescent="0.2">
      <c r="J214" s="11"/>
      <c r="T214" s="3" t="s">
        <v>210</v>
      </c>
      <c r="U214" s="3" t="s">
        <v>521</v>
      </c>
      <c r="V214" s="3" t="s">
        <v>516</v>
      </c>
    </row>
    <row r="215" spans="10:36" x14ac:dyDescent="0.2">
      <c r="J215" s="11"/>
      <c r="T215" s="370">
        <v>3</v>
      </c>
      <c r="U215" s="371">
        <f t="shared" ref="U215:U224" si="140">V215/$V$223</f>
        <v>0.72929037751472525</v>
      </c>
      <c r="V215" s="372">
        <f>(V216/V220)*V217</f>
        <v>1888.8620777631384</v>
      </c>
    </row>
    <row r="216" spans="10:36" x14ac:dyDescent="0.2">
      <c r="J216" s="11"/>
      <c r="T216" s="370">
        <v>5</v>
      </c>
      <c r="U216" s="371">
        <f t="shared" si="140"/>
        <v>0.79101166159768732</v>
      </c>
      <c r="V216" s="372">
        <f>(V217/V221)*V218</f>
        <v>2048.7202035380101</v>
      </c>
    </row>
    <row r="217" spans="10:36" ht="13.5" thickBot="1" x14ac:dyDescent="0.25">
      <c r="T217" s="370">
        <v>8</v>
      </c>
      <c r="U217" s="371">
        <f t="shared" si="140"/>
        <v>0.85077698714062355</v>
      </c>
      <c r="V217" s="372">
        <f>(V218/V221)*V219</f>
        <v>2203.5123966942151</v>
      </c>
      <c r="Z217" s="4"/>
      <c r="AC217" s="124"/>
      <c r="AE217" s="3"/>
      <c r="AG217" s="124" t="s">
        <v>817</v>
      </c>
      <c r="AH217" s="124" t="s">
        <v>816</v>
      </c>
    </row>
    <row r="218" spans="10:36" ht="13.5" thickBot="1" x14ac:dyDescent="0.25">
      <c r="T218" s="370">
        <v>10</v>
      </c>
      <c r="U218" s="371">
        <f t="shared" si="140"/>
        <v>0.86872586872586877</v>
      </c>
      <c r="V218" s="370">
        <f>V221-(V223-V221)</f>
        <v>2250</v>
      </c>
      <c r="Z218" s="617" t="s">
        <v>810</v>
      </c>
      <c r="AA218" s="618"/>
      <c r="AB218" s="618"/>
      <c r="AC218" s="619"/>
      <c r="AD218" s="124" t="s">
        <v>811</v>
      </c>
      <c r="AE218" s="124"/>
      <c r="AF218" s="124" t="s">
        <v>814</v>
      </c>
      <c r="AG218" s="124" t="s">
        <v>55</v>
      </c>
      <c r="AH218" s="124" t="s">
        <v>250</v>
      </c>
      <c r="AI218" s="549" t="s">
        <v>251</v>
      </c>
      <c r="AJ218" s="549" t="s">
        <v>252</v>
      </c>
    </row>
    <row r="219" spans="10:36" x14ac:dyDescent="0.2">
      <c r="L219" s="621" t="s">
        <v>504</v>
      </c>
      <c r="M219" s="621"/>
      <c r="N219" s="621"/>
      <c r="O219" s="621"/>
      <c r="P219" s="621"/>
      <c r="Q219" s="621"/>
      <c r="T219" s="3">
        <v>15</v>
      </c>
      <c r="U219" s="361">
        <f t="shared" si="140"/>
        <v>0.91505791505791501</v>
      </c>
      <c r="V219" s="3">
        <v>2370</v>
      </c>
      <c r="X219" s="4"/>
      <c r="Y219" s="4"/>
      <c r="Z219" s="546" t="s">
        <v>808</v>
      </c>
      <c r="AA219" s="547" t="s">
        <v>797</v>
      </c>
      <c r="AB219" s="547" t="s">
        <v>798</v>
      </c>
      <c r="AC219" s="548" t="s">
        <v>820</v>
      </c>
      <c r="AD219" s="124" t="s">
        <v>812</v>
      </c>
      <c r="AF219" s="620" t="s">
        <v>813</v>
      </c>
      <c r="AG219" s="620"/>
    </row>
    <row r="220" spans="10:36" x14ac:dyDescent="0.2">
      <c r="L220" s="124" t="s">
        <v>815</v>
      </c>
      <c r="M220" s="3" t="s">
        <v>512</v>
      </c>
      <c r="N220" s="3" t="s">
        <v>513</v>
      </c>
      <c r="O220" s="4" t="s">
        <v>510</v>
      </c>
      <c r="P220" s="360" t="s">
        <v>514</v>
      </c>
      <c r="Q220" s="4" t="s">
        <v>509</v>
      </c>
      <c r="T220" s="3">
        <v>18</v>
      </c>
      <c r="U220" s="361">
        <f t="shared" si="140"/>
        <v>0.92277992277992282</v>
      </c>
      <c r="V220" s="3">
        <v>2390</v>
      </c>
      <c r="X220" s="4"/>
      <c r="Y220" s="4"/>
      <c r="Z220" s="537" t="s">
        <v>799</v>
      </c>
      <c r="AA220" s="538" t="s">
        <v>803</v>
      </c>
      <c r="AB220" s="2">
        <v>35</v>
      </c>
      <c r="AC220" s="539">
        <v>3.33</v>
      </c>
      <c r="AD220" s="3">
        <v>630</v>
      </c>
      <c r="AF220" s="476">
        <v>4.3</v>
      </c>
      <c r="AG220" s="476">
        <v>1.6</v>
      </c>
      <c r="AH220" s="554">
        <f>$AD$224*$L$222*(AG220-1)</f>
        <v>1890.0000000000002</v>
      </c>
      <c r="AI220" s="554">
        <f>$AD$224*$L$223*(AG220-1)</f>
        <v>2646.0000000000005</v>
      </c>
      <c r="AJ220" s="554">
        <f>$AD$224*$L$224*(AG220-1)</f>
        <v>3780.0000000000005</v>
      </c>
    </row>
    <row r="221" spans="10:36" x14ac:dyDescent="0.2">
      <c r="M221" s="4">
        <v>111</v>
      </c>
      <c r="N221" s="4" t="s">
        <v>254</v>
      </c>
      <c r="O221" s="4">
        <v>24</v>
      </c>
      <c r="P221" s="4">
        <f>O221/M221</f>
        <v>0.21621621621621623</v>
      </c>
      <c r="Q221" s="4">
        <f>O221*1.25</f>
        <v>30</v>
      </c>
      <c r="T221" s="370">
        <v>20</v>
      </c>
      <c r="U221" s="371">
        <f t="shared" si="140"/>
        <v>0.93436293436293438</v>
      </c>
      <c r="V221" s="370">
        <f>AVERAGE(V220,V222)</f>
        <v>2420</v>
      </c>
      <c r="X221" s="4"/>
      <c r="Y221" s="4"/>
      <c r="Z221" s="540" t="s">
        <v>483</v>
      </c>
      <c r="AA221" s="541" t="s">
        <v>804</v>
      </c>
      <c r="AB221" s="542">
        <v>40</v>
      </c>
      <c r="AC221" s="543">
        <v>3.16</v>
      </c>
      <c r="AD221" s="4">
        <v>630</v>
      </c>
      <c r="AF221" s="3">
        <v>2.7</v>
      </c>
      <c r="AG221" s="476">
        <v>1.3</v>
      </c>
      <c r="AH221" s="554">
        <f>$AD$224*$L$222*(AG221-1)</f>
        <v>945.00000000000011</v>
      </c>
      <c r="AI221" s="554">
        <f>$AD$224*$L$223*(AG221-1)</f>
        <v>1323.0000000000002</v>
      </c>
      <c r="AJ221" s="554">
        <f>$AD$224*$L$224*(AG221-1)</f>
        <v>1890.0000000000002</v>
      </c>
    </row>
    <row r="222" spans="10:36" x14ac:dyDescent="0.2">
      <c r="L222" s="3">
        <v>5</v>
      </c>
      <c r="M222" s="4">
        <v>70</v>
      </c>
      <c r="N222" s="4" t="s">
        <v>505</v>
      </c>
      <c r="O222" s="4">
        <v>15</v>
      </c>
      <c r="P222" s="4">
        <f>O222/M222</f>
        <v>0.21428571428571427</v>
      </c>
      <c r="Q222" s="4">
        <f>O222*1.25</f>
        <v>18.75</v>
      </c>
      <c r="T222" s="3">
        <v>24</v>
      </c>
      <c r="U222" s="361">
        <f t="shared" si="140"/>
        <v>0.94594594594594594</v>
      </c>
      <c r="V222" s="3">
        <v>2450</v>
      </c>
      <c r="X222" s="4"/>
      <c r="Y222" s="4"/>
      <c r="Z222" s="537" t="s">
        <v>800</v>
      </c>
      <c r="AA222" s="538" t="s">
        <v>805</v>
      </c>
      <c r="AB222" s="2">
        <v>45</v>
      </c>
      <c r="AC222" s="539">
        <v>2.84</v>
      </c>
      <c r="AD222" s="4">
        <v>630</v>
      </c>
      <c r="AF222" s="476">
        <v>1.9</v>
      </c>
      <c r="AG222" s="476">
        <v>1.2</v>
      </c>
      <c r="AH222" s="554">
        <f>$AD$224*$L$222*(AG222-1)</f>
        <v>629.99999999999989</v>
      </c>
      <c r="AI222" s="554">
        <f>$AD$224*$L$223*(AG222-1)</f>
        <v>881.99999999999977</v>
      </c>
      <c r="AJ222" s="554">
        <f>$AD$224*$L$224*(AG222-1)</f>
        <v>1259.9999999999998</v>
      </c>
    </row>
    <row r="223" spans="10:36" x14ac:dyDescent="0.2">
      <c r="L223" s="3">
        <v>7</v>
      </c>
      <c r="M223" s="4">
        <v>99</v>
      </c>
      <c r="N223" s="4" t="s">
        <v>506</v>
      </c>
      <c r="O223" s="4">
        <v>20</v>
      </c>
      <c r="P223" s="4">
        <f>O223/M223</f>
        <v>0.20202020202020202</v>
      </c>
      <c r="Q223" s="4">
        <f>O223*1.25</f>
        <v>25</v>
      </c>
      <c r="T223" s="3">
        <v>30</v>
      </c>
      <c r="U223" s="361">
        <f t="shared" si="140"/>
        <v>1</v>
      </c>
      <c r="V223" s="3">
        <v>2590</v>
      </c>
      <c r="X223" s="4"/>
      <c r="Y223" s="4"/>
      <c r="Z223" s="540" t="s">
        <v>801</v>
      </c>
      <c r="AA223" s="541" t="s">
        <v>806</v>
      </c>
      <c r="AB223" s="542">
        <v>50</v>
      </c>
      <c r="AC223" s="543">
        <v>2.6</v>
      </c>
      <c r="AD223" s="4">
        <v>630</v>
      </c>
      <c r="AF223" s="542">
        <v>1.5</v>
      </c>
      <c r="AG223" s="3">
        <v>1.1000000000000001</v>
      </c>
      <c r="AH223" s="554">
        <f>$AD$224*$L$222*(AG223-1)</f>
        <v>315.00000000000028</v>
      </c>
      <c r="AI223" s="554">
        <f>$AD$224*$L$223*(AG223-1)</f>
        <v>441.0000000000004</v>
      </c>
      <c r="AJ223" s="554">
        <f>$AD$224*$L$224*(AG223-1)</f>
        <v>630.00000000000057</v>
      </c>
    </row>
    <row r="224" spans="10:36" ht="13.5" thickBot="1" x14ac:dyDescent="0.25">
      <c r="L224" s="3">
        <v>10</v>
      </c>
      <c r="M224" s="4">
        <v>150</v>
      </c>
      <c r="N224" s="4" t="s">
        <v>507</v>
      </c>
      <c r="O224" s="4">
        <v>30</v>
      </c>
      <c r="P224" s="4">
        <f>O224/M224</f>
        <v>0.2</v>
      </c>
      <c r="Q224" s="4">
        <f>O224*1.25</f>
        <v>37.5</v>
      </c>
      <c r="T224" s="3">
        <v>35</v>
      </c>
      <c r="U224" s="361">
        <f t="shared" si="140"/>
        <v>1.0791505791505791</v>
      </c>
      <c r="V224" s="3">
        <v>2795</v>
      </c>
      <c r="Z224" s="544" t="s">
        <v>802</v>
      </c>
      <c r="AA224" s="545" t="s">
        <v>807</v>
      </c>
      <c r="AB224" s="545" t="s">
        <v>809</v>
      </c>
      <c r="AC224" s="555">
        <v>2.35</v>
      </c>
      <c r="AD224" s="4">
        <v>630</v>
      </c>
      <c r="AF224" s="476">
        <v>1</v>
      </c>
      <c r="AG224" s="3">
        <v>1</v>
      </c>
      <c r="AH224" s="554">
        <f>$AD$224*$L$222*(AG224-1)</f>
        <v>0</v>
      </c>
      <c r="AI224" s="554">
        <f>$AD$224*$L$223*(AG224-1)</f>
        <v>0</v>
      </c>
      <c r="AJ224" s="554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508</v>
      </c>
      <c r="N226" s="4"/>
      <c r="O226" s="4"/>
      <c r="P226" s="4"/>
      <c r="Q226" s="4"/>
    </row>
    <row r="227" spans="8:38" x14ac:dyDescent="0.2">
      <c r="M227" s="4" t="s">
        <v>511</v>
      </c>
      <c r="N227" s="4"/>
      <c r="O227" s="4"/>
      <c r="P227" s="4"/>
      <c r="Q227" s="4"/>
    </row>
    <row r="228" spans="8:38" x14ac:dyDescent="0.2">
      <c r="M228" s="201" t="s">
        <v>517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518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622" t="s">
        <v>819</v>
      </c>
      <c r="AC230" s="622"/>
      <c r="AD230" s="622"/>
      <c r="AE230" s="622"/>
      <c r="AG230" s="602" t="s">
        <v>816</v>
      </c>
      <c r="AH230" s="603"/>
      <c r="AI230" s="604"/>
      <c r="AJ230" s="602" t="s">
        <v>65</v>
      </c>
      <c r="AK230" s="603"/>
      <c r="AL230" s="604"/>
    </row>
    <row r="231" spans="8:38" ht="13.5" thickBot="1" x14ac:dyDescent="0.25">
      <c r="H231" s="4"/>
      <c r="I231" s="4"/>
      <c r="J231" s="4"/>
      <c r="K231" s="4"/>
      <c r="AB231" s="4"/>
      <c r="AC231" s="4" t="s">
        <v>250</v>
      </c>
      <c r="AD231" s="4" t="s">
        <v>251</v>
      </c>
      <c r="AE231" s="4" t="s">
        <v>252</v>
      </c>
      <c r="AG231" s="573" t="s">
        <v>250</v>
      </c>
      <c r="AH231" s="574" t="s">
        <v>251</v>
      </c>
      <c r="AI231" s="575" t="s">
        <v>252</v>
      </c>
      <c r="AJ231" s="576" t="s">
        <v>250</v>
      </c>
      <c r="AK231" s="574" t="s">
        <v>251</v>
      </c>
      <c r="AL231" s="575" t="s">
        <v>252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818</v>
      </c>
      <c r="AC232" s="550">
        <v>1.5</v>
      </c>
      <c r="AD232" s="550">
        <v>1.54</v>
      </c>
      <c r="AE232" s="550">
        <v>1.95</v>
      </c>
      <c r="AF232" s="124" t="s">
        <v>818</v>
      </c>
      <c r="AG232" s="556">
        <v>0</v>
      </c>
      <c r="AH232" s="557">
        <v>0</v>
      </c>
      <c r="AI232" s="558">
        <v>0</v>
      </c>
      <c r="AJ232" s="557">
        <v>1</v>
      </c>
      <c r="AK232" s="557">
        <v>1</v>
      </c>
      <c r="AL232" s="558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243</v>
      </c>
      <c r="AC233" s="550">
        <v>1.98</v>
      </c>
      <c r="AD233" s="550">
        <v>2.3199999999999998</v>
      </c>
      <c r="AE233" s="553">
        <v>2.61</v>
      </c>
      <c r="AF233" s="124" t="s">
        <v>243</v>
      </c>
      <c r="AG233" s="556">
        <v>0</v>
      </c>
      <c r="AH233" s="557">
        <v>0</v>
      </c>
      <c r="AI233" s="568">
        <f>AJ220-AJ222</f>
        <v>2520.0000000000009</v>
      </c>
      <c r="AJ233" s="557">
        <v>1</v>
      </c>
      <c r="AK233" s="557">
        <v>1</v>
      </c>
      <c r="AL233" s="559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244</v>
      </c>
      <c r="AC234" s="550">
        <v>2.23</v>
      </c>
      <c r="AD234" s="553">
        <v>2.85</v>
      </c>
      <c r="AE234" s="553">
        <v>3.01</v>
      </c>
      <c r="AF234" s="124" t="s">
        <v>244</v>
      </c>
      <c r="AG234" s="556">
        <v>0</v>
      </c>
      <c r="AH234" s="567">
        <f>AI220-AI222</f>
        <v>1764.0000000000007</v>
      </c>
      <c r="AI234" s="568">
        <f>AJ220-AJ222</f>
        <v>2520.0000000000009</v>
      </c>
      <c r="AJ234" s="557">
        <v>1</v>
      </c>
      <c r="AK234" s="560">
        <f>AC222/AC220</f>
        <v>0.85285285285285284</v>
      </c>
      <c r="AL234" s="559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245</v>
      </c>
      <c r="AC235" s="553">
        <v>2.7</v>
      </c>
      <c r="AD235" s="553">
        <v>3.5</v>
      </c>
      <c r="AE235" s="552">
        <v>3.78</v>
      </c>
      <c r="AF235" s="124" t="s">
        <v>245</v>
      </c>
      <c r="AG235" s="566">
        <f>AH220-AH222</f>
        <v>1260.0000000000005</v>
      </c>
      <c r="AH235" s="567">
        <f>AI220-AI222</f>
        <v>1764.0000000000007</v>
      </c>
      <c r="AI235" s="570">
        <f>AJ220-AJ223</f>
        <v>3150</v>
      </c>
      <c r="AJ235" s="560">
        <f>AC222/AC220</f>
        <v>0.85285285285285284</v>
      </c>
      <c r="AK235" s="560">
        <f>AC222/AC220</f>
        <v>0.85285285285285284</v>
      </c>
      <c r="AL235" s="572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246</v>
      </c>
      <c r="AC236" s="553">
        <v>3.3</v>
      </c>
      <c r="AD236" s="552">
        <v>4.1100000000000003</v>
      </c>
      <c r="AE236" s="552">
        <v>4.5</v>
      </c>
      <c r="AF236" s="124" t="s">
        <v>246</v>
      </c>
      <c r="AG236" s="566">
        <f>AH220-AH222</f>
        <v>1260.0000000000005</v>
      </c>
      <c r="AH236" s="569">
        <f>AI220-AI223</f>
        <v>2205</v>
      </c>
      <c r="AI236" s="570">
        <f>AJ220-AJ223</f>
        <v>3150</v>
      </c>
      <c r="AJ236" s="560">
        <f>AC223/AC221</f>
        <v>0.82278481012658222</v>
      </c>
      <c r="AK236" s="571">
        <f>AC223/AC220</f>
        <v>0.78078078078078084</v>
      </c>
      <c r="AL236" s="572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247</v>
      </c>
      <c r="AC237" s="551">
        <v>4.8</v>
      </c>
      <c r="AD237" s="551">
        <v>5.0999999999999996</v>
      </c>
      <c r="AE237" s="551">
        <v>6</v>
      </c>
      <c r="AF237" s="124" t="s">
        <v>247</v>
      </c>
      <c r="AG237" s="563">
        <f>AH220-AH223</f>
        <v>1575</v>
      </c>
      <c r="AH237" s="564">
        <f>AI220-AI224</f>
        <v>2646.0000000000005</v>
      </c>
      <c r="AI237" s="565">
        <f>AJ220-AJ224</f>
        <v>3780.0000000000005</v>
      </c>
      <c r="AJ237" s="561">
        <f>AC224/AC220</f>
        <v>0.70570570570570568</v>
      </c>
      <c r="AK237" s="561">
        <f>AC224/AC220</f>
        <v>0.70570570570570568</v>
      </c>
      <c r="AL237" s="562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821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602" t="s">
        <v>816</v>
      </c>
      <c r="AH240" s="603"/>
      <c r="AI240" s="604"/>
      <c r="AJ240" s="602" t="s">
        <v>65</v>
      </c>
      <c r="AK240" s="603"/>
      <c r="AL240" s="604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73" t="s">
        <v>250</v>
      </c>
      <c r="AH241" s="574" t="s">
        <v>251</v>
      </c>
      <c r="AI241" s="575" t="s">
        <v>252</v>
      </c>
      <c r="AJ241" s="576" t="s">
        <v>250</v>
      </c>
      <c r="AK241" s="574" t="s">
        <v>251</v>
      </c>
      <c r="AL241" s="575" t="s">
        <v>252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556">
        <v>0</v>
      </c>
      <c r="AH242" s="557">
        <v>0</v>
      </c>
      <c r="AI242" s="558">
        <v>0</v>
      </c>
      <c r="AJ242" s="578">
        <v>1</v>
      </c>
      <c r="AK242" s="579">
        <v>1</v>
      </c>
      <c r="AL242" s="580">
        <v>1</v>
      </c>
    </row>
    <row r="243" spans="8:38" x14ac:dyDescent="0.2">
      <c r="AG243" s="556">
        <v>0</v>
      </c>
      <c r="AH243" s="557">
        <v>0</v>
      </c>
      <c r="AI243" s="568">
        <f>AI233</f>
        <v>2520.0000000000009</v>
      </c>
      <c r="AJ243" s="578">
        <v>1</v>
      </c>
      <c r="AK243" s="579">
        <v>1</v>
      </c>
      <c r="AL243" s="581">
        <f>AL233</f>
        <v>0.85285285285285284</v>
      </c>
    </row>
    <row r="244" spans="8:38" x14ac:dyDescent="0.2">
      <c r="AG244" s="556">
        <v>0</v>
      </c>
      <c r="AH244" s="567">
        <f>AH234</f>
        <v>1764.0000000000007</v>
      </c>
      <c r="AI244" s="568">
        <f>AI243+(AI247-AI243)/4</f>
        <v>2835.0000000000009</v>
      </c>
      <c r="AJ244" s="578">
        <v>1</v>
      </c>
      <c r="AK244" s="582">
        <f>AK234</f>
        <v>0.85285285285285284</v>
      </c>
      <c r="AL244" s="581">
        <f>AL243+(AL247-AL243)/4</f>
        <v>0.81606606606606602</v>
      </c>
    </row>
    <row r="245" spans="8:38" x14ac:dyDescent="0.2">
      <c r="AG245" s="566">
        <f>AG235</f>
        <v>1260.0000000000005</v>
      </c>
      <c r="AH245" s="567">
        <f>AH244+(AH247-AH244)/3</f>
        <v>2058.0000000000005</v>
      </c>
      <c r="AI245" s="570">
        <f>AI244+(AI247-AI243)/4</f>
        <v>3150.0000000000009</v>
      </c>
      <c r="AJ245" s="583">
        <f>AJ235</f>
        <v>0.85285285285285284</v>
      </c>
      <c r="AK245" s="582">
        <f>AK244+(AK247-AK244)/3</f>
        <v>0.80380380380380378</v>
      </c>
      <c r="AL245" s="584">
        <f>AL244+(AL247-AL243)/4</f>
        <v>0.7792792792792792</v>
      </c>
    </row>
    <row r="246" spans="8:38" x14ac:dyDescent="0.2">
      <c r="AG246" s="566">
        <f>(AG247+AG245)/2</f>
        <v>1417.5000000000002</v>
      </c>
      <c r="AH246" s="569">
        <f>AH245+(AH247-AH244)/3</f>
        <v>2352.0000000000005</v>
      </c>
      <c r="AI246" s="570">
        <f>AI245+(AI247-AI243)/4</f>
        <v>3465.0000000000009</v>
      </c>
      <c r="AJ246" s="583">
        <f>(AJ247+AJ245)/2</f>
        <v>0.77927927927927931</v>
      </c>
      <c r="AK246" s="585">
        <f>AK245+(AK247-AK244)/3</f>
        <v>0.75475475475475473</v>
      </c>
      <c r="AL246" s="584">
        <f>AL245+(AL247-AL243)/4</f>
        <v>0.74249249249249238</v>
      </c>
    </row>
    <row r="247" spans="8:38" ht="13.5" thickBot="1" x14ac:dyDescent="0.25">
      <c r="AG247" s="577">
        <f t="shared" ref="AG247" si="141">AG237</f>
        <v>1575</v>
      </c>
      <c r="AH247" s="564">
        <f>AH237</f>
        <v>2646.0000000000005</v>
      </c>
      <c r="AI247" s="565">
        <f>AI237</f>
        <v>3780.0000000000005</v>
      </c>
      <c r="AJ247" s="586">
        <f t="shared" ref="AJ247" si="142">AJ237</f>
        <v>0.70570570570570568</v>
      </c>
      <c r="AK247" s="587">
        <f>AK237</f>
        <v>0.70570570570570568</v>
      </c>
      <c r="AL247" s="588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8">
    <mergeCell ref="AJ230:AL230"/>
    <mergeCell ref="Z218:AC218"/>
    <mergeCell ref="AF219:AG219"/>
    <mergeCell ref="L219:Q219"/>
    <mergeCell ref="AB230:AE230"/>
    <mergeCell ref="AG230:AI230"/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V62:Y62"/>
    <mergeCell ref="H64:K64"/>
    <mergeCell ref="L64:O64"/>
    <mergeCell ref="P64:S64"/>
    <mergeCell ref="T64:U64"/>
    <mergeCell ref="V64:Y64"/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</row>
    <row r="3" spans="3:27" x14ac:dyDescent="0.2">
      <c r="C3" s="379"/>
      <c r="D3" s="379"/>
      <c r="E3" s="379"/>
      <c r="F3" s="5" t="s">
        <v>19</v>
      </c>
      <c r="G3" s="379"/>
      <c r="H3" s="379"/>
      <c r="I3" s="379"/>
      <c r="J3" s="379"/>
      <c r="K3" s="379"/>
      <c r="L3" s="379"/>
      <c r="M3" s="379"/>
      <c r="N3" s="37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552</v>
      </c>
      <c r="L4" s="17" t="s">
        <v>236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267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605" t="s">
        <v>86</v>
      </c>
      <c r="M5" s="606"/>
      <c r="N5" s="606"/>
      <c r="O5" s="607"/>
      <c r="P5" s="60"/>
      <c r="Q5" s="60" t="s">
        <v>87</v>
      </c>
      <c r="R5" s="60" t="s">
        <v>66</v>
      </c>
      <c r="S5" s="60"/>
      <c r="U5" s="60" t="s">
        <v>209</v>
      </c>
      <c r="V5" s="60"/>
      <c r="W5" s="60" t="s">
        <v>212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614" t="s">
        <v>503</v>
      </c>
      <c r="M6" s="616"/>
      <c r="N6" s="616"/>
      <c r="O6" s="615"/>
      <c r="P6" s="367" t="s">
        <v>515</v>
      </c>
      <c r="Q6" s="61" t="s">
        <v>34</v>
      </c>
      <c r="R6" s="367" t="s">
        <v>291</v>
      </c>
      <c r="S6" s="61" t="s">
        <v>94</v>
      </c>
      <c r="U6" s="61" t="s">
        <v>210</v>
      </c>
      <c r="V6" s="69" t="s">
        <v>213</v>
      </c>
      <c r="W6" s="61" t="s">
        <v>211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148</v>
      </c>
      <c r="F7" s="138" t="s">
        <v>149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56">
        <f>L35/$V7/1000</f>
        <v>0.432</v>
      </c>
      <c r="M7" s="256">
        <f>M35/$V7/1000</f>
        <v>0.432</v>
      </c>
      <c r="N7" s="256">
        <f>N35/$V7/1000</f>
        <v>0.432</v>
      </c>
      <c r="O7" s="256">
        <f>O35/$V7/1000</f>
        <v>0.432</v>
      </c>
      <c r="P7" s="142"/>
      <c r="Q7" s="142"/>
      <c r="R7" s="400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98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148</v>
      </c>
      <c r="F8" s="136" t="s">
        <v>150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57">
        <f>$W$8/1000</f>
        <v>0.86975000000000002</v>
      </c>
      <c r="M8" s="257">
        <f>$W$8/1000</f>
        <v>0.86975000000000002</v>
      </c>
      <c r="N8" s="257">
        <f>$W$8/1000</f>
        <v>0.86975000000000002</v>
      </c>
      <c r="O8" s="257">
        <f>$W$8/1000</f>
        <v>0.86975000000000002</v>
      </c>
      <c r="P8" s="143"/>
      <c r="Q8" s="143"/>
      <c r="R8" s="401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264</v>
      </c>
      <c r="F9" s="138" t="s">
        <v>150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58">
        <f t="shared" ref="L9:O13" si="3">L37/$V9/1000</f>
        <v>0.61250000000000004</v>
      </c>
      <c r="M9" s="258">
        <f t="shared" si="3"/>
        <v>0.61250000000000004</v>
      </c>
      <c r="N9" s="258">
        <f t="shared" si="3"/>
        <v>0.61250000000000004</v>
      </c>
      <c r="O9" s="258">
        <f t="shared" si="3"/>
        <v>0.61250000000000004</v>
      </c>
      <c r="P9" s="144"/>
      <c r="Q9" s="144"/>
      <c r="R9" s="402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260</v>
      </c>
      <c r="F10" s="136" t="s">
        <v>150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57">
        <f t="shared" si="3"/>
        <v>0.61250000000000004</v>
      </c>
      <c r="M10" s="257">
        <f t="shared" si="3"/>
        <v>0.61250000000000004</v>
      </c>
      <c r="N10" s="257">
        <f t="shared" si="3"/>
        <v>0.61250000000000004</v>
      </c>
      <c r="O10" s="257">
        <f t="shared" si="3"/>
        <v>0.61250000000000004</v>
      </c>
      <c r="P10" s="143"/>
      <c r="Q10" s="143"/>
      <c r="R10" s="401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148</v>
      </c>
      <c r="F11" s="138" t="s">
        <v>151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58">
        <f t="shared" si="3"/>
        <v>0.55220000000000002</v>
      </c>
      <c r="M11" s="258">
        <f t="shared" si="3"/>
        <v>0.55220000000000002</v>
      </c>
      <c r="N11" s="258">
        <f t="shared" si="3"/>
        <v>0.55220000000000002</v>
      </c>
      <c r="O11" s="258">
        <f t="shared" si="3"/>
        <v>0.55220000000000002</v>
      </c>
      <c r="P11" s="144"/>
      <c r="Q11" s="144"/>
      <c r="R11" s="402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148</v>
      </c>
      <c r="F12" s="136" t="s">
        <v>152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57">
        <f t="shared" si="3"/>
        <v>0.53500000000000003</v>
      </c>
      <c r="M12" s="257">
        <f t="shared" si="3"/>
        <v>0.53500000000000003</v>
      </c>
      <c r="N12" s="257">
        <f t="shared" si="3"/>
        <v>0.53500000000000003</v>
      </c>
      <c r="O12" s="257">
        <f t="shared" si="3"/>
        <v>0.53500000000000003</v>
      </c>
      <c r="P12" s="143"/>
      <c r="Q12" s="143"/>
      <c r="R12" s="401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148</v>
      </c>
      <c r="F13" s="138" t="s">
        <v>153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58">
        <f t="shared" si="3"/>
        <v>0.42019999999999996</v>
      </c>
      <c r="M13" s="258">
        <f t="shared" si="3"/>
        <v>0.42019999999999996</v>
      </c>
      <c r="N13" s="258">
        <f t="shared" si="3"/>
        <v>0.42019999999999996</v>
      </c>
      <c r="O13" s="258">
        <f t="shared" si="3"/>
        <v>0.42019999999999996</v>
      </c>
      <c r="P13" s="144"/>
      <c r="Q13" s="144"/>
      <c r="R13" s="402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148</v>
      </c>
      <c r="F14" s="136" t="s">
        <v>154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60">
        <f>L42/$V7/1000</f>
        <v>0.9</v>
      </c>
      <c r="M14" s="260">
        <f>M42/$V7/1000</f>
        <v>0.9</v>
      </c>
      <c r="N14" s="260">
        <f>N42/$V7/1000</f>
        <v>0.9</v>
      </c>
      <c r="O14" s="260">
        <f>O42/$V7/1000</f>
        <v>0.9</v>
      </c>
      <c r="P14" s="143"/>
      <c r="Q14" s="143"/>
      <c r="R14" s="259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148</v>
      </c>
      <c r="F15" s="138" t="s">
        <v>155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61">
        <f>L43/$V7/1000</f>
        <v>0.9</v>
      </c>
      <c r="M15" s="261">
        <f>M43/$V7/1000</f>
        <v>0.9</v>
      </c>
      <c r="N15" s="261">
        <f>N43/$V7/1000</f>
        <v>0.9</v>
      </c>
      <c r="O15" s="261">
        <f>O43/$V7/1000</f>
        <v>0.9</v>
      </c>
      <c r="P15" s="145"/>
      <c r="Q15" s="145"/>
      <c r="R15" s="399">
        <f>31.536*(U7/1000)</f>
        <v>5.6764799999999994E-3</v>
      </c>
      <c r="S15" s="145">
        <v>2020</v>
      </c>
      <c r="U15" s="124" t="s">
        <v>208</v>
      </c>
      <c r="V15" s="201" t="s">
        <v>206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284</v>
      </c>
      <c r="E20" s="117" t="s">
        <v>156</v>
      </c>
      <c r="F20" s="117" t="s">
        <v>13</v>
      </c>
      <c r="G20" s="117" t="s">
        <v>121</v>
      </c>
      <c r="H20" s="117"/>
      <c r="I20" s="117"/>
      <c r="J20" s="118" t="s">
        <v>553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527</v>
      </c>
      <c r="F21" s="117" t="s">
        <v>13</v>
      </c>
      <c r="G21" s="117" t="s">
        <v>121</v>
      </c>
      <c r="H21" s="117"/>
      <c r="I21" s="117"/>
      <c r="J21" s="118" t="s">
        <v>553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528</v>
      </c>
      <c r="F22" s="117" t="s">
        <v>13</v>
      </c>
      <c r="G22" s="117" t="s">
        <v>121</v>
      </c>
      <c r="H22" s="117"/>
      <c r="I22" s="117"/>
      <c r="J22" s="118" t="s">
        <v>553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529</v>
      </c>
      <c r="F23" s="117" t="s">
        <v>13</v>
      </c>
      <c r="G23" s="117" t="s">
        <v>121</v>
      </c>
      <c r="H23" s="117"/>
      <c r="I23" s="117"/>
      <c r="J23" s="118" t="s">
        <v>553</v>
      </c>
    </row>
    <row r="24" spans="3:17" x14ac:dyDescent="0.2">
      <c r="C24" s="116" t="s">
        <v>31</v>
      </c>
      <c r="D24" s="117" t="s">
        <v>286</v>
      </c>
      <c r="E24" s="117" t="s">
        <v>158</v>
      </c>
      <c r="F24" s="117" t="s">
        <v>13</v>
      </c>
      <c r="G24" s="117" t="s">
        <v>121</v>
      </c>
      <c r="H24" s="117"/>
      <c r="I24" s="117"/>
      <c r="J24" s="118" t="s">
        <v>553</v>
      </c>
    </row>
    <row r="25" spans="3:17" x14ac:dyDescent="0.2">
      <c r="C25" s="116" t="s">
        <v>31</v>
      </c>
      <c r="D25" s="117" t="s">
        <v>287</v>
      </c>
      <c r="E25" s="117" t="s">
        <v>159</v>
      </c>
      <c r="F25" s="117" t="s">
        <v>13</v>
      </c>
      <c r="G25" s="117" t="s">
        <v>121</v>
      </c>
      <c r="H25" s="117"/>
      <c r="I25" s="117"/>
      <c r="J25" s="118" t="s">
        <v>553</v>
      </c>
    </row>
    <row r="26" spans="3:17" x14ac:dyDescent="0.2">
      <c r="C26" s="116" t="s">
        <v>31</v>
      </c>
      <c r="D26" s="117" t="s">
        <v>288</v>
      </c>
      <c r="E26" s="117" t="s">
        <v>160</v>
      </c>
      <c r="F26" s="117" t="s">
        <v>13</v>
      </c>
      <c r="G26" s="117" t="s">
        <v>121</v>
      </c>
      <c r="H26" s="117"/>
      <c r="I26" s="117"/>
      <c r="J26" s="118" t="s">
        <v>553</v>
      </c>
      <c r="Q26" s="124"/>
    </row>
    <row r="27" spans="3:17" x14ac:dyDescent="0.2">
      <c r="C27" s="116" t="s">
        <v>31</v>
      </c>
      <c r="D27" s="117" t="s">
        <v>289</v>
      </c>
      <c r="E27" s="117" t="s">
        <v>161</v>
      </c>
      <c r="F27" s="117" t="s">
        <v>13</v>
      </c>
      <c r="G27" s="117" t="s">
        <v>121</v>
      </c>
      <c r="H27" s="117"/>
      <c r="I27" s="117"/>
      <c r="J27" s="118" t="s">
        <v>553</v>
      </c>
    </row>
    <row r="28" spans="3:17" x14ac:dyDescent="0.2">
      <c r="C28" s="116" t="s">
        <v>31</v>
      </c>
      <c r="D28" s="119" t="s">
        <v>290</v>
      </c>
      <c r="E28" s="119" t="s">
        <v>162</v>
      </c>
      <c r="F28" s="119" t="s">
        <v>13</v>
      </c>
      <c r="G28" s="117" t="s">
        <v>121</v>
      </c>
      <c r="H28" s="119"/>
      <c r="I28" s="119"/>
      <c r="J28" s="120" t="s">
        <v>553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236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05" t="s">
        <v>86</v>
      </c>
      <c r="M33" s="606"/>
      <c r="N33" s="606"/>
      <c r="O33" s="607"/>
    </row>
    <row r="34" spans="8:15" x14ac:dyDescent="0.2">
      <c r="H34" s="3" t="s">
        <v>133</v>
      </c>
      <c r="L34" s="614" t="s">
        <v>91</v>
      </c>
      <c r="M34" s="616"/>
      <c r="N34" s="616"/>
      <c r="O34" s="615"/>
    </row>
    <row r="35" spans="8:15" ht="14.25" customHeight="1" x14ac:dyDescent="0.2">
      <c r="H35" s="3" t="s">
        <v>284</v>
      </c>
      <c r="I35" s="3" t="s">
        <v>156</v>
      </c>
      <c r="J35" s="3" t="s">
        <v>148</v>
      </c>
      <c r="K35" s="3" t="s">
        <v>149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285</v>
      </c>
      <c r="I36" s="3" t="s">
        <v>157</v>
      </c>
      <c r="J36" s="3" t="s">
        <v>148</v>
      </c>
      <c r="K36" s="3" t="s">
        <v>150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264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260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286</v>
      </c>
      <c r="I39" s="3" t="s">
        <v>158</v>
      </c>
      <c r="J39" s="3" t="s">
        <v>148</v>
      </c>
      <c r="K39" s="3" t="s">
        <v>151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287</v>
      </c>
      <c r="I40" s="3" t="s">
        <v>159</v>
      </c>
      <c r="J40" s="3" t="s">
        <v>148</v>
      </c>
      <c r="K40" s="3" t="s">
        <v>152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288</v>
      </c>
      <c r="I41" s="3" t="s">
        <v>160</v>
      </c>
      <c r="J41" s="3" t="s">
        <v>148</v>
      </c>
      <c r="K41" s="3" t="s">
        <v>153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289</v>
      </c>
      <c r="I42" s="3" t="s">
        <v>161</v>
      </c>
      <c r="J42" s="3" t="s">
        <v>148</v>
      </c>
      <c r="K42" s="3" t="s">
        <v>154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290</v>
      </c>
      <c r="I43" s="3" t="s">
        <v>162</v>
      </c>
      <c r="J43" s="3" t="s">
        <v>148</v>
      </c>
      <c r="K43" s="3" t="s">
        <v>155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552</v>
      </c>
      <c r="K3" s="17" t="s">
        <v>236</v>
      </c>
      <c r="L3" s="17" t="s">
        <v>88</v>
      </c>
      <c r="M3" s="17" t="s">
        <v>90</v>
      </c>
      <c r="N3" s="17" t="s">
        <v>61</v>
      </c>
      <c r="O3" s="17" t="s">
        <v>267</v>
      </c>
      <c r="P3" s="17" t="s">
        <v>77</v>
      </c>
      <c r="Q3" s="17" t="s">
        <v>78</v>
      </c>
      <c r="AA3" s="201" t="s">
        <v>539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611" t="s">
        <v>65</v>
      </c>
      <c r="I4" s="612"/>
      <c r="J4" s="613"/>
      <c r="K4" s="605" t="s">
        <v>86</v>
      </c>
      <c r="L4" s="606"/>
      <c r="M4" s="607"/>
      <c r="N4" s="60"/>
      <c r="O4" s="60" t="s">
        <v>87</v>
      </c>
      <c r="P4" s="60" t="s">
        <v>66</v>
      </c>
      <c r="Q4" s="60"/>
      <c r="X4" s="60" t="s">
        <v>209</v>
      </c>
      <c r="AA4" s="201" t="s">
        <v>540</v>
      </c>
    </row>
    <row r="5" spans="3:37" ht="13.5" thickBot="1" x14ac:dyDescent="0.25">
      <c r="C5" s="37" t="s">
        <v>133</v>
      </c>
      <c r="D5" s="38"/>
      <c r="E5" s="38"/>
      <c r="F5" s="39"/>
      <c r="G5" s="375" t="s">
        <v>68</v>
      </c>
      <c r="H5" s="623" t="s">
        <v>34</v>
      </c>
      <c r="I5" s="624"/>
      <c r="J5" s="625"/>
      <c r="K5" s="623" t="s">
        <v>292</v>
      </c>
      <c r="L5" s="624"/>
      <c r="M5" s="625"/>
      <c r="N5" s="376" t="s">
        <v>92</v>
      </c>
      <c r="O5" s="376" t="s">
        <v>34</v>
      </c>
      <c r="P5" s="377" t="s">
        <v>291</v>
      </c>
      <c r="Q5" s="376" t="s">
        <v>94</v>
      </c>
      <c r="X5" s="61" t="s">
        <v>210</v>
      </c>
      <c r="AA5" s="201"/>
      <c r="AB5" s="626" t="s">
        <v>541</v>
      </c>
      <c r="AC5" s="626"/>
      <c r="AD5" s="378"/>
      <c r="AE5" s="627" t="s">
        <v>65</v>
      </c>
      <c r="AF5" s="627"/>
      <c r="AG5" s="627" t="s">
        <v>542</v>
      </c>
      <c r="AH5" s="627"/>
      <c r="AI5" s="628" t="s">
        <v>543</v>
      </c>
      <c r="AJ5" s="628"/>
    </row>
    <row r="6" spans="3:37" x14ac:dyDescent="0.2">
      <c r="C6" s="422" t="str">
        <f t="shared" ref="C6:D11" si="0">D16</f>
        <v>R-LT_Apt_N1</v>
      </c>
      <c r="D6" s="423" t="str">
        <f t="shared" si="0"/>
        <v>Residential Lighting Apartment New</v>
      </c>
      <c r="E6" s="424" t="s">
        <v>148</v>
      </c>
      <c r="F6" s="425" t="s">
        <v>130</v>
      </c>
      <c r="G6" s="380">
        <v>10</v>
      </c>
      <c r="H6" s="381">
        <v>0.4</v>
      </c>
      <c r="I6" s="382">
        <f>H6*(AC9/AB9)</f>
        <v>0.54333333333333333</v>
      </c>
      <c r="J6" s="383">
        <f>H6*(AD9/AC9)</f>
        <v>0.73128834355828232</v>
      </c>
      <c r="K6" s="381">
        <f>L29/1000*$X6</f>
        <v>1.1375E-2</v>
      </c>
      <c r="L6" s="382">
        <f t="shared" ref="L6:M6" si="1">M29/1000*$X6</f>
        <v>1.1375E-2</v>
      </c>
      <c r="M6" s="383">
        <f t="shared" si="1"/>
        <v>1.1375E-2</v>
      </c>
      <c r="N6" s="403"/>
      <c r="O6" s="404"/>
      <c r="P6" s="417">
        <f>31.536*(X6/1000)</f>
        <v>2.0498399999999999E-4</v>
      </c>
      <c r="Q6" s="405">
        <v>2020</v>
      </c>
      <c r="S6" s="124" t="s">
        <v>214</v>
      </c>
      <c r="U6" s="204" t="s">
        <v>217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26" t="str">
        <f t="shared" si="0"/>
        <v>R-PF_Apt_N1</v>
      </c>
      <c r="D7" s="135" t="str">
        <f t="shared" si="0"/>
        <v>Residential Pumps &amp; Fans Apartment New</v>
      </c>
      <c r="E7" s="434" t="s">
        <v>148</v>
      </c>
      <c r="F7" s="435" t="s">
        <v>131</v>
      </c>
      <c r="G7" s="384">
        <v>15</v>
      </c>
      <c r="H7" s="385">
        <v>0.6</v>
      </c>
      <c r="I7" s="257">
        <v>0.6</v>
      </c>
      <c r="J7" s="386">
        <v>0.6</v>
      </c>
      <c r="K7" s="385">
        <f t="shared" ref="K7:M7" si="2">L30/1000*$X7</f>
        <v>0.15000000000000002</v>
      </c>
      <c r="L7" s="257">
        <f t="shared" si="2"/>
        <v>0.15000000000000002</v>
      </c>
      <c r="M7" s="386">
        <f t="shared" si="2"/>
        <v>0.15000000000000002</v>
      </c>
      <c r="N7" s="412"/>
      <c r="O7" s="413"/>
      <c r="P7" s="418">
        <f t="shared" ref="P7:P10" si="3">31.536*(X7/1000)</f>
        <v>1.5768000000000002E-3</v>
      </c>
      <c r="Q7" s="414">
        <v>2020</v>
      </c>
      <c r="S7" s="201" t="s">
        <v>215</v>
      </c>
      <c r="X7" s="202">
        <v>0.05</v>
      </c>
      <c r="AA7" s="3" t="s">
        <v>544</v>
      </c>
      <c r="AB7" s="3">
        <v>17</v>
      </c>
      <c r="AC7" s="3">
        <v>17</v>
      </c>
      <c r="AE7" s="387">
        <f>AB7/683</f>
        <v>2.4890190336749635E-2</v>
      </c>
      <c r="AF7" s="387">
        <f>AC7/683</f>
        <v>2.4890190336749635E-2</v>
      </c>
      <c r="AG7" s="388">
        <v>0.03</v>
      </c>
      <c r="AI7" s="389">
        <f t="shared" ref="AI7:AJ10" si="4">AE7*AG7</f>
        <v>7.4670571010248903E-4</v>
      </c>
      <c r="AJ7" s="389">
        <f>AF7*AH7</f>
        <v>0</v>
      </c>
    </row>
    <row r="8" spans="3:37" x14ac:dyDescent="0.2">
      <c r="C8" s="427" t="str">
        <f t="shared" si="0"/>
        <v>R-LT_Att_N1</v>
      </c>
      <c r="D8" s="132" t="str">
        <f t="shared" si="0"/>
        <v>Residential Lighting Attached New</v>
      </c>
      <c r="E8" s="428" t="s">
        <v>148</v>
      </c>
      <c r="F8" s="433" t="s">
        <v>139</v>
      </c>
      <c r="G8" s="390">
        <v>10</v>
      </c>
      <c r="H8" s="391">
        <v>0.4</v>
      </c>
      <c r="I8" s="256">
        <f>H8*(AC9/AB9)</f>
        <v>0.54333333333333333</v>
      </c>
      <c r="J8" s="392">
        <f>H6*(AD9/AC9)</f>
        <v>0.73128834355828232</v>
      </c>
      <c r="K8" s="391">
        <f t="shared" ref="K8:M8" si="5">L31/1000*$X8</f>
        <v>1.1375E-2</v>
      </c>
      <c r="L8" s="256">
        <f t="shared" si="5"/>
        <v>1.1375E-2</v>
      </c>
      <c r="M8" s="392">
        <f t="shared" si="5"/>
        <v>1.1375E-2</v>
      </c>
      <c r="N8" s="415"/>
      <c r="O8" s="142"/>
      <c r="P8" s="419">
        <f t="shared" si="3"/>
        <v>2.0498399999999999E-4</v>
      </c>
      <c r="Q8" s="416">
        <v>2020</v>
      </c>
      <c r="S8" s="124" t="s">
        <v>216</v>
      </c>
      <c r="X8" s="202">
        <v>6.4999999999999997E-3</v>
      </c>
      <c r="AA8" s="3" t="s">
        <v>545</v>
      </c>
      <c r="AB8" s="3">
        <v>24</v>
      </c>
      <c r="AC8" s="3">
        <v>24</v>
      </c>
      <c r="AE8" s="387">
        <f t="shared" ref="AE8:AF10" si="6">AB8/683</f>
        <v>3.5139092240117131E-2</v>
      </c>
      <c r="AF8" s="387">
        <f t="shared" si="6"/>
        <v>3.5139092240117131E-2</v>
      </c>
      <c r="AG8" s="388">
        <v>0.05</v>
      </c>
      <c r="AH8" s="388">
        <v>0.01</v>
      </c>
      <c r="AI8" s="389">
        <f t="shared" si="4"/>
        <v>1.7569546120058566E-3</v>
      </c>
      <c r="AJ8" s="389">
        <f t="shared" si="4"/>
        <v>3.5139092240117132E-4</v>
      </c>
    </row>
    <row r="9" spans="3:37" x14ac:dyDescent="0.2">
      <c r="C9" s="426" t="str">
        <f t="shared" si="0"/>
        <v>R-PF_Att_N1</v>
      </c>
      <c r="D9" s="135" t="str">
        <f t="shared" si="0"/>
        <v>Residential Pumps &amp; Fans Attached New</v>
      </c>
      <c r="E9" s="434" t="s">
        <v>148</v>
      </c>
      <c r="F9" s="435" t="s">
        <v>140</v>
      </c>
      <c r="G9" s="384">
        <v>15</v>
      </c>
      <c r="H9" s="385">
        <v>0.6</v>
      </c>
      <c r="I9" s="257">
        <v>0.6</v>
      </c>
      <c r="J9" s="386">
        <v>0.6</v>
      </c>
      <c r="K9" s="385">
        <f t="shared" ref="K9:M9" si="7">L32/1000*$X9</f>
        <v>0.15000000000000002</v>
      </c>
      <c r="L9" s="257">
        <f t="shared" si="7"/>
        <v>0.15000000000000002</v>
      </c>
      <c r="M9" s="386">
        <f t="shared" si="7"/>
        <v>0.15000000000000002</v>
      </c>
      <c r="N9" s="412"/>
      <c r="O9" s="413"/>
      <c r="P9" s="418">
        <f t="shared" si="3"/>
        <v>1.5768000000000002E-3</v>
      </c>
      <c r="Q9" s="414">
        <v>2020</v>
      </c>
      <c r="X9" s="202">
        <v>0.05</v>
      </c>
      <c r="AA9" s="3" t="s">
        <v>546</v>
      </c>
      <c r="AB9" s="3">
        <v>120</v>
      </c>
      <c r="AC9" s="3">
        <v>163</v>
      </c>
      <c r="AD9" s="3">
        <v>298</v>
      </c>
      <c r="AE9" s="387">
        <f t="shared" si="6"/>
        <v>0.17569546120058566</v>
      </c>
      <c r="AF9" s="387">
        <f t="shared" si="6"/>
        <v>0.23865300146412885</v>
      </c>
      <c r="AG9" s="388">
        <v>0.46</v>
      </c>
      <c r="AH9" s="388">
        <v>0.87</v>
      </c>
      <c r="AI9" s="389">
        <f>AE9*AG9</f>
        <v>8.0819912152269399E-2</v>
      </c>
      <c r="AJ9" s="389">
        <f t="shared" si="4"/>
        <v>0.2076281112737921</v>
      </c>
    </row>
    <row r="10" spans="3:37" x14ac:dyDescent="0.2">
      <c r="C10" s="427" t="str">
        <f t="shared" si="0"/>
        <v>R-LT_Det_N1</v>
      </c>
      <c r="D10" s="132" t="str">
        <f t="shared" si="0"/>
        <v>Residential Lighting Detached New</v>
      </c>
      <c r="E10" s="428" t="s">
        <v>148</v>
      </c>
      <c r="F10" s="433" t="s">
        <v>146</v>
      </c>
      <c r="G10" s="390">
        <v>10</v>
      </c>
      <c r="H10" s="391">
        <v>0.4</v>
      </c>
      <c r="I10" s="256">
        <f>H10*(AC9/AB9)</f>
        <v>0.54333333333333333</v>
      </c>
      <c r="J10" s="392">
        <f>H10*(AD9/AC9)</f>
        <v>0.73128834355828232</v>
      </c>
      <c r="K10" s="391">
        <f t="shared" ref="K10:M10" si="8">L33/1000*$X10</f>
        <v>1.1375E-2</v>
      </c>
      <c r="L10" s="256">
        <f t="shared" si="8"/>
        <v>1.1375E-2</v>
      </c>
      <c r="M10" s="392">
        <f t="shared" si="8"/>
        <v>1.1375E-2</v>
      </c>
      <c r="N10" s="409"/>
      <c r="O10" s="410"/>
      <c r="P10" s="420">
        <f t="shared" si="3"/>
        <v>2.0498399999999999E-4</v>
      </c>
      <c r="Q10" s="411">
        <v>2020</v>
      </c>
      <c r="X10" s="202">
        <v>6.4999999999999997E-3</v>
      </c>
      <c r="AA10" s="3" t="s">
        <v>547</v>
      </c>
      <c r="AB10" s="3">
        <v>100</v>
      </c>
      <c r="AC10" s="3">
        <v>100</v>
      </c>
      <c r="AE10" s="387">
        <f t="shared" si="6"/>
        <v>0.14641288433382138</v>
      </c>
      <c r="AF10" s="387">
        <f t="shared" si="6"/>
        <v>0.14641288433382138</v>
      </c>
      <c r="AG10" s="388">
        <v>0.46</v>
      </c>
      <c r="AH10" s="388">
        <v>0.12</v>
      </c>
      <c r="AI10" s="389">
        <f>AE10*AG10</f>
        <v>6.7349926793557835E-2</v>
      </c>
      <c r="AJ10" s="389">
        <f t="shared" si="4"/>
        <v>1.7569546120058566E-2</v>
      </c>
    </row>
    <row r="11" spans="3:37" ht="13.5" thickBot="1" x14ac:dyDescent="0.25">
      <c r="C11" s="429" t="str">
        <f t="shared" si="0"/>
        <v>R-PF_Det_N1</v>
      </c>
      <c r="D11" s="430" t="str">
        <f t="shared" si="0"/>
        <v>Residential Pumps &amp; Fans Detached New</v>
      </c>
      <c r="E11" s="431" t="s">
        <v>148</v>
      </c>
      <c r="F11" s="432" t="s">
        <v>147</v>
      </c>
      <c r="G11" s="393">
        <v>15</v>
      </c>
      <c r="H11" s="394">
        <v>0.6</v>
      </c>
      <c r="I11" s="395">
        <v>0.6</v>
      </c>
      <c r="J11" s="396">
        <v>0.6</v>
      </c>
      <c r="K11" s="394">
        <f t="shared" ref="K11:M11" si="9">L34/1000*$X11</f>
        <v>0.15000000000000002</v>
      </c>
      <c r="L11" s="395">
        <f t="shared" si="9"/>
        <v>0.15000000000000002</v>
      </c>
      <c r="M11" s="396">
        <f t="shared" si="9"/>
        <v>0.15000000000000002</v>
      </c>
      <c r="N11" s="406"/>
      <c r="O11" s="407"/>
      <c r="P11" s="421">
        <f>31.536*(X11/1000)</f>
        <v>1.5768000000000002E-3</v>
      </c>
      <c r="Q11" s="408">
        <v>2020</v>
      </c>
      <c r="X11" s="202">
        <v>0.05</v>
      </c>
      <c r="AA11" s="3" t="s">
        <v>548</v>
      </c>
      <c r="AB11" s="3">
        <v>275</v>
      </c>
      <c r="AE11" s="387">
        <f>AB11/683</f>
        <v>0.40263543191800877</v>
      </c>
      <c r="AI11" s="389"/>
    </row>
    <row r="12" spans="3:37" x14ac:dyDescent="0.2">
      <c r="AA12" s="3" t="s">
        <v>549</v>
      </c>
      <c r="AB12" s="3">
        <v>280</v>
      </c>
      <c r="AE12" s="387">
        <f>AB12/683</f>
        <v>0.40995607613469986</v>
      </c>
      <c r="AI12" s="389"/>
    </row>
    <row r="13" spans="3:37" x14ac:dyDescent="0.2">
      <c r="AA13" s="3" t="s">
        <v>543</v>
      </c>
      <c r="AI13" s="397">
        <f>SUM(AI7:AI10)</f>
        <v>0.15067349926793558</v>
      </c>
      <c r="AJ13" s="39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163</v>
      </c>
      <c r="E16" s="3" t="s">
        <v>164</v>
      </c>
      <c r="F16" s="3" t="s">
        <v>13</v>
      </c>
      <c r="G16" s="3" t="s">
        <v>121</v>
      </c>
      <c r="H16" s="117"/>
      <c r="I16" s="118"/>
      <c r="J16" s="118" t="s">
        <v>553</v>
      </c>
    </row>
    <row r="17" spans="3:21" x14ac:dyDescent="0.2">
      <c r="C17" s="116" t="s">
        <v>31</v>
      </c>
      <c r="D17" s="3" t="s">
        <v>165</v>
      </c>
      <c r="E17" s="3" t="s">
        <v>166</v>
      </c>
      <c r="F17" s="3" t="s">
        <v>13</v>
      </c>
      <c r="G17" s="117" t="s">
        <v>121</v>
      </c>
      <c r="H17" s="117"/>
      <c r="I17" s="118"/>
      <c r="J17" s="118" t="s">
        <v>553</v>
      </c>
    </row>
    <row r="18" spans="3:21" x14ac:dyDescent="0.2">
      <c r="C18" s="116" t="s">
        <v>31</v>
      </c>
      <c r="D18" s="3" t="s">
        <v>167</v>
      </c>
      <c r="E18" s="3" t="s">
        <v>168</v>
      </c>
      <c r="F18" s="3" t="s">
        <v>13</v>
      </c>
      <c r="G18" s="3" t="s">
        <v>121</v>
      </c>
      <c r="H18" s="119"/>
      <c r="I18" s="120"/>
      <c r="J18" s="118" t="s">
        <v>553</v>
      </c>
    </row>
    <row r="19" spans="3:21" x14ac:dyDescent="0.2">
      <c r="C19" s="116" t="s">
        <v>31</v>
      </c>
      <c r="D19" s="3" t="s">
        <v>169</v>
      </c>
      <c r="E19" s="3" t="s">
        <v>170</v>
      </c>
      <c r="F19" s="3" t="s">
        <v>13</v>
      </c>
      <c r="G19" s="117" t="s">
        <v>121</v>
      </c>
      <c r="H19" s="117"/>
      <c r="I19" s="118"/>
      <c r="J19" s="118" t="s">
        <v>553</v>
      </c>
      <c r="T19" s="203"/>
      <c r="U19" s="203"/>
    </row>
    <row r="20" spans="3:21" x14ac:dyDescent="0.2">
      <c r="C20" s="116" t="s">
        <v>31</v>
      </c>
      <c r="D20" s="3" t="s">
        <v>171</v>
      </c>
      <c r="E20" s="3" t="s">
        <v>172</v>
      </c>
      <c r="F20" s="3" t="s">
        <v>13</v>
      </c>
      <c r="G20" s="3" t="s">
        <v>121</v>
      </c>
      <c r="H20" s="117"/>
      <c r="I20" s="118"/>
      <c r="J20" s="118" t="s">
        <v>553</v>
      </c>
      <c r="T20" s="203"/>
      <c r="U20" s="203"/>
    </row>
    <row r="21" spans="3:21" x14ac:dyDescent="0.2">
      <c r="C21" s="116" t="s">
        <v>31</v>
      </c>
      <c r="D21" s="3" t="s">
        <v>173</v>
      </c>
      <c r="E21" s="3" t="s">
        <v>174</v>
      </c>
      <c r="F21" s="3" t="s">
        <v>13</v>
      </c>
      <c r="G21" s="117" t="s">
        <v>121</v>
      </c>
      <c r="H21" s="119"/>
      <c r="I21" s="120"/>
      <c r="J21" s="118" t="s">
        <v>553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236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605" t="s">
        <v>86</v>
      </c>
      <c r="M27" s="606"/>
      <c r="N27" s="606"/>
      <c r="O27" s="607"/>
      <c r="T27" s="203"/>
      <c r="U27" s="203"/>
    </row>
    <row r="28" spans="3:21" x14ac:dyDescent="0.2">
      <c r="J28" s="3" t="s">
        <v>133</v>
      </c>
      <c r="L28" s="608" t="s">
        <v>91</v>
      </c>
      <c r="M28" s="609"/>
      <c r="N28" s="609"/>
      <c r="O28" s="610"/>
      <c r="T28" s="203"/>
      <c r="U28" s="203"/>
    </row>
    <row r="29" spans="3:21" x14ac:dyDescent="0.2">
      <c r="J29" s="3" t="s">
        <v>163</v>
      </c>
      <c r="K29" s="3" t="s">
        <v>164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165</v>
      </c>
      <c r="K30" s="3" t="s">
        <v>166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167</v>
      </c>
      <c r="K31" s="3" t="s">
        <v>168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169</v>
      </c>
      <c r="K32" s="3" t="s">
        <v>170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171</v>
      </c>
      <c r="K33" s="3" t="s">
        <v>172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173</v>
      </c>
      <c r="K34" s="3" t="s">
        <v>174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zoomScale="80" zoomScaleNormal="80" workbookViewId="0">
      <selection activeCell="A3" sqref="A3"/>
    </sheetView>
  </sheetViews>
  <sheetFormatPr defaultRowHeight="14.25" x14ac:dyDescent="0.2"/>
  <cols>
    <col min="1" max="1" width="44.42578125" style="263" customWidth="1"/>
    <col min="2" max="2" width="74.85546875" style="263" hidden="1" customWidth="1"/>
    <col min="3" max="3" width="46.28515625" style="263" customWidth="1"/>
    <col min="4" max="73" width="9.140625" style="264"/>
    <col min="74" max="74" width="35.28515625" style="263" bestFit="1" customWidth="1"/>
    <col min="75" max="16384" width="9.140625" style="263"/>
  </cols>
  <sheetData>
    <row r="1" spans="1:89" ht="22.5" x14ac:dyDescent="0.2">
      <c r="A1" s="262" t="s">
        <v>293</v>
      </c>
      <c r="AC1" s="264">
        <v>100</v>
      </c>
      <c r="BB1" s="265" t="s">
        <v>294</v>
      </c>
      <c r="BC1" s="266"/>
      <c r="BD1" s="266" t="s">
        <v>295</v>
      </c>
      <c r="BE1" s="266" t="s">
        <v>296</v>
      </c>
      <c r="BF1" s="266" t="s">
        <v>297</v>
      </c>
    </row>
    <row r="2" spans="1:89" x14ac:dyDescent="0.2">
      <c r="A2" s="263" t="s">
        <v>559</v>
      </c>
      <c r="B2" s="267"/>
      <c r="C2" s="267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9" t="s">
        <v>298</v>
      </c>
      <c r="BD2" s="270">
        <v>0.37830319888734398</v>
      </c>
      <c r="BE2" s="270">
        <v>2.7234848484848486</v>
      </c>
      <c r="BF2" s="270">
        <v>2.6433823529411766</v>
      </c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</row>
    <row r="3" spans="1:89" x14ac:dyDescent="0.2">
      <c r="A3" s="263" t="s">
        <v>502</v>
      </c>
      <c r="B3" s="267" t="s">
        <v>243</v>
      </c>
      <c r="C3" s="267"/>
      <c r="D3" s="268" t="s">
        <v>243</v>
      </c>
      <c r="E3" s="268" t="s">
        <v>244</v>
      </c>
      <c r="F3" s="268" t="s">
        <v>245</v>
      </c>
      <c r="G3" s="268" t="s">
        <v>246</v>
      </c>
      <c r="H3" s="268" t="s">
        <v>247</v>
      </c>
      <c r="I3" s="268" t="str">
        <f>D3</f>
        <v>C</v>
      </c>
      <c r="J3" s="268" t="str">
        <f t="shared" ref="J3:BU3" si="0">E3</f>
        <v>D</v>
      </c>
      <c r="K3" s="268" t="str">
        <f t="shared" si="0"/>
        <v>E</v>
      </c>
      <c r="L3" s="268" t="str">
        <f t="shared" si="0"/>
        <v>F</v>
      </c>
      <c r="M3" s="268" t="str">
        <f t="shared" si="0"/>
        <v>G</v>
      </c>
      <c r="N3" s="268" t="str">
        <f t="shared" si="0"/>
        <v>C</v>
      </c>
      <c r="O3" s="268" t="str">
        <f t="shared" si="0"/>
        <v>D</v>
      </c>
      <c r="P3" s="268" t="str">
        <f t="shared" si="0"/>
        <v>E</v>
      </c>
      <c r="Q3" s="268" t="str">
        <f t="shared" si="0"/>
        <v>F</v>
      </c>
      <c r="R3" s="268" t="str">
        <f t="shared" si="0"/>
        <v>G</v>
      </c>
      <c r="S3" s="268" t="str">
        <f t="shared" si="0"/>
        <v>C</v>
      </c>
      <c r="T3" s="268" t="str">
        <f t="shared" si="0"/>
        <v>D</v>
      </c>
      <c r="U3" s="268" t="str">
        <f t="shared" si="0"/>
        <v>E</v>
      </c>
      <c r="V3" s="268" t="str">
        <f t="shared" si="0"/>
        <v>F</v>
      </c>
      <c r="W3" s="268" t="str">
        <f t="shared" si="0"/>
        <v>G</v>
      </c>
      <c r="X3" s="268" t="str">
        <f t="shared" si="0"/>
        <v>C</v>
      </c>
      <c r="Y3" s="268" t="str">
        <f t="shared" si="0"/>
        <v>D</v>
      </c>
      <c r="Z3" s="268" t="str">
        <f t="shared" si="0"/>
        <v>E</v>
      </c>
      <c r="AA3" s="268" t="str">
        <f t="shared" si="0"/>
        <v>F</v>
      </c>
      <c r="AB3" s="268" t="str">
        <f t="shared" si="0"/>
        <v>G</v>
      </c>
      <c r="AC3" s="268" t="str">
        <f t="shared" si="0"/>
        <v>C</v>
      </c>
      <c r="AD3" s="268" t="str">
        <f t="shared" si="0"/>
        <v>D</v>
      </c>
      <c r="AE3" s="268" t="str">
        <f t="shared" si="0"/>
        <v>E</v>
      </c>
      <c r="AF3" s="268" t="str">
        <f t="shared" si="0"/>
        <v>F</v>
      </c>
      <c r="AG3" s="268" t="str">
        <f t="shared" si="0"/>
        <v>G</v>
      </c>
      <c r="AH3" s="268" t="str">
        <f>BQ3</f>
        <v>C</v>
      </c>
      <c r="AI3" s="268" t="str">
        <f>BR3</f>
        <v>D</v>
      </c>
      <c r="AJ3" s="268" t="str">
        <f>BS3</f>
        <v>E</v>
      </c>
      <c r="AK3" s="268" t="str">
        <f>BT3</f>
        <v>F</v>
      </c>
      <c r="AL3" s="268" t="str">
        <f>BU3</f>
        <v>G</v>
      </c>
      <c r="AM3" s="268" t="str">
        <f t="shared" ref="AM3:AQ3" si="1">AH3</f>
        <v>C</v>
      </c>
      <c r="AN3" s="268" t="str">
        <f t="shared" si="1"/>
        <v>D</v>
      </c>
      <c r="AO3" s="268" t="str">
        <f t="shared" si="1"/>
        <v>E</v>
      </c>
      <c r="AP3" s="268" t="str">
        <f t="shared" si="1"/>
        <v>F</v>
      </c>
      <c r="AQ3" s="268" t="str">
        <f t="shared" si="1"/>
        <v>G</v>
      </c>
      <c r="AR3" s="268" t="str">
        <f>AC3</f>
        <v>C</v>
      </c>
      <c r="AS3" s="268" t="str">
        <f>AD3</f>
        <v>D</v>
      </c>
      <c r="AT3" s="268" t="str">
        <f>AE3</f>
        <v>E</v>
      </c>
      <c r="AU3" s="268" t="str">
        <f>AF3</f>
        <v>F</v>
      </c>
      <c r="AV3" s="268" t="str">
        <f>AG3</f>
        <v>G</v>
      </c>
      <c r="AW3" s="268" t="str">
        <f t="shared" si="0"/>
        <v>C</v>
      </c>
      <c r="AX3" s="268" t="str">
        <f t="shared" si="0"/>
        <v>D</v>
      </c>
      <c r="AY3" s="268" t="str">
        <f t="shared" si="0"/>
        <v>E</v>
      </c>
      <c r="AZ3" s="268" t="str">
        <f t="shared" si="0"/>
        <v>F</v>
      </c>
      <c r="BA3" s="268" t="str">
        <f t="shared" si="0"/>
        <v>G</v>
      </c>
      <c r="BB3" s="268" t="str">
        <f t="shared" si="0"/>
        <v>C</v>
      </c>
      <c r="BC3" s="268" t="str">
        <f t="shared" si="0"/>
        <v>D</v>
      </c>
      <c r="BD3" s="268" t="str">
        <f t="shared" si="0"/>
        <v>E</v>
      </c>
      <c r="BE3" s="268" t="str">
        <f t="shared" si="0"/>
        <v>F</v>
      </c>
      <c r="BF3" s="268" t="str">
        <f t="shared" si="0"/>
        <v>G</v>
      </c>
      <c r="BG3" s="268" t="str">
        <f t="shared" si="0"/>
        <v>C</v>
      </c>
      <c r="BH3" s="268" t="str">
        <f t="shared" si="0"/>
        <v>D</v>
      </c>
      <c r="BI3" s="268" t="str">
        <f t="shared" si="0"/>
        <v>E</v>
      </c>
      <c r="BJ3" s="268" t="str">
        <f t="shared" si="0"/>
        <v>F</v>
      </c>
      <c r="BK3" s="268" t="str">
        <f t="shared" si="0"/>
        <v>G</v>
      </c>
      <c r="BL3" s="268" t="str">
        <f t="shared" si="0"/>
        <v>C</v>
      </c>
      <c r="BM3" s="268" t="str">
        <f t="shared" si="0"/>
        <v>D</v>
      </c>
      <c r="BN3" s="268" t="str">
        <f t="shared" si="0"/>
        <v>E</v>
      </c>
      <c r="BO3" s="268" t="str">
        <f t="shared" si="0"/>
        <v>F</v>
      </c>
      <c r="BP3" s="268" t="str">
        <f t="shared" si="0"/>
        <v>G</v>
      </c>
      <c r="BQ3" s="268" t="str">
        <f t="shared" si="0"/>
        <v>C</v>
      </c>
      <c r="BR3" s="268" t="str">
        <f t="shared" si="0"/>
        <v>D</v>
      </c>
      <c r="BS3" s="268" t="str">
        <f t="shared" si="0"/>
        <v>E</v>
      </c>
      <c r="BT3" s="268" t="str">
        <f t="shared" si="0"/>
        <v>F</v>
      </c>
      <c r="BU3" s="268" t="str">
        <f t="shared" si="0"/>
        <v>G</v>
      </c>
    </row>
    <row r="4" spans="1:89" s="275" customFormat="1" ht="36" customHeight="1" x14ac:dyDescent="0.2">
      <c r="A4" s="271" t="s">
        <v>299</v>
      </c>
      <c r="B4" s="272" t="s">
        <v>300</v>
      </c>
      <c r="C4" s="273" t="s">
        <v>301</v>
      </c>
      <c r="D4" s="629" t="s">
        <v>302</v>
      </c>
      <c r="E4" s="630"/>
      <c r="F4" s="630"/>
      <c r="G4" s="630"/>
      <c r="H4" s="631"/>
      <c r="I4" s="630" t="s">
        <v>303</v>
      </c>
      <c r="J4" s="630"/>
      <c r="K4" s="630"/>
      <c r="L4" s="630"/>
      <c r="M4" s="631"/>
      <c r="N4" s="630" t="s">
        <v>304</v>
      </c>
      <c r="O4" s="630"/>
      <c r="P4" s="630"/>
      <c r="Q4" s="630"/>
      <c r="R4" s="631"/>
      <c r="S4" s="630" t="s">
        <v>305</v>
      </c>
      <c r="T4" s="630"/>
      <c r="U4" s="630"/>
      <c r="V4" s="630"/>
      <c r="W4" s="631"/>
      <c r="X4" s="630" t="s">
        <v>306</v>
      </c>
      <c r="Y4" s="630"/>
      <c r="Z4" s="630"/>
      <c r="AA4" s="630"/>
      <c r="AB4" s="631"/>
      <c r="AC4" s="630" t="s">
        <v>307</v>
      </c>
      <c r="AD4" s="630"/>
      <c r="AE4" s="630"/>
      <c r="AF4" s="630"/>
      <c r="AG4" s="631"/>
      <c r="AH4" s="630" t="s">
        <v>308</v>
      </c>
      <c r="AI4" s="630"/>
      <c r="AJ4" s="630"/>
      <c r="AK4" s="630"/>
      <c r="AL4" s="631"/>
      <c r="AM4" s="630" t="s">
        <v>309</v>
      </c>
      <c r="AN4" s="630"/>
      <c r="AO4" s="630"/>
      <c r="AP4" s="630"/>
      <c r="AQ4" s="631"/>
      <c r="AR4" s="630" t="s">
        <v>310</v>
      </c>
      <c r="AS4" s="630"/>
      <c r="AT4" s="630"/>
      <c r="AU4" s="630"/>
      <c r="AV4" s="631"/>
      <c r="AW4" s="630" t="s">
        <v>311</v>
      </c>
      <c r="AX4" s="630"/>
      <c r="AY4" s="630"/>
      <c r="AZ4" s="630"/>
      <c r="BA4" s="630"/>
      <c r="BB4" s="629" t="s">
        <v>312</v>
      </c>
      <c r="BC4" s="630"/>
      <c r="BD4" s="630"/>
      <c r="BE4" s="630"/>
      <c r="BF4" s="631"/>
      <c r="BG4" s="630" t="s">
        <v>313</v>
      </c>
      <c r="BH4" s="630"/>
      <c r="BI4" s="630"/>
      <c r="BJ4" s="630"/>
      <c r="BK4" s="630"/>
      <c r="BL4" s="629" t="s">
        <v>314</v>
      </c>
      <c r="BM4" s="630"/>
      <c r="BN4" s="630"/>
      <c r="BO4" s="630"/>
      <c r="BP4" s="630"/>
      <c r="BQ4" s="629" t="s">
        <v>315</v>
      </c>
      <c r="BR4" s="630"/>
      <c r="BS4" s="630"/>
      <c r="BT4" s="630"/>
      <c r="BU4" s="631"/>
      <c r="BV4" s="274" t="s">
        <v>316</v>
      </c>
      <c r="BW4" s="632" t="s">
        <v>317</v>
      </c>
      <c r="BX4" s="633"/>
      <c r="BY4" s="633"/>
      <c r="BZ4" s="633"/>
      <c r="CA4" s="634"/>
      <c r="CB4" s="632" t="s">
        <v>318</v>
      </c>
      <c r="CC4" s="633"/>
      <c r="CD4" s="633"/>
      <c r="CE4" s="633"/>
      <c r="CF4" s="634"/>
      <c r="CG4" s="632" t="s">
        <v>319</v>
      </c>
      <c r="CH4" s="633"/>
      <c r="CI4" s="633"/>
      <c r="CJ4" s="633"/>
      <c r="CK4" s="634"/>
    </row>
    <row r="5" spans="1:89" x14ac:dyDescent="0.2">
      <c r="A5" s="276"/>
      <c r="B5" s="277"/>
      <c r="C5" s="278"/>
      <c r="D5" s="279">
        <v>2015</v>
      </c>
      <c r="E5" s="280">
        <v>2020</v>
      </c>
      <c r="F5" s="280">
        <v>2030</v>
      </c>
      <c r="G5" s="280">
        <v>2040</v>
      </c>
      <c r="H5" s="281">
        <v>2050</v>
      </c>
      <c r="I5" s="280">
        <v>2015</v>
      </c>
      <c r="J5" s="280">
        <v>2020</v>
      </c>
      <c r="K5" s="280">
        <v>2030</v>
      </c>
      <c r="L5" s="280">
        <v>2040</v>
      </c>
      <c r="M5" s="281">
        <v>2050</v>
      </c>
      <c r="N5" s="280">
        <v>2015</v>
      </c>
      <c r="O5" s="280">
        <v>2020</v>
      </c>
      <c r="P5" s="280">
        <v>2030</v>
      </c>
      <c r="Q5" s="280">
        <v>2040</v>
      </c>
      <c r="R5" s="281">
        <v>2050</v>
      </c>
      <c r="S5" s="280">
        <v>2015</v>
      </c>
      <c r="T5" s="280">
        <v>2020</v>
      </c>
      <c r="U5" s="280">
        <v>2030</v>
      </c>
      <c r="V5" s="280">
        <v>2040</v>
      </c>
      <c r="W5" s="281">
        <v>2050</v>
      </c>
      <c r="X5" s="280">
        <v>2015</v>
      </c>
      <c r="Y5" s="280">
        <v>2020</v>
      </c>
      <c r="Z5" s="280">
        <v>2030</v>
      </c>
      <c r="AA5" s="280">
        <v>2040</v>
      </c>
      <c r="AB5" s="281">
        <v>2050</v>
      </c>
      <c r="AC5" s="280">
        <v>2015</v>
      </c>
      <c r="AD5" s="280">
        <v>2020</v>
      </c>
      <c r="AE5" s="280">
        <v>2030</v>
      </c>
      <c r="AF5" s="280">
        <v>2040</v>
      </c>
      <c r="AG5" s="281">
        <v>2050</v>
      </c>
      <c r="AH5" s="280">
        <v>2015</v>
      </c>
      <c r="AI5" s="280">
        <v>2020</v>
      </c>
      <c r="AJ5" s="280">
        <v>2030</v>
      </c>
      <c r="AK5" s="280">
        <v>2040</v>
      </c>
      <c r="AL5" s="281">
        <v>2050</v>
      </c>
      <c r="AM5" s="280">
        <v>2015</v>
      </c>
      <c r="AN5" s="280">
        <v>2020</v>
      </c>
      <c r="AO5" s="280">
        <v>2030</v>
      </c>
      <c r="AP5" s="280">
        <v>2040</v>
      </c>
      <c r="AQ5" s="281">
        <v>2050</v>
      </c>
      <c r="AR5" s="280">
        <v>2015</v>
      </c>
      <c r="AS5" s="280">
        <v>2020</v>
      </c>
      <c r="AT5" s="280">
        <v>2030</v>
      </c>
      <c r="AU5" s="280">
        <v>2040</v>
      </c>
      <c r="AV5" s="281">
        <v>2050</v>
      </c>
      <c r="AW5" s="280">
        <v>2015</v>
      </c>
      <c r="AX5" s="280">
        <v>2020</v>
      </c>
      <c r="AY5" s="280">
        <v>2030</v>
      </c>
      <c r="AZ5" s="280">
        <v>2040</v>
      </c>
      <c r="BA5" s="280">
        <v>2050</v>
      </c>
      <c r="BB5" s="279">
        <v>2015</v>
      </c>
      <c r="BC5" s="280">
        <v>2020</v>
      </c>
      <c r="BD5" s="280">
        <v>2030</v>
      </c>
      <c r="BE5" s="280">
        <v>2040</v>
      </c>
      <c r="BF5" s="281">
        <v>2050</v>
      </c>
      <c r="BG5" s="280">
        <v>2015</v>
      </c>
      <c r="BH5" s="280">
        <v>2020</v>
      </c>
      <c r="BI5" s="280">
        <v>2030</v>
      </c>
      <c r="BJ5" s="280">
        <v>2040</v>
      </c>
      <c r="BK5" s="280">
        <v>2050</v>
      </c>
      <c r="BL5" s="279">
        <v>2015</v>
      </c>
      <c r="BM5" s="280">
        <v>2020</v>
      </c>
      <c r="BN5" s="280">
        <v>2030</v>
      </c>
      <c r="BO5" s="280">
        <v>2040</v>
      </c>
      <c r="BP5" s="280">
        <v>2050</v>
      </c>
      <c r="BQ5" s="279">
        <v>2015</v>
      </c>
      <c r="BR5" s="280">
        <v>2020</v>
      </c>
      <c r="BS5" s="280">
        <v>2030</v>
      </c>
      <c r="BT5" s="280">
        <v>2040</v>
      </c>
      <c r="BU5" s="281">
        <v>2050</v>
      </c>
      <c r="BV5" s="282"/>
      <c r="BW5" s="283">
        <v>2015</v>
      </c>
      <c r="BX5" s="284">
        <v>2020</v>
      </c>
      <c r="BY5" s="284">
        <v>2030</v>
      </c>
      <c r="BZ5" s="284">
        <v>2040</v>
      </c>
      <c r="CA5" s="285">
        <v>2050</v>
      </c>
      <c r="CB5" s="283">
        <v>2015</v>
      </c>
      <c r="CC5" s="284">
        <v>2020</v>
      </c>
      <c r="CD5" s="284">
        <v>2030</v>
      </c>
      <c r="CE5" s="284">
        <v>2040</v>
      </c>
      <c r="CF5" s="284">
        <v>2050</v>
      </c>
      <c r="CG5" s="283">
        <v>2015</v>
      </c>
      <c r="CH5" s="284">
        <v>2020</v>
      </c>
      <c r="CI5" s="284">
        <v>2030</v>
      </c>
      <c r="CJ5" s="284">
        <v>2040</v>
      </c>
      <c r="CK5" s="285">
        <v>2050</v>
      </c>
    </row>
    <row r="6" spans="1:89" s="293" customFormat="1" x14ac:dyDescent="0.2">
      <c r="A6" s="286" t="s">
        <v>320</v>
      </c>
      <c r="B6" s="287"/>
      <c r="C6" s="288"/>
      <c r="D6" s="289"/>
      <c r="E6" s="290"/>
      <c r="F6" s="290"/>
      <c r="G6" s="290"/>
      <c r="H6" s="291"/>
      <c r="I6" s="290"/>
      <c r="J6" s="290"/>
      <c r="K6" s="290"/>
      <c r="L6" s="290"/>
      <c r="M6" s="291"/>
      <c r="N6" s="290"/>
      <c r="O6" s="290"/>
      <c r="P6" s="290"/>
      <c r="Q6" s="290"/>
      <c r="R6" s="291"/>
      <c r="S6" s="290"/>
      <c r="T6" s="290"/>
      <c r="U6" s="290"/>
      <c r="V6" s="290"/>
      <c r="W6" s="291"/>
      <c r="X6" s="290"/>
      <c r="Y6" s="290"/>
      <c r="Z6" s="290"/>
      <c r="AA6" s="290"/>
      <c r="AB6" s="291"/>
      <c r="AC6" s="290">
        <v>0</v>
      </c>
      <c r="AD6" s="290">
        <v>0</v>
      </c>
      <c r="AE6" s="290">
        <v>0</v>
      </c>
      <c r="AF6" s="290">
        <v>0</v>
      </c>
      <c r="AG6" s="291">
        <v>0</v>
      </c>
      <c r="AH6" s="290">
        <v>0</v>
      </c>
      <c r="AI6" s="290">
        <v>0</v>
      </c>
      <c r="AJ6" s="290">
        <v>0</v>
      </c>
      <c r="AK6" s="290">
        <v>0</v>
      </c>
      <c r="AL6" s="291">
        <v>0</v>
      </c>
      <c r="AM6" s="290">
        <v>0</v>
      </c>
      <c r="AN6" s="290">
        <v>0</v>
      </c>
      <c r="AO6" s="290">
        <v>0</v>
      </c>
      <c r="AP6" s="290">
        <v>0</v>
      </c>
      <c r="AQ6" s="291">
        <v>0</v>
      </c>
      <c r="AR6" s="290"/>
      <c r="AS6" s="290"/>
      <c r="AT6" s="290"/>
      <c r="AU6" s="290"/>
      <c r="AV6" s="291"/>
      <c r="AW6" s="290"/>
      <c r="AX6" s="290"/>
      <c r="AY6" s="290"/>
      <c r="AZ6" s="290"/>
      <c r="BA6" s="291"/>
      <c r="BB6" s="290"/>
      <c r="BC6" s="290"/>
      <c r="BD6" s="290"/>
      <c r="BE6" s="290"/>
      <c r="BF6" s="291"/>
      <c r="BG6" s="290"/>
      <c r="BH6" s="290"/>
      <c r="BI6" s="290"/>
      <c r="BJ6" s="290"/>
      <c r="BK6" s="291"/>
      <c r="BL6" s="290"/>
      <c r="BM6" s="290"/>
      <c r="BN6" s="290"/>
      <c r="BO6" s="290"/>
      <c r="BP6" s="291"/>
      <c r="BQ6" s="289"/>
      <c r="BR6" s="290"/>
      <c r="BS6" s="290"/>
      <c r="BT6" s="290"/>
      <c r="BU6" s="291"/>
      <c r="BV6" s="292"/>
      <c r="BW6" s="290"/>
      <c r="BX6" s="290"/>
      <c r="BY6" s="290"/>
      <c r="BZ6" s="290"/>
      <c r="CA6" s="291"/>
      <c r="CB6" s="290"/>
      <c r="CC6" s="290"/>
      <c r="CD6" s="290"/>
      <c r="CE6" s="290"/>
      <c r="CF6" s="291"/>
      <c r="CG6" s="289"/>
      <c r="CH6" s="290"/>
      <c r="CI6" s="290"/>
      <c r="CJ6" s="290"/>
      <c r="CK6" s="291"/>
    </row>
    <row r="7" spans="1:89" s="293" customFormat="1" x14ac:dyDescent="0.2">
      <c r="A7" s="294" t="s">
        <v>321</v>
      </c>
      <c r="B7" s="295" t="s">
        <v>423</v>
      </c>
      <c r="C7" s="296" t="s">
        <v>322</v>
      </c>
      <c r="D7" s="297" t="s">
        <v>424</v>
      </c>
      <c r="E7" s="298" t="s">
        <v>424</v>
      </c>
      <c r="F7" s="298" t="s">
        <v>424</v>
      </c>
      <c r="G7" s="298" t="s">
        <v>424</v>
      </c>
      <c r="H7" s="299" t="s">
        <v>424</v>
      </c>
      <c r="I7" s="298"/>
      <c r="J7" s="298"/>
      <c r="K7" s="298"/>
      <c r="L7" s="298"/>
      <c r="M7" s="299"/>
      <c r="N7" s="298">
        <v>100</v>
      </c>
      <c r="O7" s="298">
        <v>100</v>
      </c>
      <c r="P7" s="298">
        <v>100</v>
      </c>
      <c r="Q7" s="298">
        <v>100</v>
      </c>
      <c r="R7" s="299">
        <v>100</v>
      </c>
      <c r="S7" s="298"/>
      <c r="T7" s="298"/>
      <c r="U7" s="298"/>
      <c r="V7" s="298"/>
      <c r="W7" s="299"/>
      <c r="X7" s="298">
        <v>100</v>
      </c>
      <c r="Y7" s="298">
        <v>100</v>
      </c>
      <c r="Z7" s="298">
        <v>100</v>
      </c>
      <c r="AA7" s="298">
        <v>100</v>
      </c>
      <c r="AB7" s="299">
        <v>100</v>
      </c>
      <c r="AC7" s="300">
        <v>1</v>
      </c>
      <c r="AD7" s="300">
        <v>1</v>
      </c>
      <c r="AE7" s="300">
        <v>1</v>
      </c>
      <c r="AF7" s="300">
        <v>1</v>
      </c>
      <c r="AG7" s="301">
        <v>1</v>
      </c>
      <c r="AH7" s="300">
        <v>0</v>
      </c>
      <c r="AI7" s="300">
        <v>0</v>
      </c>
      <c r="AJ7" s="300">
        <v>0</v>
      </c>
      <c r="AK7" s="300">
        <v>0</v>
      </c>
      <c r="AL7" s="301">
        <v>0</v>
      </c>
      <c r="AM7" s="300">
        <v>0</v>
      </c>
      <c r="AN7" s="300">
        <v>0</v>
      </c>
      <c r="AO7" s="300">
        <v>0</v>
      </c>
      <c r="AP7" s="300">
        <v>0</v>
      </c>
      <c r="AQ7" s="301">
        <v>0</v>
      </c>
      <c r="AR7" s="298"/>
      <c r="AS7" s="298"/>
      <c r="AT7" s="298"/>
      <c r="AU7" s="298"/>
      <c r="AV7" s="299"/>
      <c r="AW7" s="298">
        <v>20</v>
      </c>
      <c r="AX7" s="298">
        <v>20</v>
      </c>
      <c r="AY7" s="298">
        <v>20</v>
      </c>
      <c r="AZ7" s="298">
        <v>20</v>
      </c>
      <c r="BA7" s="299">
        <v>20</v>
      </c>
      <c r="BB7" s="302">
        <v>6600</v>
      </c>
      <c r="BC7" s="302">
        <v>6600</v>
      </c>
      <c r="BD7" s="302">
        <v>6600</v>
      </c>
      <c r="BE7" s="302">
        <v>6600</v>
      </c>
      <c r="BF7" s="303">
        <v>6600</v>
      </c>
      <c r="BG7" s="302">
        <v>0</v>
      </c>
      <c r="BH7" s="302">
        <v>0</v>
      </c>
      <c r="BI7" s="302">
        <v>0</v>
      </c>
      <c r="BJ7" s="302">
        <v>0</v>
      </c>
      <c r="BK7" s="303">
        <v>0</v>
      </c>
      <c r="BL7" s="302">
        <v>270</v>
      </c>
      <c r="BM7" s="302">
        <v>270</v>
      </c>
      <c r="BN7" s="302">
        <v>270</v>
      </c>
      <c r="BO7" s="302">
        <v>270</v>
      </c>
      <c r="BP7" s="303">
        <v>270</v>
      </c>
      <c r="BQ7" s="304">
        <v>0</v>
      </c>
      <c r="BR7" s="302">
        <v>0</v>
      </c>
      <c r="BS7" s="302">
        <v>0</v>
      </c>
      <c r="BT7" s="302">
        <v>0</v>
      </c>
      <c r="BU7" s="303">
        <v>0</v>
      </c>
      <c r="BV7" s="305"/>
      <c r="BW7" s="306">
        <v>293.33333333333331</v>
      </c>
      <c r="BX7" s="306">
        <v>293.33333333333331</v>
      </c>
      <c r="BY7" s="306">
        <v>293.33333333333331</v>
      </c>
      <c r="BZ7" s="306">
        <v>293.33333333333331</v>
      </c>
      <c r="CA7" s="307">
        <v>293.33333333333331</v>
      </c>
      <c r="CB7" s="306">
        <v>0</v>
      </c>
      <c r="CC7" s="306">
        <v>0</v>
      </c>
      <c r="CD7" s="306">
        <v>0</v>
      </c>
      <c r="CE7" s="306">
        <v>0</v>
      </c>
      <c r="CF7" s="307">
        <v>0</v>
      </c>
      <c r="CG7" s="308">
        <v>12</v>
      </c>
      <c r="CH7" s="306">
        <v>12</v>
      </c>
      <c r="CI7" s="306">
        <v>12</v>
      </c>
      <c r="CJ7" s="306">
        <v>12</v>
      </c>
      <c r="CK7" s="307">
        <v>12</v>
      </c>
    </row>
    <row r="8" spans="1:89" s="293" customFormat="1" x14ac:dyDescent="0.2">
      <c r="A8" s="294" t="s">
        <v>323</v>
      </c>
      <c r="B8" s="295" t="s">
        <v>322</v>
      </c>
      <c r="C8" s="296" t="s">
        <v>324</v>
      </c>
      <c r="D8" s="297">
        <v>400</v>
      </c>
      <c r="E8" s="298">
        <v>400</v>
      </c>
      <c r="F8" s="298">
        <v>400</v>
      </c>
      <c r="G8" s="298">
        <v>400</v>
      </c>
      <c r="H8" s="299">
        <v>400</v>
      </c>
      <c r="I8" s="298"/>
      <c r="J8" s="298"/>
      <c r="K8" s="298"/>
      <c r="L8" s="298"/>
      <c r="M8" s="299"/>
      <c r="N8" s="298">
        <v>100</v>
      </c>
      <c r="O8" s="298">
        <v>100</v>
      </c>
      <c r="P8" s="298">
        <v>100</v>
      </c>
      <c r="Q8" s="298">
        <v>100</v>
      </c>
      <c r="R8" s="299">
        <v>100</v>
      </c>
      <c r="S8" s="298"/>
      <c r="T8" s="298"/>
      <c r="U8" s="298"/>
      <c r="V8" s="298"/>
      <c r="W8" s="299"/>
      <c r="X8" s="298">
        <v>100</v>
      </c>
      <c r="Y8" s="298">
        <v>100</v>
      </c>
      <c r="Z8" s="298">
        <v>100</v>
      </c>
      <c r="AA8" s="298">
        <v>100</v>
      </c>
      <c r="AB8" s="299">
        <v>100</v>
      </c>
      <c r="AC8" s="300">
        <v>0.96</v>
      </c>
      <c r="AD8" s="300">
        <v>0.96</v>
      </c>
      <c r="AE8" s="300">
        <v>0.96</v>
      </c>
      <c r="AF8" s="300">
        <v>0.96</v>
      </c>
      <c r="AG8" s="301">
        <v>0.96</v>
      </c>
      <c r="AH8" s="300">
        <v>0</v>
      </c>
      <c r="AI8" s="300">
        <v>0</v>
      </c>
      <c r="AJ8" s="300">
        <v>0</v>
      </c>
      <c r="AK8" s="300">
        <v>0</v>
      </c>
      <c r="AL8" s="301">
        <v>0</v>
      </c>
      <c r="AM8" s="300">
        <v>0</v>
      </c>
      <c r="AN8" s="300">
        <v>0</v>
      </c>
      <c r="AO8" s="300">
        <v>0</v>
      </c>
      <c r="AP8" s="300">
        <v>0</v>
      </c>
      <c r="AQ8" s="301">
        <v>0</v>
      </c>
      <c r="AR8" s="298"/>
      <c r="AS8" s="298"/>
      <c r="AT8" s="298"/>
      <c r="AU8" s="298"/>
      <c r="AV8" s="299"/>
      <c r="AW8" s="298">
        <v>20</v>
      </c>
      <c r="AX8" s="298">
        <v>20</v>
      </c>
      <c r="AY8" s="298">
        <v>20</v>
      </c>
      <c r="AZ8" s="298">
        <v>20</v>
      </c>
      <c r="BA8" s="299">
        <v>20</v>
      </c>
      <c r="BB8" s="302">
        <v>32000</v>
      </c>
      <c r="BC8" s="302">
        <v>32000</v>
      </c>
      <c r="BD8" s="302">
        <v>32000</v>
      </c>
      <c r="BE8" s="302">
        <v>32000</v>
      </c>
      <c r="BF8" s="303">
        <v>32000</v>
      </c>
      <c r="BG8" s="302">
        <v>0</v>
      </c>
      <c r="BH8" s="302">
        <v>0</v>
      </c>
      <c r="BI8" s="302">
        <v>0</v>
      </c>
      <c r="BJ8" s="302">
        <v>0</v>
      </c>
      <c r="BK8" s="303">
        <v>0</v>
      </c>
      <c r="BL8" s="302">
        <v>500</v>
      </c>
      <c r="BM8" s="302">
        <v>500</v>
      </c>
      <c r="BN8" s="302">
        <v>500</v>
      </c>
      <c r="BO8" s="302">
        <v>500</v>
      </c>
      <c r="BP8" s="303">
        <v>500</v>
      </c>
      <c r="BQ8" s="304">
        <v>0</v>
      </c>
      <c r="BR8" s="302">
        <v>0</v>
      </c>
      <c r="BS8" s="302">
        <v>0</v>
      </c>
      <c r="BT8" s="302">
        <v>0</v>
      </c>
      <c r="BU8" s="303">
        <v>0</v>
      </c>
      <c r="BV8" s="305"/>
      <c r="BW8" s="302">
        <v>80</v>
      </c>
      <c r="BX8" s="302">
        <v>80</v>
      </c>
      <c r="BY8" s="302">
        <v>80</v>
      </c>
      <c r="BZ8" s="302">
        <v>80</v>
      </c>
      <c r="CA8" s="303">
        <v>80</v>
      </c>
      <c r="CB8" s="302">
        <v>0</v>
      </c>
      <c r="CC8" s="302">
        <v>0</v>
      </c>
      <c r="CD8" s="302">
        <v>0</v>
      </c>
      <c r="CE8" s="302">
        <v>0</v>
      </c>
      <c r="CF8" s="303">
        <v>0</v>
      </c>
      <c r="CG8" s="304">
        <v>1.25</v>
      </c>
      <c r="CH8" s="302">
        <v>1.25</v>
      </c>
      <c r="CI8" s="302">
        <v>1.25</v>
      </c>
      <c r="CJ8" s="302">
        <v>1.25</v>
      </c>
      <c r="CK8" s="303">
        <v>1.25</v>
      </c>
    </row>
    <row r="9" spans="1:89" s="293" customFormat="1" x14ac:dyDescent="0.2">
      <c r="A9" s="294" t="s">
        <v>325</v>
      </c>
      <c r="B9" s="295" t="s">
        <v>326</v>
      </c>
      <c r="C9" s="296" t="s">
        <v>326</v>
      </c>
      <c r="D9" s="297" t="s">
        <v>425</v>
      </c>
      <c r="E9" s="298" t="s">
        <v>426</v>
      </c>
      <c r="F9" s="298" t="s">
        <v>427</v>
      </c>
      <c r="G9" s="298" t="s">
        <v>427</v>
      </c>
      <c r="H9" s="299" t="s">
        <v>428</v>
      </c>
      <c r="I9" s="298"/>
      <c r="J9" s="298"/>
      <c r="K9" s="298"/>
      <c r="L9" s="298"/>
      <c r="M9" s="299"/>
      <c r="N9" s="298">
        <v>100</v>
      </c>
      <c r="O9" s="298">
        <v>100</v>
      </c>
      <c r="P9" s="298">
        <v>100</v>
      </c>
      <c r="Q9" s="298">
        <v>100</v>
      </c>
      <c r="R9" s="299">
        <v>100</v>
      </c>
      <c r="S9" s="298"/>
      <c r="T9" s="298"/>
      <c r="U9" s="298"/>
      <c r="V9" s="298"/>
      <c r="W9" s="299"/>
      <c r="X9" s="298">
        <v>100</v>
      </c>
      <c r="Y9" s="298">
        <v>100</v>
      </c>
      <c r="Z9" s="298">
        <v>100</v>
      </c>
      <c r="AA9" s="298">
        <v>100</v>
      </c>
      <c r="AB9" s="299">
        <v>100</v>
      </c>
      <c r="AC9" s="300">
        <v>1.02</v>
      </c>
      <c r="AD9" s="300">
        <v>1.02</v>
      </c>
      <c r="AE9" s="300">
        <v>1.02</v>
      </c>
      <c r="AF9" s="300">
        <v>1.02</v>
      </c>
      <c r="AG9" s="301">
        <v>1.02</v>
      </c>
      <c r="AH9" s="300">
        <v>0</v>
      </c>
      <c r="AI9" s="300">
        <v>0</v>
      </c>
      <c r="AJ9" s="300">
        <v>0</v>
      </c>
      <c r="AK9" s="300">
        <v>0</v>
      </c>
      <c r="AL9" s="301">
        <v>0</v>
      </c>
      <c r="AM9" s="300">
        <v>0</v>
      </c>
      <c r="AN9" s="300">
        <v>0</v>
      </c>
      <c r="AO9" s="300">
        <v>0</v>
      </c>
      <c r="AP9" s="300">
        <v>0</v>
      </c>
      <c r="AQ9" s="301">
        <v>0</v>
      </c>
      <c r="AR9" s="298" t="s">
        <v>429</v>
      </c>
      <c r="AS9" s="298" t="s">
        <v>430</v>
      </c>
      <c r="AT9" s="298" t="s">
        <v>431</v>
      </c>
      <c r="AU9" s="298" t="s">
        <v>432</v>
      </c>
      <c r="AV9" s="299" t="s">
        <v>432</v>
      </c>
      <c r="AW9" s="298">
        <v>22</v>
      </c>
      <c r="AX9" s="298">
        <v>22</v>
      </c>
      <c r="AY9" s="298">
        <v>22</v>
      </c>
      <c r="AZ9" s="298">
        <v>22</v>
      </c>
      <c r="BA9" s="299">
        <v>22</v>
      </c>
      <c r="BB9" s="298">
        <v>4000</v>
      </c>
      <c r="BC9" s="298">
        <v>4000</v>
      </c>
      <c r="BD9" s="298">
        <v>4000</v>
      </c>
      <c r="BE9" s="298">
        <v>4000</v>
      </c>
      <c r="BF9" s="299">
        <v>4000</v>
      </c>
      <c r="BG9" s="298">
        <v>2000</v>
      </c>
      <c r="BH9" s="298">
        <v>2000</v>
      </c>
      <c r="BI9" s="298">
        <v>2000</v>
      </c>
      <c r="BJ9" s="298">
        <v>2000</v>
      </c>
      <c r="BK9" s="299">
        <v>2000</v>
      </c>
      <c r="BL9" s="298">
        <v>235</v>
      </c>
      <c r="BM9" s="298">
        <v>235</v>
      </c>
      <c r="BN9" s="298">
        <v>235</v>
      </c>
      <c r="BO9" s="298">
        <v>235</v>
      </c>
      <c r="BP9" s="299">
        <v>235</v>
      </c>
      <c r="BQ9" s="297"/>
      <c r="BR9" s="298"/>
      <c r="BS9" s="298"/>
      <c r="BT9" s="298"/>
      <c r="BU9" s="299"/>
      <c r="BV9" s="305" t="s">
        <v>327</v>
      </c>
      <c r="BW9" s="306">
        <v>320</v>
      </c>
      <c r="BX9" s="306">
        <v>347.82608695652175</v>
      </c>
      <c r="BY9" s="306">
        <v>363.63636363636363</v>
      </c>
      <c r="BZ9" s="306">
        <v>363.63636363636363</v>
      </c>
      <c r="CA9" s="307">
        <v>380.95238095238096</v>
      </c>
      <c r="CB9" s="306">
        <v>160</v>
      </c>
      <c r="CC9" s="306">
        <v>173.91304347826087</v>
      </c>
      <c r="CD9" s="306">
        <v>181.81818181818181</v>
      </c>
      <c r="CE9" s="306">
        <v>181.81818181818181</v>
      </c>
      <c r="CF9" s="307">
        <v>190.47619047619048</v>
      </c>
      <c r="CG9" s="308">
        <v>18.8</v>
      </c>
      <c r="CH9" s="306">
        <v>20.434782608695652</v>
      </c>
      <c r="CI9" s="306">
        <v>21.363636363636363</v>
      </c>
      <c r="CJ9" s="306">
        <v>21.363636363636363</v>
      </c>
      <c r="CK9" s="307">
        <v>22.38095238095238</v>
      </c>
    </row>
    <row r="10" spans="1:89" s="293" customFormat="1" x14ac:dyDescent="0.2">
      <c r="A10" s="294" t="s">
        <v>328</v>
      </c>
      <c r="B10" s="295" t="s">
        <v>433</v>
      </c>
      <c r="C10" s="296" t="s">
        <v>329</v>
      </c>
      <c r="D10" s="297" t="s">
        <v>434</v>
      </c>
      <c r="E10" s="298" t="s">
        <v>434</v>
      </c>
      <c r="F10" s="298" t="s">
        <v>434</v>
      </c>
      <c r="G10" s="298" t="s">
        <v>434</v>
      </c>
      <c r="H10" s="299" t="s">
        <v>434</v>
      </c>
      <c r="I10" s="298"/>
      <c r="J10" s="298"/>
      <c r="K10" s="298"/>
      <c r="L10" s="298"/>
      <c r="M10" s="299"/>
      <c r="N10" s="298">
        <v>100</v>
      </c>
      <c r="O10" s="298">
        <v>100</v>
      </c>
      <c r="P10" s="298">
        <v>100</v>
      </c>
      <c r="Q10" s="298">
        <v>100</v>
      </c>
      <c r="R10" s="299">
        <v>100</v>
      </c>
      <c r="S10" s="298"/>
      <c r="T10" s="298"/>
      <c r="U10" s="298"/>
      <c r="V10" s="298"/>
      <c r="W10" s="299"/>
      <c r="X10" s="298">
        <v>100</v>
      </c>
      <c r="Y10" s="298">
        <v>100</v>
      </c>
      <c r="Z10" s="298">
        <v>100</v>
      </c>
      <c r="AA10" s="298">
        <v>100</v>
      </c>
      <c r="AB10" s="299">
        <v>100</v>
      </c>
      <c r="AC10" s="300">
        <v>1.02</v>
      </c>
      <c r="AD10" s="300">
        <v>1.02</v>
      </c>
      <c r="AE10" s="300">
        <v>1.02</v>
      </c>
      <c r="AF10" s="300">
        <v>1.02</v>
      </c>
      <c r="AG10" s="301">
        <v>1.02</v>
      </c>
      <c r="AH10" s="300">
        <v>0</v>
      </c>
      <c r="AI10" s="300">
        <v>0</v>
      </c>
      <c r="AJ10" s="300">
        <v>0</v>
      </c>
      <c r="AK10" s="300">
        <v>0</v>
      </c>
      <c r="AL10" s="301">
        <v>0</v>
      </c>
      <c r="AM10" s="300">
        <v>0</v>
      </c>
      <c r="AN10" s="300">
        <v>0</v>
      </c>
      <c r="AO10" s="300">
        <v>0</v>
      </c>
      <c r="AP10" s="300">
        <v>0</v>
      </c>
      <c r="AQ10" s="301">
        <v>0</v>
      </c>
      <c r="AR10" s="298">
        <v>400</v>
      </c>
      <c r="AS10" s="298">
        <v>300</v>
      </c>
      <c r="AT10" s="298">
        <v>200</v>
      </c>
      <c r="AU10" s="298">
        <v>100</v>
      </c>
      <c r="AV10" s="299">
        <v>100</v>
      </c>
      <c r="AW10" s="298">
        <v>25</v>
      </c>
      <c r="AX10" s="298">
        <v>25</v>
      </c>
      <c r="AY10" s="298">
        <v>25</v>
      </c>
      <c r="AZ10" s="298">
        <v>25</v>
      </c>
      <c r="BA10" s="299">
        <v>25</v>
      </c>
      <c r="BB10" s="298">
        <v>22500</v>
      </c>
      <c r="BC10" s="298">
        <v>20000</v>
      </c>
      <c r="BD10" s="298">
        <v>17500</v>
      </c>
      <c r="BE10" s="298">
        <v>17500</v>
      </c>
      <c r="BF10" s="299">
        <v>17500</v>
      </c>
      <c r="BG10" s="298">
        <v>2000</v>
      </c>
      <c r="BH10" s="298">
        <v>2000</v>
      </c>
      <c r="BI10" s="298">
        <v>2000</v>
      </c>
      <c r="BJ10" s="298">
        <v>2000</v>
      </c>
      <c r="BK10" s="299">
        <v>2000</v>
      </c>
      <c r="BL10" s="302">
        <v>1540</v>
      </c>
      <c r="BM10" s="298">
        <v>1540</v>
      </c>
      <c r="BN10" s="298">
        <v>1540</v>
      </c>
      <c r="BO10" s="298">
        <v>1540</v>
      </c>
      <c r="BP10" s="299">
        <v>1540</v>
      </c>
      <c r="BQ10" s="297">
        <v>2</v>
      </c>
      <c r="BR10" s="298">
        <v>2</v>
      </c>
      <c r="BS10" s="298">
        <v>2</v>
      </c>
      <c r="BT10" s="298">
        <v>2</v>
      </c>
      <c r="BU10" s="299">
        <v>2</v>
      </c>
      <c r="BV10" s="305" t="s">
        <v>327</v>
      </c>
      <c r="BW10" s="306">
        <v>58.441558441558442</v>
      </c>
      <c r="BX10" s="306">
        <v>51.948051948051948</v>
      </c>
      <c r="BY10" s="306">
        <v>45.454545454545453</v>
      </c>
      <c r="BZ10" s="306">
        <v>45.454545454545453</v>
      </c>
      <c r="CA10" s="307">
        <v>45.454545454545453</v>
      </c>
      <c r="CB10" s="306">
        <v>5.1948051948051948</v>
      </c>
      <c r="CC10" s="306">
        <v>5.1948051948051948</v>
      </c>
      <c r="CD10" s="306">
        <v>5.1948051948051948</v>
      </c>
      <c r="CE10" s="306">
        <v>5.1948051948051948</v>
      </c>
      <c r="CF10" s="307">
        <v>5.1948051948051948</v>
      </c>
      <c r="CG10" s="309">
        <v>4</v>
      </c>
      <c r="CH10" s="309">
        <v>4</v>
      </c>
      <c r="CI10" s="309">
        <v>4</v>
      </c>
      <c r="CJ10" s="309">
        <v>4</v>
      </c>
      <c r="CK10" s="310">
        <v>4</v>
      </c>
    </row>
    <row r="11" spans="1:89" s="293" customFormat="1" x14ac:dyDescent="0.2">
      <c r="A11" s="294" t="s">
        <v>330</v>
      </c>
      <c r="B11" s="295" t="s">
        <v>435</v>
      </c>
      <c r="C11" s="296" t="s">
        <v>331</v>
      </c>
      <c r="D11" s="297" t="s">
        <v>436</v>
      </c>
      <c r="E11" s="298" t="s">
        <v>425</v>
      </c>
      <c r="F11" s="298" t="s">
        <v>437</v>
      </c>
      <c r="G11" s="298" t="s">
        <v>437</v>
      </c>
      <c r="H11" s="299" t="s">
        <v>437</v>
      </c>
      <c r="I11" s="298"/>
      <c r="J11" s="298"/>
      <c r="K11" s="298"/>
      <c r="L11" s="298"/>
      <c r="M11" s="299"/>
      <c r="N11" s="298">
        <v>100</v>
      </c>
      <c r="O11" s="298">
        <v>100</v>
      </c>
      <c r="P11" s="298">
        <v>100</v>
      </c>
      <c r="Q11" s="298">
        <v>100</v>
      </c>
      <c r="R11" s="299">
        <v>100</v>
      </c>
      <c r="S11" s="298"/>
      <c r="T11" s="298"/>
      <c r="U11" s="298"/>
      <c r="V11" s="298"/>
      <c r="W11" s="299"/>
      <c r="X11" s="298">
        <v>100</v>
      </c>
      <c r="Y11" s="298">
        <v>100</v>
      </c>
      <c r="Z11" s="298">
        <v>100</v>
      </c>
      <c r="AA11" s="298">
        <v>100</v>
      </c>
      <c r="AB11" s="299">
        <v>100</v>
      </c>
      <c r="AC11" s="300">
        <v>0.8</v>
      </c>
      <c r="AD11" s="300">
        <v>0.87</v>
      </c>
      <c r="AE11" s="300">
        <v>0.91</v>
      </c>
      <c r="AF11" s="300">
        <v>0.95</v>
      </c>
      <c r="AG11" s="301">
        <v>0.95</v>
      </c>
      <c r="AH11" s="300">
        <v>0</v>
      </c>
      <c r="AI11" s="300">
        <v>0</v>
      </c>
      <c r="AJ11" s="300">
        <v>0</v>
      </c>
      <c r="AK11" s="300">
        <v>0</v>
      </c>
      <c r="AL11" s="301">
        <v>0</v>
      </c>
      <c r="AM11" s="300">
        <v>0</v>
      </c>
      <c r="AN11" s="300">
        <v>0</v>
      </c>
      <c r="AO11" s="300">
        <v>0</v>
      </c>
      <c r="AP11" s="300">
        <v>0</v>
      </c>
      <c r="AQ11" s="301">
        <v>0</v>
      </c>
      <c r="AR11" s="298"/>
      <c r="AS11" s="298"/>
      <c r="AT11" s="298"/>
      <c r="AU11" s="298"/>
      <c r="AV11" s="299"/>
      <c r="AW11" s="298">
        <v>20</v>
      </c>
      <c r="AX11" s="298">
        <v>20</v>
      </c>
      <c r="AY11" s="298">
        <v>20</v>
      </c>
      <c r="AZ11" s="298">
        <v>20</v>
      </c>
      <c r="BA11" s="299">
        <v>20</v>
      </c>
      <c r="BB11" s="302">
        <v>6750</v>
      </c>
      <c r="BC11" s="302">
        <v>6750</v>
      </c>
      <c r="BD11" s="302">
        <v>7500</v>
      </c>
      <c r="BE11" s="302">
        <v>7500</v>
      </c>
      <c r="BF11" s="303">
        <v>7500</v>
      </c>
      <c r="BG11" s="302">
        <v>1600</v>
      </c>
      <c r="BH11" s="302">
        <v>1600</v>
      </c>
      <c r="BI11" s="302">
        <v>1600</v>
      </c>
      <c r="BJ11" s="302">
        <v>1600</v>
      </c>
      <c r="BK11" s="303">
        <v>1600</v>
      </c>
      <c r="BL11" s="302">
        <v>26</v>
      </c>
      <c r="BM11" s="302">
        <v>25</v>
      </c>
      <c r="BN11" s="302">
        <v>36</v>
      </c>
      <c r="BO11" s="302">
        <v>36</v>
      </c>
      <c r="BP11" s="303">
        <v>36</v>
      </c>
      <c r="BQ11" s="304">
        <v>0</v>
      </c>
      <c r="BR11" s="302">
        <v>0</v>
      </c>
      <c r="BS11" s="302">
        <v>0</v>
      </c>
      <c r="BT11" s="302">
        <v>0</v>
      </c>
      <c r="BU11" s="303">
        <v>0</v>
      </c>
      <c r="BV11" s="305" t="s">
        <v>332</v>
      </c>
      <c r="BW11" s="306">
        <v>519.23076923076928</v>
      </c>
      <c r="BX11" s="306">
        <v>540</v>
      </c>
      <c r="BY11" s="306">
        <v>625</v>
      </c>
      <c r="BZ11" s="306">
        <v>625</v>
      </c>
      <c r="CA11" s="307">
        <v>625</v>
      </c>
      <c r="CB11" s="306">
        <v>123.07692307692308</v>
      </c>
      <c r="CC11" s="306">
        <v>128</v>
      </c>
      <c r="CD11" s="306">
        <v>133.33333333333334</v>
      </c>
      <c r="CE11" s="306">
        <v>133.33333333333334</v>
      </c>
      <c r="CF11" s="307">
        <v>133.33333333333334</v>
      </c>
      <c r="CG11" s="309">
        <v>2</v>
      </c>
      <c r="CH11" s="309">
        <v>2</v>
      </c>
      <c r="CI11" s="309">
        <v>3</v>
      </c>
      <c r="CJ11" s="309">
        <v>3</v>
      </c>
      <c r="CK11" s="310">
        <v>3</v>
      </c>
    </row>
    <row r="12" spans="1:89" s="293" customFormat="1" x14ac:dyDescent="0.2">
      <c r="A12" s="294" t="s">
        <v>333</v>
      </c>
      <c r="B12" s="295" t="s">
        <v>438</v>
      </c>
      <c r="C12" s="296" t="s">
        <v>334</v>
      </c>
      <c r="D12" s="297" t="s">
        <v>439</v>
      </c>
      <c r="E12" s="298" t="s">
        <v>439</v>
      </c>
      <c r="F12" s="298" t="s">
        <v>439</v>
      </c>
      <c r="G12" s="298" t="s">
        <v>439</v>
      </c>
      <c r="H12" s="299" t="s">
        <v>439</v>
      </c>
      <c r="I12" s="298"/>
      <c r="J12" s="298"/>
      <c r="K12" s="298"/>
      <c r="L12" s="298"/>
      <c r="M12" s="299"/>
      <c r="N12" s="298">
        <v>100</v>
      </c>
      <c r="O12" s="298">
        <v>100</v>
      </c>
      <c r="P12" s="298">
        <v>100</v>
      </c>
      <c r="Q12" s="298">
        <v>100</v>
      </c>
      <c r="R12" s="299">
        <v>100</v>
      </c>
      <c r="S12" s="298"/>
      <c r="T12" s="298"/>
      <c r="U12" s="298"/>
      <c r="V12" s="298"/>
      <c r="W12" s="299"/>
      <c r="X12" s="298">
        <v>100</v>
      </c>
      <c r="Y12" s="298">
        <v>100</v>
      </c>
      <c r="Z12" s="298">
        <v>100</v>
      </c>
      <c r="AA12" s="298">
        <v>100</v>
      </c>
      <c r="AB12" s="299">
        <v>100</v>
      </c>
      <c r="AC12" s="300">
        <v>0.85</v>
      </c>
      <c r="AD12" s="300">
        <v>0.87</v>
      </c>
      <c r="AE12" s="300">
        <v>0.91</v>
      </c>
      <c r="AF12" s="300">
        <v>0.95</v>
      </c>
      <c r="AG12" s="301">
        <v>0.95</v>
      </c>
      <c r="AH12" s="300">
        <v>0</v>
      </c>
      <c r="AI12" s="300">
        <v>0</v>
      </c>
      <c r="AJ12" s="300">
        <v>0</v>
      </c>
      <c r="AK12" s="300">
        <v>0</v>
      </c>
      <c r="AL12" s="301">
        <v>0</v>
      </c>
      <c r="AM12" s="300">
        <v>0</v>
      </c>
      <c r="AN12" s="300">
        <v>0</v>
      </c>
      <c r="AO12" s="300">
        <v>0</v>
      </c>
      <c r="AP12" s="300">
        <v>0</v>
      </c>
      <c r="AQ12" s="301">
        <v>0</v>
      </c>
      <c r="AR12" s="298"/>
      <c r="AS12" s="298"/>
      <c r="AT12" s="298"/>
      <c r="AU12" s="298"/>
      <c r="AV12" s="299"/>
      <c r="AW12" s="298">
        <v>20</v>
      </c>
      <c r="AX12" s="298">
        <v>20</v>
      </c>
      <c r="AY12" s="298">
        <v>20</v>
      </c>
      <c r="AZ12" s="298">
        <v>20</v>
      </c>
      <c r="BA12" s="299">
        <v>20</v>
      </c>
      <c r="BB12" s="302">
        <v>93500</v>
      </c>
      <c r="BC12" s="302">
        <v>93500</v>
      </c>
      <c r="BD12" s="302">
        <v>93500</v>
      </c>
      <c r="BE12" s="302">
        <v>93500</v>
      </c>
      <c r="BF12" s="303">
        <v>93500</v>
      </c>
      <c r="BG12" s="302">
        <v>15000</v>
      </c>
      <c r="BH12" s="302">
        <v>15000</v>
      </c>
      <c r="BI12" s="302">
        <v>18500</v>
      </c>
      <c r="BJ12" s="302">
        <v>18500</v>
      </c>
      <c r="BK12" s="303">
        <v>18500</v>
      </c>
      <c r="BL12" s="302">
        <v>31.5</v>
      </c>
      <c r="BM12" s="302">
        <v>31.5</v>
      </c>
      <c r="BN12" s="302">
        <v>35</v>
      </c>
      <c r="BO12" s="302">
        <v>40</v>
      </c>
      <c r="BP12" s="302">
        <v>40</v>
      </c>
      <c r="BQ12" s="304">
        <v>0</v>
      </c>
      <c r="BR12" s="302">
        <v>0</v>
      </c>
      <c r="BS12" s="302">
        <v>0</v>
      </c>
      <c r="BT12" s="302">
        <v>0</v>
      </c>
      <c r="BU12" s="303">
        <v>0</v>
      </c>
      <c r="BV12" s="305" t="s">
        <v>335</v>
      </c>
      <c r="BW12" s="311">
        <v>170</v>
      </c>
      <c r="BX12" s="311">
        <v>170</v>
      </c>
      <c r="BY12" s="311">
        <v>170</v>
      </c>
      <c r="BZ12" s="311">
        <v>170</v>
      </c>
      <c r="CA12" s="312">
        <v>170</v>
      </c>
      <c r="CB12" s="306">
        <v>27.272727272727273</v>
      </c>
      <c r="CC12" s="306">
        <v>27.272727272727273</v>
      </c>
      <c r="CD12" s="306">
        <v>33.636363636363633</v>
      </c>
      <c r="CE12" s="306">
        <v>33.636363636363633</v>
      </c>
      <c r="CF12" s="307">
        <v>33.636363636363633</v>
      </c>
      <c r="CG12" s="309">
        <v>6.3</v>
      </c>
      <c r="CH12" s="309">
        <v>6.3</v>
      </c>
      <c r="CI12" s="309">
        <v>7</v>
      </c>
      <c r="CJ12" s="309">
        <v>8</v>
      </c>
      <c r="CK12" s="310">
        <v>8</v>
      </c>
    </row>
    <row r="13" spans="1:89" s="293" customFormat="1" x14ac:dyDescent="0.2">
      <c r="A13" s="294" t="s">
        <v>336</v>
      </c>
      <c r="B13" s="295" t="s">
        <v>440</v>
      </c>
      <c r="C13" s="296" t="s">
        <v>337</v>
      </c>
      <c r="D13" s="297" t="s">
        <v>441</v>
      </c>
      <c r="E13" s="298" t="s">
        <v>442</v>
      </c>
      <c r="F13" s="298" t="s">
        <v>443</v>
      </c>
      <c r="G13" s="298" t="s">
        <v>444</v>
      </c>
      <c r="H13" s="299" t="s">
        <v>444</v>
      </c>
      <c r="I13" s="298"/>
      <c r="J13" s="298"/>
      <c r="K13" s="298"/>
      <c r="L13" s="298"/>
      <c r="M13" s="299"/>
      <c r="N13" s="313">
        <v>40</v>
      </c>
      <c r="O13" s="313">
        <v>40</v>
      </c>
      <c r="P13" s="313">
        <v>40</v>
      </c>
      <c r="Q13" s="313">
        <v>40</v>
      </c>
      <c r="R13" s="314">
        <v>40</v>
      </c>
      <c r="S13" s="298"/>
      <c r="T13" s="298"/>
      <c r="U13" s="298"/>
      <c r="V13" s="298"/>
      <c r="W13" s="299"/>
      <c r="X13" s="298">
        <v>0</v>
      </c>
      <c r="Y13" s="298">
        <v>0</v>
      </c>
      <c r="Z13" s="298">
        <v>0</v>
      </c>
      <c r="AA13" s="298">
        <v>0</v>
      </c>
      <c r="AB13" s="299">
        <v>0</v>
      </c>
      <c r="AC13" s="300">
        <v>0.65</v>
      </c>
      <c r="AD13" s="300">
        <v>0.7</v>
      </c>
      <c r="AE13" s="300">
        <v>0.75</v>
      </c>
      <c r="AF13" s="300">
        <v>0.75</v>
      </c>
      <c r="AG13" s="301">
        <v>0.75</v>
      </c>
      <c r="AH13" s="300">
        <v>0</v>
      </c>
      <c r="AI13" s="300">
        <v>0</v>
      </c>
      <c r="AJ13" s="300">
        <v>0</v>
      </c>
      <c r="AK13" s="300">
        <v>0</v>
      </c>
      <c r="AL13" s="301">
        <v>0</v>
      </c>
      <c r="AM13" s="300">
        <v>0</v>
      </c>
      <c r="AN13" s="300">
        <v>0</v>
      </c>
      <c r="AO13" s="300">
        <v>0</v>
      </c>
      <c r="AP13" s="300">
        <v>0</v>
      </c>
      <c r="AQ13" s="301">
        <v>0</v>
      </c>
      <c r="AR13" s="298"/>
      <c r="AS13" s="298"/>
      <c r="AT13" s="298"/>
      <c r="AU13" s="298"/>
      <c r="AV13" s="299"/>
      <c r="AW13" s="298">
        <v>24</v>
      </c>
      <c r="AX13" s="298">
        <v>24</v>
      </c>
      <c r="AY13" s="298">
        <v>24</v>
      </c>
      <c r="AZ13" s="298">
        <v>24</v>
      </c>
      <c r="BA13" s="299">
        <v>24</v>
      </c>
      <c r="BB13" s="302">
        <v>2600</v>
      </c>
      <c r="BC13" s="302">
        <v>2600</v>
      </c>
      <c r="BD13" s="302">
        <v>3500</v>
      </c>
      <c r="BE13" s="302">
        <v>3500</v>
      </c>
      <c r="BF13" s="303">
        <v>3500</v>
      </c>
      <c r="BG13" s="302">
        <v>1600</v>
      </c>
      <c r="BH13" s="302">
        <v>1600</v>
      </c>
      <c r="BI13" s="302">
        <v>1600</v>
      </c>
      <c r="BJ13" s="302">
        <v>1600</v>
      </c>
      <c r="BK13" s="303">
        <v>1600</v>
      </c>
      <c r="BL13" s="302">
        <v>0.75</v>
      </c>
      <c r="BM13" s="302">
        <v>0.70000000000000007</v>
      </c>
      <c r="BN13" s="302">
        <v>0.5</v>
      </c>
      <c r="BO13" s="302">
        <v>0.70000000000000007</v>
      </c>
      <c r="BP13" s="303">
        <v>0.70000000000000007</v>
      </c>
      <c r="BQ13" s="304">
        <v>0</v>
      </c>
      <c r="BR13" s="302">
        <v>0</v>
      </c>
      <c r="BS13" s="302">
        <v>0</v>
      </c>
      <c r="BT13" s="302">
        <v>0</v>
      </c>
      <c r="BU13" s="303">
        <v>0</v>
      </c>
      <c r="BV13" s="305" t="s">
        <v>338</v>
      </c>
      <c r="BW13" s="306">
        <v>346.66666666666669</v>
      </c>
      <c r="BX13" s="306">
        <v>371.42857142857144</v>
      </c>
      <c r="BY13" s="306">
        <v>666.66666666666663</v>
      </c>
      <c r="BZ13" s="306">
        <v>933.33333333333337</v>
      </c>
      <c r="CA13" s="307">
        <v>933.33333333333337</v>
      </c>
      <c r="CB13" s="306">
        <v>213.33333333333334</v>
      </c>
      <c r="CC13" s="306">
        <v>228.57142857142858</v>
      </c>
      <c r="CD13" s="306">
        <v>304.76190476190476</v>
      </c>
      <c r="CE13" s="306">
        <v>426.66666666666669</v>
      </c>
      <c r="CF13" s="307">
        <v>426.66666666666669</v>
      </c>
      <c r="CG13" s="309">
        <v>0.1</v>
      </c>
      <c r="CH13" s="309">
        <v>0.1</v>
      </c>
      <c r="CI13" s="309">
        <v>0.1</v>
      </c>
      <c r="CJ13" s="309">
        <v>0.2</v>
      </c>
      <c r="CK13" s="310">
        <v>0.2</v>
      </c>
    </row>
    <row r="14" spans="1:89" s="293" customFormat="1" x14ac:dyDescent="0.2">
      <c r="A14" s="294"/>
      <c r="B14" s="295"/>
      <c r="C14" s="296" t="s">
        <v>339</v>
      </c>
      <c r="D14" s="297"/>
      <c r="E14" s="298"/>
      <c r="F14" s="298"/>
      <c r="G14" s="298"/>
      <c r="H14" s="299"/>
      <c r="I14" s="298"/>
      <c r="J14" s="298"/>
      <c r="K14" s="298"/>
      <c r="L14" s="298"/>
      <c r="M14" s="299"/>
      <c r="N14" s="298"/>
      <c r="O14" s="298"/>
      <c r="P14" s="298"/>
      <c r="Q14" s="298"/>
      <c r="R14" s="299"/>
      <c r="S14" s="298"/>
      <c r="T14" s="298"/>
      <c r="U14" s="298"/>
      <c r="V14" s="298"/>
      <c r="W14" s="299"/>
      <c r="X14" s="298"/>
      <c r="Y14" s="298"/>
      <c r="Z14" s="298"/>
      <c r="AA14" s="298"/>
      <c r="AB14" s="299"/>
      <c r="AC14" s="300">
        <v>0</v>
      </c>
      <c r="AD14" s="300">
        <v>0</v>
      </c>
      <c r="AE14" s="300">
        <v>0</v>
      </c>
      <c r="AF14" s="300">
        <v>0</v>
      </c>
      <c r="AG14" s="301">
        <v>0</v>
      </c>
      <c r="AH14" s="300">
        <v>0</v>
      </c>
      <c r="AI14" s="300">
        <v>0</v>
      </c>
      <c r="AJ14" s="300">
        <v>0</v>
      </c>
      <c r="AK14" s="300">
        <v>0</v>
      </c>
      <c r="AL14" s="301">
        <v>0</v>
      </c>
      <c r="AM14" s="300">
        <v>0</v>
      </c>
      <c r="AN14" s="300">
        <v>0</v>
      </c>
      <c r="AO14" s="300">
        <v>0</v>
      </c>
      <c r="AP14" s="300">
        <v>0</v>
      </c>
      <c r="AQ14" s="301">
        <v>0</v>
      </c>
      <c r="AR14" s="298"/>
      <c r="AS14" s="298"/>
      <c r="AT14" s="298"/>
      <c r="AU14" s="298"/>
      <c r="AV14" s="299"/>
      <c r="AW14" s="298"/>
      <c r="AX14" s="298"/>
      <c r="AY14" s="298"/>
      <c r="AZ14" s="298"/>
      <c r="BA14" s="299"/>
      <c r="BB14" s="302">
        <v>0</v>
      </c>
      <c r="BC14" s="302">
        <v>0</v>
      </c>
      <c r="BD14" s="302">
        <v>0</v>
      </c>
      <c r="BE14" s="302">
        <v>0</v>
      </c>
      <c r="BF14" s="303">
        <v>0</v>
      </c>
      <c r="BG14" s="302">
        <v>0</v>
      </c>
      <c r="BH14" s="302">
        <v>0</v>
      </c>
      <c r="BI14" s="302">
        <v>0</v>
      </c>
      <c r="BJ14" s="302">
        <v>0</v>
      </c>
      <c r="BK14" s="303">
        <v>0</v>
      </c>
      <c r="BL14" s="302"/>
      <c r="BM14" s="302"/>
      <c r="BN14" s="302"/>
      <c r="BO14" s="302"/>
      <c r="BP14" s="303"/>
      <c r="BQ14" s="304"/>
      <c r="BR14" s="302"/>
      <c r="BS14" s="302"/>
      <c r="BT14" s="302"/>
      <c r="BU14" s="303"/>
      <c r="BV14" s="305"/>
      <c r="BW14" s="302"/>
      <c r="BX14" s="302"/>
      <c r="BY14" s="302"/>
      <c r="BZ14" s="302"/>
      <c r="CA14" s="303"/>
      <c r="CB14" s="302"/>
      <c r="CC14" s="302"/>
      <c r="CD14" s="302"/>
      <c r="CE14" s="302"/>
      <c r="CF14" s="303"/>
      <c r="CG14" s="304"/>
      <c r="CH14" s="302"/>
      <c r="CI14" s="302"/>
      <c r="CJ14" s="302"/>
      <c r="CK14" s="303"/>
    </row>
    <row r="15" spans="1:89" s="293" customFormat="1" x14ac:dyDescent="0.2">
      <c r="A15" s="286" t="s">
        <v>340</v>
      </c>
      <c r="B15" s="287"/>
      <c r="C15" s="288"/>
      <c r="D15" s="289"/>
      <c r="E15" s="290"/>
      <c r="F15" s="290"/>
      <c r="G15" s="290"/>
      <c r="H15" s="291"/>
      <c r="I15" s="290"/>
      <c r="J15" s="290"/>
      <c r="K15" s="290"/>
      <c r="L15" s="290"/>
      <c r="M15" s="291"/>
      <c r="N15" s="290"/>
      <c r="O15" s="290"/>
      <c r="P15" s="290"/>
      <c r="Q15" s="290"/>
      <c r="R15" s="291"/>
      <c r="S15" s="290"/>
      <c r="T15" s="290"/>
      <c r="U15" s="290"/>
      <c r="V15" s="290"/>
      <c r="W15" s="291"/>
      <c r="X15" s="290"/>
      <c r="Y15" s="290"/>
      <c r="Z15" s="290"/>
      <c r="AA15" s="290"/>
      <c r="AB15" s="291"/>
      <c r="AC15" s="315">
        <v>0</v>
      </c>
      <c r="AD15" s="315">
        <v>0</v>
      </c>
      <c r="AE15" s="315">
        <v>0</v>
      </c>
      <c r="AF15" s="315">
        <v>0</v>
      </c>
      <c r="AG15" s="316">
        <v>0</v>
      </c>
      <c r="AH15" s="315">
        <v>0</v>
      </c>
      <c r="AI15" s="315">
        <v>0</v>
      </c>
      <c r="AJ15" s="315">
        <v>0</v>
      </c>
      <c r="AK15" s="315">
        <v>0</v>
      </c>
      <c r="AL15" s="316">
        <v>0</v>
      </c>
      <c r="AM15" s="315">
        <v>0</v>
      </c>
      <c r="AN15" s="315">
        <v>0</v>
      </c>
      <c r="AO15" s="315">
        <v>0</v>
      </c>
      <c r="AP15" s="315">
        <v>0</v>
      </c>
      <c r="AQ15" s="316">
        <v>0</v>
      </c>
      <c r="AR15" s="290"/>
      <c r="AS15" s="290"/>
      <c r="AT15" s="290"/>
      <c r="AU15" s="290"/>
      <c r="AV15" s="291"/>
      <c r="AW15" s="290"/>
      <c r="AX15" s="290"/>
      <c r="AY15" s="290"/>
      <c r="AZ15" s="290"/>
      <c r="BA15" s="291"/>
      <c r="BB15" s="290">
        <v>0</v>
      </c>
      <c r="BC15" s="290">
        <v>0</v>
      </c>
      <c r="BD15" s="290">
        <v>0</v>
      </c>
      <c r="BE15" s="290">
        <v>0</v>
      </c>
      <c r="BF15" s="291">
        <v>0</v>
      </c>
      <c r="BG15" s="290">
        <v>0</v>
      </c>
      <c r="BH15" s="290">
        <v>0</v>
      </c>
      <c r="BI15" s="290">
        <v>0</v>
      </c>
      <c r="BJ15" s="290">
        <v>0</v>
      </c>
      <c r="BK15" s="291">
        <v>0</v>
      </c>
      <c r="BL15" s="290"/>
      <c r="BM15" s="290"/>
      <c r="BN15" s="290"/>
      <c r="BO15" s="290"/>
      <c r="BP15" s="291"/>
      <c r="BQ15" s="289"/>
      <c r="BR15" s="290"/>
      <c r="BS15" s="290"/>
      <c r="BT15" s="290"/>
      <c r="BU15" s="291"/>
      <c r="BV15" s="292"/>
      <c r="BW15" s="290"/>
      <c r="BX15" s="290"/>
      <c r="BY15" s="290"/>
      <c r="BZ15" s="290"/>
      <c r="CA15" s="291"/>
      <c r="CB15" s="290"/>
      <c r="CC15" s="290"/>
      <c r="CD15" s="290"/>
      <c r="CE15" s="290"/>
      <c r="CF15" s="291"/>
      <c r="CG15" s="289"/>
      <c r="CH15" s="290"/>
      <c r="CI15" s="290"/>
      <c r="CJ15" s="290"/>
      <c r="CK15" s="291"/>
    </row>
    <row r="16" spans="1:89" s="293" customFormat="1" x14ac:dyDescent="0.2">
      <c r="A16" s="294" t="s">
        <v>341</v>
      </c>
      <c r="B16" s="295" t="s">
        <v>445</v>
      </c>
      <c r="C16" s="296" t="s">
        <v>342</v>
      </c>
      <c r="D16" s="297" t="s">
        <v>446</v>
      </c>
      <c r="E16" s="298" t="s">
        <v>446</v>
      </c>
      <c r="F16" s="298" t="s">
        <v>446</v>
      </c>
      <c r="G16" s="298" t="s">
        <v>446</v>
      </c>
      <c r="H16" s="299" t="s">
        <v>446</v>
      </c>
      <c r="I16" s="298"/>
      <c r="J16" s="298"/>
      <c r="K16" s="298"/>
      <c r="L16" s="298"/>
      <c r="M16" s="299"/>
      <c r="N16" s="298">
        <v>60</v>
      </c>
      <c r="O16" s="298">
        <v>60</v>
      </c>
      <c r="P16" s="298">
        <v>60</v>
      </c>
      <c r="Q16" s="298">
        <v>60</v>
      </c>
      <c r="R16" s="299">
        <v>60</v>
      </c>
      <c r="S16" s="298"/>
      <c r="T16" s="298"/>
      <c r="U16" s="298"/>
      <c r="V16" s="298"/>
      <c r="W16" s="299"/>
      <c r="X16" s="298">
        <v>0</v>
      </c>
      <c r="Y16" s="298">
        <v>0</v>
      </c>
      <c r="Z16" s="298">
        <v>0</v>
      </c>
      <c r="AA16" s="298">
        <v>0</v>
      </c>
      <c r="AB16" s="299">
        <v>0</v>
      </c>
      <c r="AC16" s="300">
        <v>3</v>
      </c>
      <c r="AD16" s="300">
        <v>3.2</v>
      </c>
      <c r="AE16" s="300">
        <v>3.7</v>
      </c>
      <c r="AF16" s="300">
        <v>4</v>
      </c>
      <c r="AG16" s="301">
        <v>4</v>
      </c>
      <c r="AH16" s="300">
        <v>0</v>
      </c>
      <c r="AI16" s="300">
        <v>0</v>
      </c>
      <c r="AJ16" s="300">
        <v>0</v>
      </c>
      <c r="AK16" s="300">
        <v>0</v>
      </c>
      <c r="AL16" s="301">
        <v>0</v>
      </c>
      <c r="AM16" s="300">
        <v>0</v>
      </c>
      <c r="AN16" s="300">
        <v>0</v>
      </c>
      <c r="AO16" s="300">
        <v>0</v>
      </c>
      <c r="AP16" s="300">
        <v>0</v>
      </c>
      <c r="AQ16" s="301">
        <v>0</v>
      </c>
      <c r="AR16" s="298"/>
      <c r="AS16" s="298"/>
      <c r="AT16" s="298"/>
      <c r="AU16" s="298"/>
      <c r="AV16" s="299"/>
      <c r="AW16" s="298">
        <v>20</v>
      </c>
      <c r="AX16" s="298">
        <v>20</v>
      </c>
      <c r="AY16" s="298">
        <v>20</v>
      </c>
      <c r="AZ16" s="298">
        <v>20</v>
      </c>
      <c r="BA16" s="299">
        <v>20</v>
      </c>
      <c r="BB16" s="302">
        <v>2200</v>
      </c>
      <c r="BC16" s="302">
        <v>2100</v>
      </c>
      <c r="BD16" s="302">
        <v>1900</v>
      </c>
      <c r="BE16" s="302">
        <v>1800</v>
      </c>
      <c r="BF16" s="303">
        <v>1800</v>
      </c>
      <c r="BG16" s="302">
        <v>0</v>
      </c>
      <c r="BH16" s="302">
        <v>0</v>
      </c>
      <c r="BI16" s="302">
        <v>0</v>
      </c>
      <c r="BJ16" s="302">
        <v>0</v>
      </c>
      <c r="BK16" s="303">
        <v>0</v>
      </c>
      <c r="BL16" s="302">
        <v>34</v>
      </c>
      <c r="BM16" s="302">
        <v>34</v>
      </c>
      <c r="BN16" s="302">
        <v>34</v>
      </c>
      <c r="BO16" s="302">
        <v>34</v>
      </c>
      <c r="BP16" s="303">
        <v>34</v>
      </c>
      <c r="BQ16" s="304">
        <v>0</v>
      </c>
      <c r="BR16" s="302">
        <v>0</v>
      </c>
      <c r="BS16" s="302">
        <v>0</v>
      </c>
      <c r="BT16" s="302">
        <v>0</v>
      </c>
      <c r="BU16" s="303">
        <v>0</v>
      </c>
      <c r="BV16" s="305"/>
      <c r="BW16" s="306">
        <v>550</v>
      </c>
      <c r="BX16" s="306">
        <v>525</v>
      </c>
      <c r="BY16" s="306">
        <v>475</v>
      </c>
      <c r="BZ16" s="306">
        <v>450</v>
      </c>
      <c r="CA16" s="307">
        <v>450</v>
      </c>
      <c r="CB16" s="302">
        <v>0</v>
      </c>
      <c r="CC16" s="302">
        <v>0</v>
      </c>
      <c r="CD16" s="302">
        <v>0</v>
      </c>
      <c r="CE16" s="302">
        <v>0</v>
      </c>
      <c r="CF16" s="303">
        <v>0</v>
      </c>
      <c r="CG16" s="308">
        <v>8.5</v>
      </c>
      <c r="CH16" s="306">
        <v>8.5</v>
      </c>
      <c r="CI16" s="306">
        <v>8.5</v>
      </c>
      <c r="CJ16" s="306">
        <v>8.5</v>
      </c>
      <c r="CK16" s="307">
        <v>8.5</v>
      </c>
    </row>
    <row r="17" spans="1:89" s="293" customFormat="1" x14ac:dyDescent="0.2">
      <c r="A17" s="294"/>
      <c r="B17" s="295"/>
      <c r="C17" s="296" t="s">
        <v>343</v>
      </c>
      <c r="D17" s="317">
        <v>63.7</v>
      </c>
      <c r="E17" s="313">
        <v>63.7</v>
      </c>
      <c r="F17" s="313">
        <v>63.7</v>
      </c>
      <c r="G17" s="313">
        <v>63.7</v>
      </c>
      <c r="H17" s="314">
        <v>63.7</v>
      </c>
      <c r="I17" s="298"/>
      <c r="J17" s="298"/>
      <c r="K17" s="298"/>
      <c r="L17" s="298"/>
      <c r="M17" s="299"/>
      <c r="N17" s="298"/>
      <c r="O17" s="298"/>
      <c r="P17" s="298"/>
      <c r="Q17" s="298"/>
      <c r="R17" s="299"/>
      <c r="S17" s="298"/>
      <c r="T17" s="298"/>
      <c r="U17" s="298"/>
      <c r="V17" s="298"/>
      <c r="W17" s="299"/>
      <c r="X17" s="298"/>
      <c r="Y17" s="298"/>
      <c r="Z17" s="298"/>
      <c r="AA17" s="298"/>
      <c r="AB17" s="299"/>
      <c r="AC17" s="300">
        <v>0</v>
      </c>
      <c r="AD17" s="300">
        <v>0</v>
      </c>
      <c r="AE17" s="300">
        <v>0</v>
      </c>
      <c r="AF17" s="300">
        <v>0</v>
      </c>
      <c r="AG17" s="301">
        <v>0</v>
      </c>
      <c r="AH17" s="300">
        <v>0</v>
      </c>
      <c r="AI17" s="300">
        <v>0</v>
      </c>
      <c r="AJ17" s="300">
        <v>0</v>
      </c>
      <c r="AK17" s="300">
        <v>0</v>
      </c>
      <c r="AL17" s="301">
        <v>0</v>
      </c>
      <c r="AM17" s="300">
        <v>0</v>
      </c>
      <c r="AN17" s="300">
        <v>0</v>
      </c>
      <c r="AO17" s="300">
        <v>0</v>
      </c>
      <c r="AP17" s="300">
        <v>0</v>
      </c>
      <c r="AQ17" s="301">
        <v>0</v>
      </c>
      <c r="AR17" s="298"/>
      <c r="AS17" s="298"/>
      <c r="AT17" s="298"/>
      <c r="AU17" s="298"/>
      <c r="AV17" s="299"/>
      <c r="AW17" s="298"/>
      <c r="AX17" s="298"/>
      <c r="AY17" s="298"/>
      <c r="AZ17" s="298"/>
      <c r="BA17" s="299"/>
      <c r="BB17" s="318">
        <v>27140.2</v>
      </c>
      <c r="BC17" s="318">
        <v>25783.19</v>
      </c>
      <c r="BD17" s="318">
        <v>23340.571999999996</v>
      </c>
      <c r="BE17" s="318">
        <v>22254.963999999996</v>
      </c>
      <c r="BF17" s="319">
        <v>22254.963999999996</v>
      </c>
      <c r="BG17" s="302">
        <v>0</v>
      </c>
      <c r="BH17" s="302">
        <v>0</v>
      </c>
      <c r="BI17" s="302">
        <v>0</v>
      </c>
      <c r="BJ17" s="302">
        <v>0</v>
      </c>
      <c r="BK17" s="303">
        <v>0</v>
      </c>
      <c r="BL17" s="318">
        <v>650</v>
      </c>
      <c r="BM17" s="302"/>
      <c r="BN17" s="302"/>
      <c r="BO17" s="302"/>
      <c r="BP17" s="303"/>
      <c r="BQ17" s="304"/>
      <c r="BR17" s="302"/>
      <c r="BS17" s="302"/>
      <c r="BT17" s="302"/>
      <c r="BU17" s="303"/>
      <c r="BV17" s="305"/>
      <c r="BW17" s="302">
        <v>426.06279434850865</v>
      </c>
      <c r="BX17" s="302">
        <v>404.75965463108315</v>
      </c>
      <c r="BY17" s="302">
        <v>366.41400313971735</v>
      </c>
      <c r="BZ17" s="302">
        <v>349.37149136577699</v>
      </c>
      <c r="CA17" s="303">
        <v>349.37149136577699</v>
      </c>
      <c r="CB17" s="302">
        <v>0</v>
      </c>
      <c r="CC17" s="302">
        <v>0</v>
      </c>
      <c r="CD17" s="302">
        <v>0</v>
      </c>
      <c r="CE17" s="302">
        <v>0</v>
      </c>
      <c r="CF17" s="303">
        <v>0</v>
      </c>
      <c r="CG17" s="304">
        <v>10.204081632653061</v>
      </c>
      <c r="CH17" s="302">
        <v>0</v>
      </c>
      <c r="CI17" s="302">
        <v>0</v>
      </c>
      <c r="CJ17" s="302">
        <v>0</v>
      </c>
      <c r="CK17" s="303">
        <v>0</v>
      </c>
    </row>
    <row r="18" spans="1:89" s="293" customFormat="1" x14ac:dyDescent="0.2">
      <c r="A18" s="294" t="s">
        <v>344</v>
      </c>
      <c r="B18" s="295" t="s">
        <v>447</v>
      </c>
      <c r="C18" s="296" t="s">
        <v>345</v>
      </c>
      <c r="D18" s="297">
        <v>10</v>
      </c>
      <c r="E18" s="298">
        <v>10</v>
      </c>
      <c r="F18" s="298">
        <v>10</v>
      </c>
      <c r="G18" s="298">
        <v>10</v>
      </c>
      <c r="H18" s="299">
        <v>10</v>
      </c>
      <c r="I18" s="298"/>
      <c r="J18" s="298"/>
      <c r="K18" s="298"/>
      <c r="L18" s="298"/>
      <c r="M18" s="299"/>
      <c r="N18" s="298">
        <v>100</v>
      </c>
      <c r="O18" s="298">
        <v>100</v>
      </c>
      <c r="P18" s="298">
        <v>100</v>
      </c>
      <c r="Q18" s="298">
        <v>100</v>
      </c>
      <c r="R18" s="299">
        <v>100</v>
      </c>
      <c r="S18" s="298"/>
      <c r="T18" s="298"/>
      <c r="U18" s="298"/>
      <c r="V18" s="298"/>
      <c r="W18" s="299"/>
      <c r="X18" s="298">
        <v>100</v>
      </c>
      <c r="Y18" s="298">
        <v>100</v>
      </c>
      <c r="Z18" s="298">
        <v>100</v>
      </c>
      <c r="AA18" s="298">
        <v>100</v>
      </c>
      <c r="AB18" s="299">
        <v>100</v>
      </c>
      <c r="AC18" s="300">
        <v>3</v>
      </c>
      <c r="AD18" s="300">
        <v>3.3</v>
      </c>
      <c r="AE18" s="300">
        <v>3.7</v>
      </c>
      <c r="AF18" s="300">
        <v>4</v>
      </c>
      <c r="AG18" s="301">
        <v>4</v>
      </c>
      <c r="AH18" s="300">
        <v>0</v>
      </c>
      <c r="AI18" s="300">
        <v>0</v>
      </c>
      <c r="AJ18" s="300">
        <v>0</v>
      </c>
      <c r="AK18" s="300">
        <v>0</v>
      </c>
      <c r="AL18" s="301">
        <v>0</v>
      </c>
      <c r="AM18" s="300">
        <v>0</v>
      </c>
      <c r="AN18" s="300">
        <v>0</v>
      </c>
      <c r="AO18" s="300">
        <v>0</v>
      </c>
      <c r="AP18" s="300">
        <v>0</v>
      </c>
      <c r="AQ18" s="301">
        <v>0</v>
      </c>
      <c r="AR18" s="298"/>
      <c r="AS18" s="298"/>
      <c r="AT18" s="298"/>
      <c r="AU18" s="298"/>
      <c r="AV18" s="299"/>
      <c r="AW18" s="298">
        <v>20</v>
      </c>
      <c r="AX18" s="298">
        <v>20</v>
      </c>
      <c r="AY18" s="298">
        <v>20</v>
      </c>
      <c r="AZ18" s="298">
        <v>20</v>
      </c>
      <c r="BA18" s="299">
        <v>20</v>
      </c>
      <c r="BB18" s="302">
        <v>11000</v>
      </c>
      <c r="BC18" s="302">
        <v>10000</v>
      </c>
      <c r="BD18" s="302">
        <v>10000</v>
      </c>
      <c r="BE18" s="302">
        <v>9000</v>
      </c>
      <c r="BF18" s="303">
        <v>9000</v>
      </c>
      <c r="BG18" s="302">
        <v>0</v>
      </c>
      <c r="BH18" s="302">
        <v>0</v>
      </c>
      <c r="BI18" s="302">
        <v>0</v>
      </c>
      <c r="BJ18" s="302">
        <v>0</v>
      </c>
      <c r="BK18" s="303">
        <v>0</v>
      </c>
      <c r="BL18" s="302">
        <v>150</v>
      </c>
      <c r="BM18" s="302">
        <v>150</v>
      </c>
      <c r="BN18" s="302">
        <v>150</v>
      </c>
      <c r="BO18" s="302">
        <v>150</v>
      </c>
      <c r="BP18" s="303">
        <v>150</v>
      </c>
      <c r="BQ18" s="304">
        <v>0</v>
      </c>
      <c r="BR18" s="302">
        <v>0</v>
      </c>
      <c r="BS18" s="302">
        <v>0</v>
      </c>
      <c r="BT18" s="302">
        <v>0</v>
      </c>
      <c r="BU18" s="303">
        <v>0</v>
      </c>
      <c r="BV18" s="305" t="s">
        <v>346</v>
      </c>
      <c r="BW18" s="302">
        <v>1100</v>
      </c>
      <c r="BX18" s="302">
        <v>1000</v>
      </c>
      <c r="BY18" s="302">
        <v>1000</v>
      </c>
      <c r="BZ18" s="302">
        <v>900</v>
      </c>
      <c r="CA18" s="303">
        <v>900</v>
      </c>
      <c r="CB18" s="302">
        <v>0</v>
      </c>
      <c r="CC18" s="302">
        <v>0</v>
      </c>
      <c r="CD18" s="302">
        <v>0</v>
      </c>
      <c r="CE18" s="302">
        <v>0</v>
      </c>
      <c r="CF18" s="303">
        <v>0</v>
      </c>
      <c r="CG18" s="304">
        <v>15</v>
      </c>
      <c r="CH18" s="302">
        <v>15</v>
      </c>
      <c r="CI18" s="302">
        <v>15</v>
      </c>
      <c r="CJ18" s="302">
        <v>15</v>
      </c>
      <c r="CK18" s="303">
        <v>15</v>
      </c>
    </row>
    <row r="19" spans="1:89" s="293" customFormat="1" x14ac:dyDescent="0.2">
      <c r="A19" s="294" t="s">
        <v>347</v>
      </c>
      <c r="B19" s="295" t="s">
        <v>448</v>
      </c>
      <c r="C19" s="296" t="s">
        <v>348</v>
      </c>
      <c r="D19" s="297" t="s">
        <v>449</v>
      </c>
      <c r="E19" s="298" t="s">
        <v>449</v>
      </c>
      <c r="F19" s="298" t="s">
        <v>449</v>
      </c>
      <c r="G19" s="298" t="s">
        <v>449</v>
      </c>
      <c r="H19" s="299" t="s">
        <v>449</v>
      </c>
      <c r="I19" s="298"/>
      <c r="J19" s="298"/>
      <c r="K19" s="298"/>
      <c r="L19" s="298"/>
      <c r="M19" s="299"/>
      <c r="N19" s="298">
        <v>100</v>
      </c>
      <c r="O19" s="298">
        <v>100</v>
      </c>
      <c r="P19" s="298">
        <v>100</v>
      </c>
      <c r="Q19" s="298">
        <v>100</v>
      </c>
      <c r="R19" s="299">
        <v>100</v>
      </c>
      <c r="S19" s="298"/>
      <c r="T19" s="298"/>
      <c r="U19" s="298"/>
      <c r="V19" s="298"/>
      <c r="W19" s="299"/>
      <c r="X19" s="298">
        <v>100</v>
      </c>
      <c r="Y19" s="298">
        <v>100</v>
      </c>
      <c r="Z19" s="298">
        <v>100</v>
      </c>
      <c r="AA19" s="298">
        <v>100</v>
      </c>
      <c r="AB19" s="299">
        <v>100</v>
      </c>
      <c r="AC19" s="300">
        <v>3</v>
      </c>
      <c r="AD19" s="300">
        <v>3.3</v>
      </c>
      <c r="AE19" s="300">
        <v>3.7</v>
      </c>
      <c r="AF19" s="300">
        <v>4</v>
      </c>
      <c r="AG19" s="301">
        <v>4</v>
      </c>
      <c r="AH19" s="300">
        <v>0</v>
      </c>
      <c r="AI19" s="300">
        <v>0</v>
      </c>
      <c r="AJ19" s="300">
        <v>0</v>
      </c>
      <c r="AK19" s="300">
        <v>0</v>
      </c>
      <c r="AL19" s="301">
        <v>0</v>
      </c>
      <c r="AM19" s="300">
        <v>0</v>
      </c>
      <c r="AN19" s="300">
        <v>0</v>
      </c>
      <c r="AO19" s="300">
        <v>0</v>
      </c>
      <c r="AP19" s="300">
        <v>0</v>
      </c>
      <c r="AQ19" s="301">
        <v>0</v>
      </c>
      <c r="AR19" s="298"/>
      <c r="AS19" s="298"/>
      <c r="AT19" s="298"/>
      <c r="AU19" s="298"/>
      <c r="AV19" s="299"/>
      <c r="AW19" s="298">
        <v>20</v>
      </c>
      <c r="AX19" s="298">
        <v>20</v>
      </c>
      <c r="AY19" s="298">
        <v>20</v>
      </c>
      <c r="AZ19" s="298">
        <v>20</v>
      </c>
      <c r="BA19" s="299">
        <v>20</v>
      </c>
      <c r="BB19" s="302">
        <v>320000</v>
      </c>
      <c r="BC19" s="302">
        <v>320000</v>
      </c>
      <c r="BD19" s="302">
        <v>280000</v>
      </c>
      <c r="BE19" s="302">
        <v>280000</v>
      </c>
      <c r="BF19" s="303">
        <v>280000</v>
      </c>
      <c r="BG19" s="302">
        <v>0</v>
      </c>
      <c r="BH19" s="302">
        <v>0</v>
      </c>
      <c r="BI19" s="302">
        <v>0</v>
      </c>
      <c r="BJ19" s="302">
        <v>0</v>
      </c>
      <c r="BK19" s="303">
        <v>0</v>
      </c>
      <c r="BL19" s="302">
        <v>450</v>
      </c>
      <c r="BM19" s="302">
        <v>450</v>
      </c>
      <c r="BN19" s="302">
        <v>450</v>
      </c>
      <c r="BO19" s="302">
        <v>450</v>
      </c>
      <c r="BP19" s="303">
        <v>450</v>
      </c>
      <c r="BQ19" s="304">
        <v>0</v>
      </c>
      <c r="BR19" s="302">
        <v>0</v>
      </c>
      <c r="BS19" s="302">
        <v>0</v>
      </c>
      <c r="BT19" s="302">
        <v>0</v>
      </c>
      <c r="BU19" s="303">
        <v>0</v>
      </c>
      <c r="BV19" s="305"/>
      <c r="BW19" s="311">
        <v>800</v>
      </c>
      <c r="BX19" s="311">
        <v>800</v>
      </c>
      <c r="BY19" s="311">
        <v>700</v>
      </c>
      <c r="BZ19" s="311">
        <v>700</v>
      </c>
      <c r="CA19" s="312">
        <v>700</v>
      </c>
      <c r="CB19" s="302" t="s">
        <v>450</v>
      </c>
      <c r="CC19" s="302" t="s">
        <v>450</v>
      </c>
      <c r="CD19" s="302" t="s">
        <v>450</v>
      </c>
      <c r="CE19" s="302" t="s">
        <v>450</v>
      </c>
      <c r="CF19" s="303" t="s">
        <v>450</v>
      </c>
      <c r="CG19" s="308">
        <v>1.125</v>
      </c>
      <c r="CH19" s="306">
        <v>1.125</v>
      </c>
      <c r="CI19" s="306">
        <v>1.125</v>
      </c>
      <c r="CJ19" s="306">
        <v>1.125</v>
      </c>
      <c r="CK19" s="307">
        <v>1.125</v>
      </c>
    </row>
    <row r="20" spans="1:89" s="293" customFormat="1" x14ac:dyDescent="0.2">
      <c r="A20" s="294" t="s">
        <v>349</v>
      </c>
      <c r="B20" s="295" t="s">
        <v>451</v>
      </c>
      <c r="C20" s="296" t="s">
        <v>350</v>
      </c>
      <c r="D20" s="297">
        <v>10</v>
      </c>
      <c r="E20" s="298">
        <v>10</v>
      </c>
      <c r="F20" s="298">
        <v>10</v>
      </c>
      <c r="G20" s="298">
        <v>10</v>
      </c>
      <c r="H20" s="299">
        <v>10</v>
      </c>
      <c r="I20" s="298"/>
      <c r="J20" s="298"/>
      <c r="K20" s="298"/>
      <c r="L20" s="298"/>
      <c r="M20" s="299"/>
      <c r="N20" s="298">
        <v>100</v>
      </c>
      <c r="O20" s="298">
        <v>100</v>
      </c>
      <c r="P20" s="298">
        <v>100</v>
      </c>
      <c r="Q20" s="298">
        <v>100</v>
      </c>
      <c r="R20" s="299">
        <v>100</v>
      </c>
      <c r="S20" s="298"/>
      <c r="T20" s="298"/>
      <c r="U20" s="298"/>
      <c r="V20" s="298"/>
      <c r="W20" s="299"/>
      <c r="X20" s="298">
        <v>100</v>
      </c>
      <c r="Y20" s="298">
        <v>100</v>
      </c>
      <c r="Z20" s="298">
        <v>100</v>
      </c>
      <c r="AA20" s="298">
        <v>100</v>
      </c>
      <c r="AB20" s="299">
        <v>100</v>
      </c>
      <c r="AC20" s="300">
        <v>3.3</v>
      </c>
      <c r="AD20" s="300">
        <v>3.5</v>
      </c>
      <c r="AE20" s="300">
        <v>4</v>
      </c>
      <c r="AF20" s="300">
        <v>4.5</v>
      </c>
      <c r="AG20" s="301">
        <v>4.5</v>
      </c>
      <c r="AH20" s="300">
        <v>0</v>
      </c>
      <c r="AI20" s="300">
        <v>0</v>
      </c>
      <c r="AJ20" s="300">
        <v>0</v>
      </c>
      <c r="AK20" s="300">
        <v>0</v>
      </c>
      <c r="AL20" s="301">
        <v>0</v>
      </c>
      <c r="AM20" s="300">
        <v>0</v>
      </c>
      <c r="AN20" s="300">
        <v>0</v>
      </c>
      <c r="AO20" s="300">
        <v>0</v>
      </c>
      <c r="AP20" s="300">
        <v>0</v>
      </c>
      <c r="AQ20" s="301">
        <v>0</v>
      </c>
      <c r="AR20" s="298"/>
      <c r="AS20" s="298"/>
      <c r="AT20" s="298"/>
      <c r="AU20" s="298"/>
      <c r="AV20" s="299"/>
      <c r="AW20" s="298">
        <v>20</v>
      </c>
      <c r="AX20" s="298">
        <v>20</v>
      </c>
      <c r="AY20" s="298">
        <v>20</v>
      </c>
      <c r="AZ20" s="298">
        <v>20</v>
      </c>
      <c r="BA20" s="299">
        <v>20</v>
      </c>
      <c r="BB20" s="302">
        <v>14000</v>
      </c>
      <c r="BC20" s="302">
        <v>13000</v>
      </c>
      <c r="BD20" s="302">
        <v>12000</v>
      </c>
      <c r="BE20" s="302">
        <v>11000</v>
      </c>
      <c r="BF20" s="303">
        <v>11000</v>
      </c>
      <c r="BG20" s="302">
        <v>5000</v>
      </c>
      <c r="BH20" s="302">
        <v>5000</v>
      </c>
      <c r="BI20" s="302">
        <v>5000</v>
      </c>
      <c r="BJ20" s="302">
        <v>5000</v>
      </c>
      <c r="BK20" s="303">
        <v>5000</v>
      </c>
      <c r="BL20" s="302">
        <v>200</v>
      </c>
      <c r="BM20" s="302">
        <v>200</v>
      </c>
      <c r="BN20" s="302">
        <v>200</v>
      </c>
      <c r="BO20" s="302">
        <v>200</v>
      </c>
      <c r="BP20" s="303">
        <v>200</v>
      </c>
      <c r="BQ20" s="304">
        <v>0</v>
      </c>
      <c r="BR20" s="302">
        <v>0</v>
      </c>
      <c r="BS20" s="302">
        <v>0</v>
      </c>
      <c r="BT20" s="302">
        <v>0</v>
      </c>
      <c r="BU20" s="303">
        <v>0</v>
      </c>
      <c r="BV20" s="305" t="s">
        <v>351</v>
      </c>
      <c r="BW20" s="302">
        <v>1400</v>
      </c>
      <c r="BX20" s="302">
        <v>1300</v>
      </c>
      <c r="BY20" s="302">
        <v>1200</v>
      </c>
      <c r="BZ20" s="302">
        <v>1100</v>
      </c>
      <c r="CA20" s="303">
        <v>1100</v>
      </c>
      <c r="CB20" s="302">
        <v>500</v>
      </c>
      <c r="CC20" s="302">
        <v>500</v>
      </c>
      <c r="CD20" s="302">
        <v>500</v>
      </c>
      <c r="CE20" s="302">
        <v>500</v>
      </c>
      <c r="CF20" s="303">
        <v>500</v>
      </c>
      <c r="CG20" s="304">
        <v>20</v>
      </c>
      <c r="CH20" s="302">
        <v>20</v>
      </c>
      <c r="CI20" s="302">
        <v>20</v>
      </c>
      <c r="CJ20" s="302">
        <v>20</v>
      </c>
      <c r="CK20" s="303">
        <v>20</v>
      </c>
    </row>
    <row r="21" spans="1:89" s="293" customFormat="1" x14ac:dyDescent="0.2">
      <c r="A21" s="294" t="s">
        <v>352</v>
      </c>
      <c r="B21" s="295" t="s">
        <v>452</v>
      </c>
      <c r="C21" s="296" t="s">
        <v>353</v>
      </c>
      <c r="D21" s="297" t="s">
        <v>449</v>
      </c>
      <c r="E21" s="298" t="s">
        <v>449</v>
      </c>
      <c r="F21" s="298" t="s">
        <v>449</v>
      </c>
      <c r="G21" s="298" t="s">
        <v>449</v>
      </c>
      <c r="H21" s="299" t="s">
        <v>449</v>
      </c>
      <c r="I21" s="298"/>
      <c r="J21" s="298"/>
      <c r="K21" s="298"/>
      <c r="L21" s="298"/>
      <c r="M21" s="299"/>
      <c r="N21" s="298">
        <v>100</v>
      </c>
      <c r="O21" s="298">
        <v>100</v>
      </c>
      <c r="P21" s="298">
        <v>100</v>
      </c>
      <c r="Q21" s="298">
        <v>100</v>
      </c>
      <c r="R21" s="299">
        <v>100</v>
      </c>
      <c r="S21" s="298"/>
      <c r="T21" s="298"/>
      <c r="U21" s="298"/>
      <c r="V21" s="298"/>
      <c r="W21" s="299"/>
      <c r="X21" s="298">
        <v>100</v>
      </c>
      <c r="Y21" s="298">
        <v>100</v>
      </c>
      <c r="Z21" s="298">
        <v>100</v>
      </c>
      <c r="AA21" s="298">
        <v>100</v>
      </c>
      <c r="AB21" s="299">
        <v>100</v>
      </c>
      <c r="AC21" s="300">
        <v>3.3</v>
      </c>
      <c r="AD21" s="300">
        <v>3.5</v>
      </c>
      <c r="AE21" s="300">
        <v>4</v>
      </c>
      <c r="AF21" s="300">
        <v>4.5</v>
      </c>
      <c r="AG21" s="301">
        <v>4.5</v>
      </c>
      <c r="AH21" s="300">
        <v>0</v>
      </c>
      <c r="AI21" s="300">
        <v>0</v>
      </c>
      <c r="AJ21" s="300">
        <v>0</v>
      </c>
      <c r="AK21" s="300">
        <v>0</v>
      </c>
      <c r="AL21" s="301">
        <v>0</v>
      </c>
      <c r="AM21" s="300">
        <v>0</v>
      </c>
      <c r="AN21" s="300">
        <v>0</v>
      </c>
      <c r="AO21" s="300">
        <v>0</v>
      </c>
      <c r="AP21" s="300">
        <v>0</v>
      </c>
      <c r="AQ21" s="301">
        <v>0</v>
      </c>
      <c r="AR21" s="298"/>
      <c r="AS21" s="298"/>
      <c r="AT21" s="298"/>
      <c r="AU21" s="298"/>
      <c r="AV21" s="299"/>
      <c r="AW21" s="298">
        <v>20</v>
      </c>
      <c r="AX21" s="298">
        <v>20</v>
      </c>
      <c r="AY21" s="298">
        <v>20</v>
      </c>
      <c r="AZ21" s="298">
        <v>20</v>
      </c>
      <c r="BA21" s="299">
        <v>20</v>
      </c>
      <c r="BB21" s="302">
        <v>360000</v>
      </c>
      <c r="BC21" s="302">
        <v>360000</v>
      </c>
      <c r="BD21" s="302">
        <v>320000</v>
      </c>
      <c r="BE21" s="302">
        <v>280000</v>
      </c>
      <c r="BF21" s="303">
        <v>280000</v>
      </c>
      <c r="BG21" s="302">
        <v>540</v>
      </c>
      <c r="BH21" s="302">
        <v>540</v>
      </c>
      <c r="BI21" s="302">
        <v>540</v>
      </c>
      <c r="BJ21" s="302">
        <v>540</v>
      </c>
      <c r="BK21" s="303">
        <v>540</v>
      </c>
      <c r="BL21" s="302">
        <v>600</v>
      </c>
      <c r="BM21" s="302">
        <v>600</v>
      </c>
      <c r="BN21" s="302">
        <v>600</v>
      </c>
      <c r="BO21" s="302">
        <v>600</v>
      </c>
      <c r="BP21" s="303">
        <v>600</v>
      </c>
      <c r="BQ21" s="304">
        <v>0</v>
      </c>
      <c r="BR21" s="302">
        <v>0</v>
      </c>
      <c r="BS21" s="302">
        <v>0</v>
      </c>
      <c r="BT21" s="302">
        <v>0</v>
      </c>
      <c r="BU21" s="303">
        <v>0</v>
      </c>
      <c r="BV21" s="305" t="s">
        <v>351</v>
      </c>
      <c r="BW21" s="311">
        <v>900</v>
      </c>
      <c r="BX21" s="311">
        <v>900</v>
      </c>
      <c r="BY21" s="311">
        <v>800</v>
      </c>
      <c r="BZ21" s="311">
        <v>700</v>
      </c>
      <c r="CA21" s="312">
        <v>700</v>
      </c>
      <c r="CB21" s="320">
        <v>1.35</v>
      </c>
      <c r="CC21" s="306">
        <v>1.35</v>
      </c>
      <c r="CD21" s="306">
        <v>1.35</v>
      </c>
      <c r="CE21" s="306">
        <v>1.35</v>
      </c>
      <c r="CF21" s="307">
        <v>1.35</v>
      </c>
      <c r="CG21" s="308">
        <v>1.5</v>
      </c>
      <c r="CH21" s="306">
        <v>1.5</v>
      </c>
      <c r="CI21" s="306">
        <v>1.5</v>
      </c>
      <c r="CJ21" s="306">
        <v>1.5</v>
      </c>
      <c r="CK21" s="307">
        <v>1.5</v>
      </c>
    </row>
    <row r="22" spans="1:89" s="293" customFormat="1" x14ac:dyDescent="0.2">
      <c r="A22" s="294" t="s">
        <v>354</v>
      </c>
      <c r="B22" s="295" t="s">
        <v>453</v>
      </c>
      <c r="C22" s="296" t="s">
        <v>354</v>
      </c>
      <c r="D22" s="317">
        <v>15</v>
      </c>
      <c r="E22" s="313">
        <v>15</v>
      </c>
      <c r="F22" s="313">
        <v>15</v>
      </c>
      <c r="G22" s="313">
        <v>15</v>
      </c>
      <c r="H22" s="314">
        <v>15</v>
      </c>
      <c r="I22" s="298"/>
      <c r="J22" s="298"/>
      <c r="K22" s="298"/>
      <c r="L22" s="298"/>
      <c r="M22" s="299"/>
      <c r="N22" s="298">
        <v>0</v>
      </c>
      <c r="O22" s="298">
        <v>0</v>
      </c>
      <c r="P22" s="298">
        <v>0</v>
      </c>
      <c r="Q22" s="298">
        <v>0</v>
      </c>
      <c r="R22" s="299">
        <v>0</v>
      </c>
      <c r="S22" s="298"/>
      <c r="T22" s="298"/>
      <c r="U22" s="298"/>
      <c r="V22" s="298"/>
      <c r="W22" s="299"/>
      <c r="X22" s="298">
        <v>0</v>
      </c>
      <c r="Y22" s="298">
        <v>0</v>
      </c>
      <c r="Z22" s="298">
        <v>0</v>
      </c>
      <c r="AA22" s="298">
        <v>0</v>
      </c>
      <c r="AB22" s="299">
        <v>0</v>
      </c>
      <c r="AC22" s="300">
        <v>0</v>
      </c>
      <c r="AD22" s="300">
        <v>0</v>
      </c>
      <c r="AE22" s="300">
        <v>0</v>
      </c>
      <c r="AF22" s="300">
        <v>0</v>
      </c>
      <c r="AG22" s="301">
        <v>0</v>
      </c>
      <c r="AH22" s="300">
        <v>0</v>
      </c>
      <c r="AI22" s="300">
        <v>0</v>
      </c>
      <c r="AJ22" s="300">
        <v>0</v>
      </c>
      <c r="AK22" s="300">
        <v>0</v>
      </c>
      <c r="AL22" s="301">
        <v>0</v>
      </c>
      <c r="AM22" s="300">
        <v>0</v>
      </c>
      <c r="AN22" s="300">
        <v>0</v>
      </c>
      <c r="AO22" s="300">
        <v>0</v>
      </c>
      <c r="AP22" s="300">
        <v>0</v>
      </c>
      <c r="AQ22" s="301">
        <v>0</v>
      </c>
      <c r="AR22" s="298"/>
      <c r="AS22" s="298"/>
      <c r="AT22" s="298"/>
      <c r="AU22" s="298"/>
      <c r="AV22" s="299"/>
      <c r="AW22" s="298">
        <v>0</v>
      </c>
      <c r="AX22" s="298">
        <v>0</v>
      </c>
      <c r="AY22" s="298">
        <v>0</v>
      </c>
      <c r="AZ22" s="298">
        <v>0</v>
      </c>
      <c r="BA22" s="299">
        <v>0</v>
      </c>
      <c r="BB22" s="306">
        <v>16350</v>
      </c>
      <c r="BC22" s="306">
        <v>16350</v>
      </c>
      <c r="BD22" s="306">
        <v>12262.5</v>
      </c>
      <c r="BE22" s="306">
        <v>12262.5</v>
      </c>
      <c r="BF22" s="307">
        <v>10627.5</v>
      </c>
      <c r="BG22" s="306">
        <v>9385</v>
      </c>
      <c r="BH22" s="306">
        <v>9385</v>
      </c>
      <c r="BI22" s="306">
        <v>9385</v>
      </c>
      <c r="BJ22" s="306">
        <v>9385</v>
      </c>
      <c r="BK22" s="307">
        <v>9385</v>
      </c>
      <c r="BL22" s="306">
        <v>300</v>
      </c>
      <c r="BM22" s="306">
        <v>300</v>
      </c>
      <c r="BN22" s="306">
        <v>300</v>
      </c>
      <c r="BO22" s="306">
        <v>300</v>
      </c>
      <c r="BP22" s="307">
        <v>300</v>
      </c>
      <c r="BQ22" s="304">
        <v>0</v>
      </c>
      <c r="BR22" s="302">
        <v>0</v>
      </c>
      <c r="BS22" s="302">
        <v>0</v>
      </c>
      <c r="BT22" s="302">
        <v>0</v>
      </c>
      <c r="BU22" s="303">
        <v>0</v>
      </c>
      <c r="BV22" s="305" t="s">
        <v>355</v>
      </c>
      <c r="BW22" s="302">
        <v>1090</v>
      </c>
      <c r="BX22" s="302">
        <v>1090</v>
      </c>
      <c r="BY22" s="302">
        <v>817.5</v>
      </c>
      <c r="BZ22" s="302">
        <v>817.5</v>
      </c>
      <c r="CA22" s="303">
        <v>708.5</v>
      </c>
      <c r="CB22" s="302">
        <v>625.66666666666663</v>
      </c>
      <c r="CC22" s="302">
        <v>625.66666666666663</v>
      </c>
      <c r="CD22" s="302">
        <v>625.66666666666663</v>
      </c>
      <c r="CE22" s="302">
        <v>625.66666666666663</v>
      </c>
      <c r="CF22" s="303">
        <v>625.66666666666663</v>
      </c>
      <c r="CG22" s="304">
        <v>20</v>
      </c>
      <c r="CH22" s="302">
        <v>20</v>
      </c>
      <c r="CI22" s="302">
        <v>20</v>
      </c>
      <c r="CJ22" s="302">
        <v>20</v>
      </c>
      <c r="CK22" s="303">
        <v>20</v>
      </c>
    </row>
    <row r="23" spans="1:89" s="293" customFormat="1" x14ac:dyDescent="0.2">
      <c r="A23" s="294"/>
      <c r="B23" s="295"/>
      <c r="C23" s="296" t="s">
        <v>356</v>
      </c>
      <c r="D23" s="317">
        <v>290</v>
      </c>
      <c r="E23" s="313">
        <v>290</v>
      </c>
      <c r="F23" s="313">
        <v>290</v>
      </c>
      <c r="G23" s="313">
        <v>290</v>
      </c>
      <c r="H23" s="314">
        <v>290</v>
      </c>
      <c r="I23" s="298"/>
      <c r="J23" s="298"/>
      <c r="K23" s="298"/>
      <c r="L23" s="298"/>
      <c r="M23" s="299"/>
      <c r="N23" s="298"/>
      <c r="O23" s="298"/>
      <c r="P23" s="298"/>
      <c r="Q23" s="298"/>
      <c r="R23" s="299"/>
      <c r="S23" s="298"/>
      <c r="T23" s="298"/>
      <c r="U23" s="298"/>
      <c r="V23" s="298"/>
      <c r="W23" s="299"/>
      <c r="X23" s="298"/>
      <c r="Y23" s="298"/>
      <c r="Z23" s="298"/>
      <c r="AA23" s="298"/>
      <c r="AB23" s="299"/>
      <c r="AC23" s="300">
        <v>0</v>
      </c>
      <c r="AD23" s="300">
        <v>0</v>
      </c>
      <c r="AE23" s="300">
        <v>0</v>
      </c>
      <c r="AF23" s="300">
        <v>0</v>
      </c>
      <c r="AG23" s="301">
        <v>0</v>
      </c>
      <c r="AH23" s="300">
        <v>0</v>
      </c>
      <c r="AI23" s="300">
        <v>0</v>
      </c>
      <c r="AJ23" s="300">
        <v>0</v>
      </c>
      <c r="AK23" s="300">
        <v>0</v>
      </c>
      <c r="AL23" s="301">
        <v>0</v>
      </c>
      <c r="AM23" s="300">
        <v>0</v>
      </c>
      <c r="AN23" s="300">
        <v>0</v>
      </c>
      <c r="AO23" s="300">
        <v>0</v>
      </c>
      <c r="AP23" s="300">
        <v>0</v>
      </c>
      <c r="AQ23" s="301">
        <v>0</v>
      </c>
      <c r="AR23" s="298"/>
      <c r="AS23" s="298"/>
      <c r="AT23" s="298"/>
      <c r="AU23" s="298"/>
      <c r="AV23" s="299"/>
      <c r="AW23" s="298"/>
      <c r="AX23" s="298"/>
      <c r="AY23" s="298"/>
      <c r="AZ23" s="298"/>
      <c r="BA23" s="299"/>
      <c r="BB23" s="306">
        <v>87000</v>
      </c>
      <c r="BC23" s="306">
        <v>87000</v>
      </c>
      <c r="BD23" s="306">
        <v>65250</v>
      </c>
      <c r="BE23" s="306">
        <v>65250</v>
      </c>
      <c r="BF23" s="307">
        <v>56550</v>
      </c>
      <c r="BG23" s="306">
        <v>18770</v>
      </c>
      <c r="BH23" s="306">
        <v>18770</v>
      </c>
      <c r="BI23" s="306">
        <v>18770</v>
      </c>
      <c r="BJ23" s="306">
        <v>18770</v>
      </c>
      <c r="BK23" s="307">
        <v>18770</v>
      </c>
      <c r="BL23" s="306">
        <v>300</v>
      </c>
      <c r="BM23" s="306">
        <v>300</v>
      </c>
      <c r="BN23" s="306">
        <v>300</v>
      </c>
      <c r="BO23" s="306">
        <v>300</v>
      </c>
      <c r="BP23" s="307">
        <v>300</v>
      </c>
      <c r="BQ23" s="304"/>
      <c r="BR23" s="302"/>
      <c r="BS23" s="302"/>
      <c r="BT23" s="302"/>
      <c r="BU23" s="303"/>
      <c r="BV23" s="305"/>
      <c r="BW23" s="302">
        <v>300</v>
      </c>
      <c r="BX23" s="302">
        <v>300</v>
      </c>
      <c r="BY23" s="302">
        <v>225</v>
      </c>
      <c r="BZ23" s="302">
        <v>225</v>
      </c>
      <c r="CA23" s="303">
        <v>195</v>
      </c>
      <c r="CB23" s="302">
        <v>64.724137931034477</v>
      </c>
      <c r="CC23" s="302">
        <v>64.724137931034477</v>
      </c>
      <c r="CD23" s="302">
        <v>64.724137931034477</v>
      </c>
      <c r="CE23" s="302">
        <v>64.724137931034477</v>
      </c>
      <c r="CF23" s="303">
        <v>64.724137931034477</v>
      </c>
      <c r="CG23" s="304">
        <v>1.0344827586206897</v>
      </c>
      <c r="CH23" s="302">
        <v>1.0344827586206897</v>
      </c>
      <c r="CI23" s="302">
        <v>1.0344827586206897</v>
      </c>
      <c r="CJ23" s="302">
        <v>1.0344827586206897</v>
      </c>
      <c r="CK23" s="303">
        <v>1.0344827586206897</v>
      </c>
    </row>
    <row r="24" spans="1:89" s="293" customFormat="1" x14ac:dyDescent="0.2">
      <c r="A24" s="294" t="s">
        <v>357</v>
      </c>
      <c r="B24" s="295" t="s">
        <v>454</v>
      </c>
      <c r="C24" s="296" t="s">
        <v>358</v>
      </c>
      <c r="D24" s="297">
        <v>2</v>
      </c>
      <c r="E24" s="298">
        <v>2</v>
      </c>
      <c r="F24" s="298">
        <v>2</v>
      </c>
      <c r="G24" s="298">
        <v>2</v>
      </c>
      <c r="H24" s="299">
        <v>2</v>
      </c>
      <c r="I24" s="298"/>
      <c r="J24" s="298"/>
      <c r="K24" s="298"/>
      <c r="L24" s="298"/>
      <c r="M24" s="299"/>
      <c r="N24" s="298">
        <v>40</v>
      </c>
      <c r="O24" s="298">
        <v>40</v>
      </c>
      <c r="P24" s="298">
        <v>40</v>
      </c>
      <c r="Q24" s="298">
        <v>40</v>
      </c>
      <c r="R24" s="299">
        <v>40</v>
      </c>
      <c r="S24" s="298"/>
      <c r="T24" s="298"/>
      <c r="U24" s="298"/>
      <c r="V24" s="298"/>
      <c r="W24" s="299"/>
      <c r="X24" s="298">
        <v>0</v>
      </c>
      <c r="Y24" s="298">
        <v>0</v>
      </c>
      <c r="Z24" s="298">
        <v>0</v>
      </c>
      <c r="AA24" s="298">
        <v>0</v>
      </c>
      <c r="AB24" s="299">
        <v>0</v>
      </c>
      <c r="AC24" s="300">
        <v>3</v>
      </c>
      <c r="AD24" s="300">
        <v>3.1</v>
      </c>
      <c r="AE24" s="300">
        <v>3.4</v>
      </c>
      <c r="AF24" s="300">
        <v>3.5</v>
      </c>
      <c r="AG24" s="301">
        <v>3.5</v>
      </c>
      <c r="AH24" s="300">
        <v>0</v>
      </c>
      <c r="AI24" s="300">
        <v>0</v>
      </c>
      <c r="AJ24" s="300">
        <v>0</v>
      </c>
      <c r="AK24" s="300">
        <v>0</v>
      </c>
      <c r="AL24" s="301">
        <v>0</v>
      </c>
      <c r="AM24" s="300">
        <v>0</v>
      </c>
      <c r="AN24" s="300">
        <v>0</v>
      </c>
      <c r="AO24" s="300">
        <v>0</v>
      </c>
      <c r="AP24" s="300">
        <v>0</v>
      </c>
      <c r="AQ24" s="301">
        <v>0</v>
      </c>
      <c r="AR24" s="298"/>
      <c r="AS24" s="298"/>
      <c r="AT24" s="298"/>
      <c r="AU24" s="298"/>
      <c r="AV24" s="299"/>
      <c r="AW24" s="298">
        <v>20</v>
      </c>
      <c r="AX24" s="298">
        <v>20</v>
      </c>
      <c r="AY24" s="298">
        <v>20</v>
      </c>
      <c r="AZ24" s="298">
        <v>20</v>
      </c>
      <c r="BA24" s="299">
        <v>20</v>
      </c>
      <c r="BB24" s="302">
        <v>2000</v>
      </c>
      <c r="BC24" s="302">
        <v>1900</v>
      </c>
      <c r="BD24" s="302">
        <v>1800</v>
      </c>
      <c r="BE24" s="302">
        <v>1700</v>
      </c>
      <c r="BF24" s="303">
        <v>1700</v>
      </c>
      <c r="BG24" s="302">
        <v>0</v>
      </c>
      <c r="BH24" s="302">
        <v>0</v>
      </c>
      <c r="BI24" s="302">
        <v>0</v>
      </c>
      <c r="BJ24" s="302">
        <v>0</v>
      </c>
      <c r="BK24" s="303">
        <v>0</v>
      </c>
      <c r="BL24" s="302">
        <v>150</v>
      </c>
      <c r="BM24" s="302">
        <v>150</v>
      </c>
      <c r="BN24" s="302">
        <v>150</v>
      </c>
      <c r="BO24" s="302">
        <v>150</v>
      </c>
      <c r="BP24" s="303">
        <v>150</v>
      </c>
      <c r="BQ24" s="304">
        <v>0</v>
      </c>
      <c r="BR24" s="302">
        <v>0</v>
      </c>
      <c r="BS24" s="302">
        <v>0</v>
      </c>
      <c r="BT24" s="302">
        <v>0</v>
      </c>
      <c r="BU24" s="303">
        <v>0</v>
      </c>
      <c r="BV24" s="321"/>
      <c r="BW24" s="302">
        <v>1000</v>
      </c>
      <c r="BX24" s="302">
        <v>950</v>
      </c>
      <c r="BY24" s="302">
        <v>900</v>
      </c>
      <c r="BZ24" s="302">
        <v>850</v>
      </c>
      <c r="CA24" s="303">
        <v>850</v>
      </c>
      <c r="CB24" s="302">
        <v>0</v>
      </c>
      <c r="CC24" s="302">
        <v>0</v>
      </c>
      <c r="CD24" s="302">
        <v>0</v>
      </c>
      <c r="CE24" s="302">
        <v>0</v>
      </c>
      <c r="CF24" s="303">
        <v>0</v>
      </c>
      <c r="CG24" s="304">
        <v>75</v>
      </c>
      <c r="CH24" s="302">
        <v>75</v>
      </c>
      <c r="CI24" s="302">
        <v>75</v>
      </c>
      <c r="CJ24" s="302">
        <v>75</v>
      </c>
      <c r="CK24" s="303">
        <v>75</v>
      </c>
    </row>
    <row r="25" spans="1:89" s="293" customFormat="1" x14ac:dyDescent="0.2">
      <c r="A25" s="294" t="s">
        <v>359</v>
      </c>
      <c r="B25" s="295" t="s">
        <v>455</v>
      </c>
      <c r="C25" s="296" t="s">
        <v>360</v>
      </c>
      <c r="D25" s="297" t="s">
        <v>456</v>
      </c>
      <c r="E25" s="298" t="s">
        <v>456</v>
      </c>
      <c r="F25" s="298" t="s">
        <v>456</v>
      </c>
      <c r="G25" s="298" t="s">
        <v>456</v>
      </c>
      <c r="H25" s="299" t="s">
        <v>456</v>
      </c>
      <c r="I25" s="298"/>
      <c r="J25" s="298"/>
      <c r="K25" s="298"/>
      <c r="L25" s="298"/>
      <c r="M25" s="299"/>
      <c r="N25" s="298">
        <v>40</v>
      </c>
      <c r="O25" s="298">
        <v>40</v>
      </c>
      <c r="P25" s="298">
        <v>40</v>
      </c>
      <c r="Q25" s="298">
        <v>40</v>
      </c>
      <c r="R25" s="299">
        <v>40</v>
      </c>
      <c r="S25" s="298"/>
      <c r="T25" s="298"/>
      <c r="U25" s="298"/>
      <c r="V25" s="298"/>
      <c r="W25" s="299"/>
      <c r="X25" s="298">
        <v>0</v>
      </c>
      <c r="Y25" s="298">
        <v>0</v>
      </c>
      <c r="Z25" s="298">
        <v>0</v>
      </c>
      <c r="AA25" s="298">
        <v>0</v>
      </c>
      <c r="AB25" s="299">
        <v>0</v>
      </c>
      <c r="AC25" s="300">
        <v>3</v>
      </c>
      <c r="AD25" s="300">
        <v>3.1</v>
      </c>
      <c r="AE25" s="300">
        <v>3.4</v>
      </c>
      <c r="AF25" s="300">
        <v>3.5</v>
      </c>
      <c r="AG25" s="301">
        <v>3.5</v>
      </c>
      <c r="AH25" s="300">
        <v>0</v>
      </c>
      <c r="AI25" s="300">
        <v>0</v>
      </c>
      <c r="AJ25" s="300">
        <v>0</v>
      </c>
      <c r="AK25" s="300">
        <v>0</v>
      </c>
      <c r="AL25" s="301">
        <v>0</v>
      </c>
      <c r="AM25" s="300">
        <v>0</v>
      </c>
      <c r="AN25" s="300">
        <v>0</v>
      </c>
      <c r="AO25" s="300">
        <v>0</v>
      </c>
      <c r="AP25" s="300">
        <v>0</v>
      </c>
      <c r="AQ25" s="301">
        <v>0</v>
      </c>
      <c r="AR25" s="298"/>
      <c r="AS25" s="298"/>
      <c r="AT25" s="298"/>
      <c r="AU25" s="298"/>
      <c r="AV25" s="299"/>
      <c r="AW25" s="298">
        <v>20</v>
      </c>
      <c r="AX25" s="298">
        <v>20</v>
      </c>
      <c r="AY25" s="298">
        <v>20</v>
      </c>
      <c r="AZ25" s="298">
        <v>20</v>
      </c>
      <c r="BA25" s="299">
        <v>20</v>
      </c>
      <c r="BB25" s="302">
        <v>85600</v>
      </c>
      <c r="BC25" s="302">
        <v>85600</v>
      </c>
      <c r="BD25" s="302">
        <v>74900</v>
      </c>
      <c r="BE25" s="302">
        <v>74900</v>
      </c>
      <c r="BF25" s="303">
        <v>74900</v>
      </c>
      <c r="BG25" s="302">
        <v>0</v>
      </c>
      <c r="BH25" s="302">
        <v>0</v>
      </c>
      <c r="BI25" s="302">
        <v>0</v>
      </c>
      <c r="BJ25" s="302">
        <v>0</v>
      </c>
      <c r="BK25" s="303">
        <v>0</v>
      </c>
      <c r="BL25" s="302">
        <v>450</v>
      </c>
      <c r="BM25" s="302">
        <v>450</v>
      </c>
      <c r="BN25" s="302">
        <v>450</v>
      </c>
      <c r="BO25" s="302">
        <v>450</v>
      </c>
      <c r="BP25" s="303">
        <v>450</v>
      </c>
      <c r="BQ25" s="304">
        <v>0</v>
      </c>
      <c r="BR25" s="302">
        <v>0</v>
      </c>
      <c r="BS25" s="302">
        <v>0</v>
      </c>
      <c r="BT25" s="302">
        <v>0</v>
      </c>
      <c r="BU25" s="303">
        <v>0</v>
      </c>
      <c r="BV25" s="321"/>
      <c r="BW25" s="311">
        <v>800</v>
      </c>
      <c r="BX25" s="311">
        <v>800</v>
      </c>
      <c r="BY25" s="311">
        <v>700</v>
      </c>
      <c r="BZ25" s="311">
        <v>700</v>
      </c>
      <c r="CA25" s="312">
        <v>700</v>
      </c>
      <c r="CB25" s="302" t="s">
        <v>450</v>
      </c>
      <c r="CC25" s="302" t="s">
        <v>450</v>
      </c>
      <c r="CD25" s="302" t="s">
        <v>450</v>
      </c>
      <c r="CE25" s="302" t="s">
        <v>450</v>
      </c>
      <c r="CF25" s="303" t="s">
        <v>450</v>
      </c>
      <c r="CG25" s="308">
        <v>4.2056074766355138</v>
      </c>
      <c r="CH25" s="306">
        <v>4.2056074766355138</v>
      </c>
      <c r="CI25" s="306">
        <v>4.2056074766355138</v>
      </c>
      <c r="CJ25" s="306">
        <v>4.2056074766355138</v>
      </c>
      <c r="CK25" s="307">
        <v>4.2056074766355138</v>
      </c>
    </row>
    <row r="26" spans="1:89" s="293" customFormat="1" x14ac:dyDescent="0.2">
      <c r="A26" s="295" t="s">
        <v>524</v>
      </c>
      <c r="B26" s="295" t="s">
        <v>525</v>
      </c>
      <c r="C26" s="295" t="s">
        <v>358</v>
      </c>
      <c r="D26" s="297">
        <v>3.6</v>
      </c>
      <c r="E26" s="298">
        <v>3.6</v>
      </c>
      <c r="F26" s="298">
        <v>3.6</v>
      </c>
      <c r="G26" s="298">
        <v>3.6</v>
      </c>
      <c r="H26" s="299">
        <v>3.6</v>
      </c>
      <c r="I26" s="298">
        <v>2.5</v>
      </c>
      <c r="J26" s="298">
        <v>2.5</v>
      </c>
      <c r="K26" s="298">
        <v>2.5</v>
      </c>
      <c r="L26" s="298">
        <v>2.5</v>
      </c>
      <c r="M26" s="299">
        <v>2.5</v>
      </c>
      <c r="N26" s="298">
        <v>100</v>
      </c>
      <c r="O26" s="298">
        <v>100</v>
      </c>
      <c r="P26" s="298">
        <v>100</v>
      </c>
      <c r="Q26" s="298">
        <v>100</v>
      </c>
      <c r="R26" s="299">
        <v>100</v>
      </c>
      <c r="S26" s="298">
        <v>100</v>
      </c>
      <c r="T26" s="298">
        <v>100</v>
      </c>
      <c r="U26" s="298">
        <v>100</v>
      </c>
      <c r="V26" s="298">
        <v>100</v>
      </c>
      <c r="W26" s="299">
        <v>100</v>
      </c>
      <c r="X26" s="298">
        <v>0</v>
      </c>
      <c r="Y26" s="298">
        <v>0</v>
      </c>
      <c r="Z26" s="298">
        <v>0</v>
      </c>
      <c r="AA26" s="298">
        <v>0</v>
      </c>
      <c r="AB26" s="299">
        <v>0</v>
      </c>
      <c r="AC26" s="362">
        <v>0</v>
      </c>
      <c r="AD26" s="362">
        <v>0</v>
      </c>
      <c r="AE26" s="362">
        <v>0</v>
      </c>
      <c r="AF26" s="362">
        <v>0</v>
      </c>
      <c r="AG26" s="363">
        <v>0</v>
      </c>
      <c r="AH26" s="329">
        <v>3</v>
      </c>
      <c r="AI26" s="329">
        <v>3.1</v>
      </c>
      <c r="AJ26" s="329">
        <v>3.4</v>
      </c>
      <c r="AK26" s="329">
        <v>3.5</v>
      </c>
      <c r="AL26" s="364">
        <v>3.5</v>
      </c>
      <c r="AM26" s="329">
        <v>3</v>
      </c>
      <c r="AN26" s="329">
        <v>3.1</v>
      </c>
      <c r="AO26" s="329">
        <v>3.4</v>
      </c>
      <c r="AP26" s="329">
        <v>3.5</v>
      </c>
      <c r="AQ26" s="364">
        <v>3.5</v>
      </c>
      <c r="AR26" s="298">
        <v>0</v>
      </c>
      <c r="AS26" s="298">
        <v>0</v>
      </c>
      <c r="AT26" s="298">
        <v>0</v>
      </c>
      <c r="AU26" s="298">
        <v>0</v>
      </c>
      <c r="AV26" s="299">
        <v>0</v>
      </c>
      <c r="AW26" s="313">
        <v>20</v>
      </c>
      <c r="AX26" s="313">
        <v>20</v>
      </c>
      <c r="AY26" s="313">
        <v>20</v>
      </c>
      <c r="AZ26" s="313">
        <v>20</v>
      </c>
      <c r="BA26" s="314">
        <v>20</v>
      </c>
      <c r="BB26" s="302">
        <v>1875</v>
      </c>
      <c r="BC26" s="302">
        <v>1781.25</v>
      </c>
      <c r="BD26" s="302">
        <v>1593.75</v>
      </c>
      <c r="BE26" s="302">
        <v>1500</v>
      </c>
      <c r="BF26" s="303">
        <v>1406.25</v>
      </c>
      <c r="BG26" s="306">
        <v>1500</v>
      </c>
      <c r="BH26" s="306">
        <v>1500</v>
      </c>
      <c r="BI26" s="306">
        <v>1500</v>
      </c>
      <c r="BJ26" s="306">
        <v>1500</v>
      </c>
      <c r="BK26" s="307">
        <v>1500</v>
      </c>
      <c r="BL26" s="302">
        <v>294.44</v>
      </c>
      <c r="BM26" s="302">
        <v>294.44</v>
      </c>
      <c r="BN26" s="302">
        <v>294.44</v>
      </c>
      <c r="BO26" s="302">
        <v>294.44</v>
      </c>
      <c r="BP26" s="303">
        <v>294.44</v>
      </c>
      <c r="BQ26" s="302"/>
      <c r="BR26" s="302"/>
      <c r="BS26" s="302"/>
      <c r="BT26" s="302"/>
      <c r="BU26" s="303"/>
      <c r="BV26" s="305"/>
      <c r="BW26" s="304">
        <v>520.83333333333337</v>
      </c>
      <c r="BX26" s="302">
        <v>494.79166666666663</v>
      </c>
      <c r="BY26" s="302">
        <v>442.70833333333331</v>
      </c>
      <c r="BZ26" s="302">
        <v>416.66666666666663</v>
      </c>
      <c r="CA26" s="303">
        <v>390.625</v>
      </c>
      <c r="CB26" s="304">
        <v>416.66666666666663</v>
      </c>
      <c r="CC26" s="302">
        <v>416.66666666666663</v>
      </c>
      <c r="CD26" s="302">
        <v>416.66666666666663</v>
      </c>
      <c r="CE26" s="302">
        <v>416.66666666666663</v>
      </c>
      <c r="CF26" s="303">
        <v>416.66666666666663</v>
      </c>
      <c r="CG26" s="304">
        <v>81.788888888888891</v>
      </c>
      <c r="CH26" s="302">
        <v>81.788888888888891</v>
      </c>
      <c r="CI26" s="302">
        <v>81.788888888888891</v>
      </c>
      <c r="CJ26" s="302">
        <v>81.788888888888891</v>
      </c>
      <c r="CK26" s="303">
        <v>81.788888888888891</v>
      </c>
    </row>
    <row r="27" spans="1:89" s="293" customFormat="1" x14ac:dyDescent="0.2">
      <c r="A27" s="286" t="s">
        <v>361</v>
      </c>
      <c r="B27" s="287"/>
      <c r="C27" s="288"/>
      <c r="D27" s="289"/>
      <c r="E27" s="290"/>
      <c r="F27" s="290"/>
      <c r="G27" s="290"/>
      <c r="H27" s="291"/>
      <c r="I27" s="290"/>
      <c r="J27" s="290"/>
      <c r="K27" s="290"/>
      <c r="L27" s="290"/>
      <c r="M27" s="291"/>
      <c r="N27" s="290"/>
      <c r="O27" s="290"/>
      <c r="P27" s="290"/>
      <c r="Q27" s="290"/>
      <c r="R27" s="291"/>
      <c r="S27" s="290"/>
      <c r="T27" s="290"/>
      <c r="U27" s="290"/>
      <c r="V27" s="290"/>
      <c r="W27" s="291"/>
      <c r="X27" s="290"/>
      <c r="Y27" s="290"/>
      <c r="Z27" s="290"/>
      <c r="AA27" s="290"/>
      <c r="AB27" s="291"/>
      <c r="AC27" s="315">
        <v>0</v>
      </c>
      <c r="AD27" s="315">
        <v>0</v>
      </c>
      <c r="AE27" s="315">
        <v>0</v>
      </c>
      <c r="AF27" s="315">
        <v>0</v>
      </c>
      <c r="AG27" s="316">
        <v>0</v>
      </c>
      <c r="AH27" s="315">
        <v>0</v>
      </c>
      <c r="AI27" s="315">
        <v>0</v>
      </c>
      <c r="AJ27" s="315">
        <v>0</v>
      </c>
      <c r="AK27" s="315">
        <v>0</v>
      </c>
      <c r="AL27" s="316">
        <v>0</v>
      </c>
      <c r="AM27" s="315">
        <v>0</v>
      </c>
      <c r="AN27" s="315">
        <v>0</v>
      </c>
      <c r="AO27" s="315">
        <v>0</v>
      </c>
      <c r="AP27" s="315">
        <v>0</v>
      </c>
      <c r="AQ27" s="316">
        <v>0</v>
      </c>
      <c r="AR27" s="290"/>
      <c r="AS27" s="290"/>
      <c r="AT27" s="290"/>
      <c r="AU27" s="290"/>
      <c r="AV27" s="291"/>
      <c r="AW27" s="290"/>
      <c r="AX27" s="290"/>
      <c r="AY27" s="290"/>
      <c r="AZ27" s="290"/>
      <c r="BA27" s="291"/>
      <c r="BB27" s="290">
        <v>0</v>
      </c>
      <c r="BC27" s="290">
        <v>0</v>
      </c>
      <c r="BD27" s="290">
        <v>0</v>
      </c>
      <c r="BE27" s="290">
        <v>0</v>
      </c>
      <c r="BF27" s="291">
        <v>0</v>
      </c>
      <c r="BG27" s="290">
        <v>0</v>
      </c>
      <c r="BH27" s="290">
        <v>0</v>
      </c>
      <c r="BI27" s="290">
        <v>0</v>
      </c>
      <c r="BJ27" s="290">
        <v>0</v>
      </c>
      <c r="BK27" s="291">
        <v>0</v>
      </c>
      <c r="BL27" s="290"/>
      <c r="BM27" s="290"/>
      <c r="BN27" s="290"/>
      <c r="BO27" s="290"/>
      <c r="BP27" s="291"/>
      <c r="BQ27" s="289"/>
      <c r="BR27" s="290"/>
      <c r="BS27" s="290"/>
      <c r="BT27" s="290"/>
      <c r="BU27" s="291"/>
      <c r="BV27" s="292"/>
      <c r="BW27" s="290"/>
      <c r="BX27" s="290"/>
      <c r="BY27" s="290"/>
      <c r="BZ27" s="290"/>
      <c r="CA27" s="291"/>
      <c r="CB27" s="290"/>
      <c r="CC27" s="290"/>
      <c r="CD27" s="290"/>
      <c r="CE27" s="290"/>
      <c r="CF27" s="291"/>
      <c r="CG27" s="289"/>
      <c r="CH27" s="290"/>
      <c r="CI27" s="290"/>
      <c r="CJ27" s="290"/>
      <c r="CK27" s="291"/>
    </row>
    <row r="28" spans="1:89" s="293" customFormat="1" x14ac:dyDescent="0.2">
      <c r="A28" s="294" t="s">
        <v>362</v>
      </c>
      <c r="B28" s="295" t="s">
        <v>457</v>
      </c>
      <c r="C28" s="296" t="s">
        <v>363</v>
      </c>
      <c r="D28" s="297">
        <v>18</v>
      </c>
      <c r="E28" s="298">
        <v>30</v>
      </c>
      <c r="F28" s="298">
        <v>30</v>
      </c>
      <c r="G28" s="298">
        <v>30</v>
      </c>
      <c r="H28" s="299">
        <v>30</v>
      </c>
      <c r="I28" s="298"/>
      <c r="J28" s="298"/>
      <c r="K28" s="298"/>
      <c r="L28" s="298"/>
      <c r="M28" s="299"/>
      <c r="N28" s="298">
        <v>100</v>
      </c>
      <c r="O28" s="298">
        <v>100</v>
      </c>
      <c r="P28" s="298">
        <v>100</v>
      </c>
      <c r="Q28" s="298">
        <v>100</v>
      </c>
      <c r="R28" s="299">
        <v>100</v>
      </c>
      <c r="S28" s="298"/>
      <c r="T28" s="298"/>
      <c r="U28" s="298"/>
      <c r="V28" s="298"/>
      <c r="W28" s="299"/>
      <c r="X28" s="298">
        <v>100</v>
      </c>
      <c r="Y28" s="298">
        <v>100</v>
      </c>
      <c r="Z28" s="298">
        <v>100</v>
      </c>
      <c r="AA28" s="298">
        <v>100</v>
      </c>
      <c r="AB28" s="299">
        <v>100</v>
      </c>
      <c r="AC28" s="300">
        <v>1.35</v>
      </c>
      <c r="AD28" s="300">
        <v>1.45</v>
      </c>
      <c r="AE28" s="300">
        <v>1.7</v>
      </c>
      <c r="AF28" s="300">
        <v>1.7</v>
      </c>
      <c r="AG28" s="301">
        <v>1.7</v>
      </c>
      <c r="AH28" s="300">
        <v>0</v>
      </c>
      <c r="AI28" s="300">
        <v>0</v>
      </c>
      <c r="AJ28" s="300">
        <v>0</v>
      </c>
      <c r="AK28" s="300">
        <v>0</v>
      </c>
      <c r="AL28" s="301">
        <v>0</v>
      </c>
      <c r="AM28" s="300">
        <v>0</v>
      </c>
      <c r="AN28" s="300">
        <v>0</v>
      </c>
      <c r="AO28" s="300">
        <v>0</v>
      </c>
      <c r="AP28" s="300">
        <v>0</v>
      </c>
      <c r="AQ28" s="301">
        <v>0</v>
      </c>
      <c r="AR28" s="298"/>
      <c r="AS28" s="298"/>
      <c r="AT28" s="298"/>
      <c r="AU28" s="298"/>
      <c r="AV28" s="299"/>
      <c r="AW28" s="298">
        <v>22</v>
      </c>
      <c r="AX28" s="298">
        <v>22</v>
      </c>
      <c r="AY28" s="298">
        <v>22</v>
      </c>
      <c r="AZ28" s="298">
        <v>22</v>
      </c>
      <c r="BA28" s="299">
        <v>22</v>
      </c>
      <c r="BB28" s="302">
        <v>15600</v>
      </c>
      <c r="BC28" s="302">
        <v>14600</v>
      </c>
      <c r="BD28" s="302">
        <v>12600</v>
      </c>
      <c r="BE28" s="302">
        <v>12600</v>
      </c>
      <c r="BF28" s="303">
        <v>12600</v>
      </c>
      <c r="BG28" s="302">
        <v>6400</v>
      </c>
      <c r="BH28" s="302">
        <v>6400</v>
      </c>
      <c r="BI28" s="302">
        <v>6400</v>
      </c>
      <c r="BJ28" s="302">
        <v>6400</v>
      </c>
      <c r="BK28" s="303">
        <v>6400</v>
      </c>
      <c r="BL28" s="298">
        <v>235</v>
      </c>
      <c r="BM28" s="298">
        <v>235</v>
      </c>
      <c r="BN28" s="298">
        <v>235</v>
      </c>
      <c r="BO28" s="298">
        <v>235</v>
      </c>
      <c r="BP28" s="299">
        <v>235</v>
      </c>
      <c r="BQ28" s="297"/>
      <c r="BR28" s="298"/>
      <c r="BS28" s="298"/>
      <c r="BT28" s="298"/>
      <c r="BU28" s="299"/>
      <c r="BV28" s="305" t="s">
        <v>364</v>
      </c>
      <c r="BW28" s="302">
        <v>866.66666666666663</v>
      </c>
      <c r="BX28" s="302">
        <v>811.11111111111109</v>
      </c>
      <c r="BY28" s="302">
        <v>700</v>
      </c>
      <c r="BZ28" s="302">
        <v>700</v>
      </c>
      <c r="CA28" s="303">
        <v>700</v>
      </c>
      <c r="CB28" s="302">
        <v>355.55555555555554</v>
      </c>
      <c r="CC28" s="302">
        <v>355.55555555555554</v>
      </c>
      <c r="CD28" s="302">
        <v>355.55555555555554</v>
      </c>
      <c r="CE28" s="302">
        <v>355.55555555555554</v>
      </c>
      <c r="CF28" s="303">
        <v>355.55555555555554</v>
      </c>
      <c r="CG28" s="304">
        <v>13.055555555555555</v>
      </c>
      <c r="CH28" s="302">
        <v>13.055555555555555</v>
      </c>
      <c r="CI28" s="302">
        <v>13.055555555555555</v>
      </c>
      <c r="CJ28" s="302">
        <v>13.055555555555555</v>
      </c>
      <c r="CK28" s="303">
        <v>13.055555555555555</v>
      </c>
    </row>
    <row r="29" spans="1:89" s="293" customFormat="1" x14ac:dyDescent="0.2">
      <c r="A29" s="294" t="s">
        <v>365</v>
      </c>
      <c r="B29" s="295" t="s">
        <v>458</v>
      </c>
      <c r="C29" s="296" t="s">
        <v>366</v>
      </c>
      <c r="D29" s="297">
        <v>44</v>
      </c>
      <c r="E29" s="298">
        <v>80</v>
      </c>
      <c r="F29" s="298">
        <v>80</v>
      </c>
      <c r="G29" s="298">
        <v>80</v>
      </c>
      <c r="H29" s="299">
        <v>80</v>
      </c>
      <c r="I29" s="298"/>
      <c r="J29" s="298"/>
      <c r="K29" s="298"/>
      <c r="L29" s="298"/>
      <c r="M29" s="299"/>
      <c r="N29" s="298">
        <v>100</v>
      </c>
      <c r="O29" s="298">
        <v>100</v>
      </c>
      <c r="P29" s="298">
        <v>100</v>
      </c>
      <c r="Q29" s="298">
        <v>100</v>
      </c>
      <c r="R29" s="299">
        <v>100</v>
      </c>
      <c r="S29" s="298"/>
      <c r="T29" s="298"/>
      <c r="U29" s="298"/>
      <c r="V29" s="298"/>
      <c r="W29" s="299"/>
      <c r="X29" s="298">
        <v>100</v>
      </c>
      <c r="Y29" s="298">
        <v>100</v>
      </c>
      <c r="Z29" s="298">
        <v>100</v>
      </c>
      <c r="AA29" s="298">
        <v>100</v>
      </c>
      <c r="AB29" s="299">
        <v>100</v>
      </c>
      <c r="AC29" s="300">
        <v>1.35</v>
      </c>
      <c r="AD29" s="300">
        <v>1.45</v>
      </c>
      <c r="AE29" s="300">
        <v>1.7</v>
      </c>
      <c r="AF29" s="300">
        <v>1.7</v>
      </c>
      <c r="AG29" s="301">
        <v>1.7</v>
      </c>
      <c r="AH29" s="300">
        <v>0</v>
      </c>
      <c r="AI29" s="300">
        <v>0</v>
      </c>
      <c r="AJ29" s="300">
        <v>0</v>
      </c>
      <c r="AK29" s="300">
        <v>0</v>
      </c>
      <c r="AL29" s="301">
        <v>0</v>
      </c>
      <c r="AM29" s="300">
        <v>0</v>
      </c>
      <c r="AN29" s="300">
        <v>0</v>
      </c>
      <c r="AO29" s="300">
        <v>0</v>
      </c>
      <c r="AP29" s="300">
        <v>0</v>
      </c>
      <c r="AQ29" s="301">
        <v>0</v>
      </c>
      <c r="AR29" s="298"/>
      <c r="AS29" s="298"/>
      <c r="AT29" s="298"/>
      <c r="AU29" s="298"/>
      <c r="AV29" s="299"/>
      <c r="AW29" s="298">
        <v>22</v>
      </c>
      <c r="AX29" s="298">
        <v>22</v>
      </c>
      <c r="AY29" s="298">
        <v>22</v>
      </c>
      <c r="AZ29" s="298">
        <v>22</v>
      </c>
      <c r="BA29" s="299">
        <v>22</v>
      </c>
      <c r="BB29" s="302">
        <v>33000</v>
      </c>
      <c r="BC29" s="302">
        <v>33000</v>
      </c>
      <c r="BD29" s="302">
        <v>32000</v>
      </c>
      <c r="BE29" s="302">
        <v>32000</v>
      </c>
      <c r="BF29" s="303">
        <v>32000</v>
      </c>
      <c r="BG29" s="302">
        <v>24600</v>
      </c>
      <c r="BH29" s="302">
        <v>24600</v>
      </c>
      <c r="BI29" s="302">
        <v>24600</v>
      </c>
      <c r="BJ29" s="302">
        <v>24600</v>
      </c>
      <c r="BK29" s="303">
        <v>24600</v>
      </c>
      <c r="BL29" s="298">
        <v>235</v>
      </c>
      <c r="BM29" s="298">
        <v>235</v>
      </c>
      <c r="BN29" s="298">
        <v>235</v>
      </c>
      <c r="BO29" s="298">
        <v>235</v>
      </c>
      <c r="BP29" s="299">
        <v>235</v>
      </c>
      <c r="BQ29" s="297"/>
      <c r="BR29" s="298"/>
      <c r="BS29" s="298"/>
      <c r="BT29" s="298"/>
      <c r="BU29" s="299"/>
      <c r="BV29" s="305" t="s">
        <v>364</v>
      </c>
      <c r="BW29" s="302">
        <v>750</v>
      </c>
      <c r="BX29" s="302">
        <v>750</v>
      </c>
      <c r="BY29" s="302">
        <v>727.27272727272725</v>
      </c>
      <c r="BZ29" s="302">
        <v>727.27272727272725</v>
      </c>
      <c r="CA29" s="303">
        <v>727.27272727272725</v>
      </c>
      <c r="CB29" s="302">
        <v>559.09090909090912</v>
      </c>
      <c r="CC29" s="302">
        <v>559.09090909090912</v>
      </c>
      <c r="CD29" s="302">
        <v>559.09090909090912</v>
      </c>
      <c r="CE29" s="302">
        <v>559.09090909090912</v>
      </c>
      <c r="CF29" s="303">
        <v>559.09090909090912</v>
      </c>
      <c r="CG29" s="304">
        <v>5.3409090909090908</v>
      </c>
      <c r="CH29" s="302">
        <v>5.3409090909090908</v>
      </c>
      <c r="CI29" s="302">
        <v>5.3409090909090908</v>
      </c>
      <c r="CJ29" s="302">
        <v>5.3409090909090908</v>
      </c>
      <c r="CK29" s="303">
        <v>5.3409090909090908</v>
      </c>
    </row>
    <row r="30" spans="1:89" s="293" customFormat="1" x14ac:dyDescent="0.2">
      <c r="A30" s="294" t="s">
        <v>367</v>
      </c>
      <c r="B30" s="295" t="s">
        <v>459</v>
      </c>
      <c r="C30" s="296" t="s">
        <v>368</v>
      </c>
      <c r="D30" s="297" t="s">
        <v>431</v>
      </c>
      <c r="E30" s="298" t="s">
        <v>431</v>
      </c>
      <c r="F30" s="298" t="s">
        <v>431</v>
      </c>
      <c r="G30" s="298" t="s">
        <v>431</v>
      </c>
      <c r="H30" s="299" t="s">
        <v>431</v>
      </c>
      <c r="I30" s="298"/>
      <c r="J30" s="298"/>
      <c r="K30" s="298"/>
      <c r="L30" s="298"/>
      <c r="M30" s="299"/>
      <c r="N30" s="298">
        <v>100</v>
      </c>
      <c r="O30" s="298">
        <v>100</v>
      </c>
      <c r="P30" s="298">
        <v>100</v>
      </c>
      <c r="Q30" s="298">
        <v>100</v>
      </c>
      <c r="R30" s="299">
        <v>100</v>
      </c>
      <c r="S30" s="298"/>
      <c r="T30" s="298"/>
      <c r="U30" s="298"/>
      <c r="V30" s="298"/>
      <c r="W30" s="299"/>
      <c r="X30" s="298">
        <v>100</v>
      </c>
      <c r="Y30" s="298">
        <v>100</v>
      </c>
      <c r="Z30" s="298">
        <v>100</v>
      </c>
      <c r="AA30" s="298">
        <v>100</v>
      </c>
      <c r="AB30" s="299">
        <v>100</v>
      </c>
      <c r="AC30" s="300">
        <v>1.5</v>
      </c>
      <c r="AD30" s="300">
        <v>1.55</v>
      </c>
      <c r="AE30" s="300">
        <v>1.55</v>
      </c>
      <c r="AF30" s="300">
        <v>1.6</v>
      </c>
      <c r="AG30" s="301">
        <v>1.6</v>
      </c>
      <c r="AH30" s="300">
        <v>0</v>
      </c>
      <c r="AI30" s="300">
        <v>0</v>
      </c>
      <c r="AJ30" s="300">
        <v>0</v>
      </c>
      <c r="AK30" s="300">
        <v>0</v>
      </c>
      <c r="AL30" s="301">
        <v>0</v>
      </c>
      <c r="AM30" s="300">
        <v>0</v>
      </c>
      <c r="AN30" s="300">
        <v>0</v>
      </c>
      <c r="AO30" s="300">
        <v>0</v>
      </c>
      <c r="AP30" s="300">
        <v>0</v>
      </c>
      <c r="AQ30" s="301">
        <v>0</v>
      </c>
      <c r="AR30" s="298"/>
      <c r="AS30" s="298"/>
      <c r="AT30" s="298"/>
      <c r="AU30" s="298"/>
      <c r="AV30" s="299"/>
      <c r="AW30" s="298" t="s">
        <v>460</v>
      </c>
      <c r="AX30" s="298" t="s">
        <v>461</v>
      </c>
      <c r="AY30" s="298" t="s">
        <v>461</v>
      </c>
      <c r="AZ30" s="298" t="s">
        <v>461</v>
      </c>
      <c r="BA30" s="299" t="s">
        <v>461</v>
      </c>
      <c r="BB30" s="302">
        <v>47500</v>
      </c>
      <c r="BC30" s="302">
        <v>47500</v>
      </c>
      <c r="BD30" s="302">
        <v>47500</v>
      </c>
      <c r="BE30" s="302">
        <v>47500</v>
      </c>
      <c r="BF30" s="303">
        <v>47500</v>
      </c>
      <c r="BG30" s="302">
        <v>1600</v>
      </c>
      <c r="BH30" s="302">
        <v>1600</v>
      </c>
      <c r="BI30" s="302">
        <v>1600</v>
      </c>
      <c r="BJ30" s="302">
        <v>1600</v>
      </c>
      <c r="BK30" s="303">
        <v>1600</v>
      </c>
      <c r="BL30" s="298">
        <v>235</v>
      </c>
      <c r="BM30" s="298">
        <v>235</v>
      </c>
      <c r="BN30" s="298">
        <v>235</v>
      </c>
      <c r="BO30" s="298">
        <v>235</v>
      </c>
      <c r="BP30" s="299">
        <v>235</v>
      </c>
      <c r="BQ30" s="297"/>
      <c r="BR30" s="298"/>
      <c r="BS30" s="298"/>
      <c r="BT30" s="298"/>
      <c r="BU30" s="299"/>
      <c r="BV30" s="305" t="s">
        <v>369</v>
      </c>
      <c r="BW30" s="311">
        <v>950</v>
      </c>
      <c r="BX30" s="311">
        <v>950</v>
      </c>
      <c r="BY30" s="311">
        <v>950</v>
      </c>
      <c r="BZ30" s="311">
        <v>950</v>
      </c>
      <c r="CA30" s="312">
        <v>950</v>
      </c>
      <c r="CB30" s="306">
        <v>32</v>
      </c>
      <c r="CC30" s="306">
        <v>32</v>
      </c>
      <c r="CD30" s="306">
        <v>32</v>
      </c>
      <c r="CE30" s="306">
        <v>32</v>
      </c>
      <c r="CF30" s="307">
        <v>32</v>
      </c>
      <c r="CG30" s="308">
        <v>4.7</v>
      </c>
      <c r="CH30" s="306">
        <v>4.7</v>
      </c>
      <c r="CI30" s="306">
        <v>4.7</v>
      </c>
      <c r="CJ30" s="306">
        <v>4.7</v>
      </c>
      <c r="CK30" s="307">
        <v>4.7</v>
      </c>
    </row>
    <row r="31" spans="1:89" s="293" customFormat="1" x14ac:dyDescent="0.2">
      <c r="A31" s="294" t="s">
        <v>370</v>
      </c>
      <c r="B31" s="295" t="s">
        <v>462</v>
      </c>
      <c r="C31" s="322" t="s">
        <v>371</v>
      </c>
      <c r="D31" s="297" t="s">
        <v>463</v>
      </c>
      <c r="E31" s="298" t="s">
        <v>463</v>
      </c>
      <c r="F31" s="298" t="s">
        <v>463</v>
      </c>
      <c r="G31" s="298" t="s">
        <v>463</v>
      </c>
      <c r="H31" s="299" t="s">
        <v>463</v>
      </c>
      <c r="I31" s="298"/>
      <c r="J31" s="298"/>
      <c r="K31" s="298"/>
      <c r="L31" s="298"/>
      <c r="M31" s="299"/>
      <c r="N31" s="298">
        <v>100</v>
      </c>
      <c r="O31" s="298">
        <v>100</v>
      </c>
      <c r="P31" s="298">
        <v>100</v>
      </c>
      <c r="Q31" s="298">
        <v>100</v>
      </c>
      <c r="R31" s="299">
        <v>100</v>
      </c>
      <c r="S31" s="298"/>
      <c r="T31" s="298"/>
      <c r="U31" s="298"/>
      <c r="V31" s="298"/>
      <c r="W31" s="299"/>
      <c r="X31" s="298">
        <v>100</v>
      </c>
      <c r="Y31" s="298">
        <v>100</v>
      </c>
      <c r="Z31" s="298">
        <v>100</v>
      </c>
      <c r="AA31" s="298">
        <v>100</v>
      </c>
      <c r="AB31" s="299">
        <v>100</v>
      </c>
      <c r="AC31" s="300">
        <v>1.35</v>
      </c>
      <c r="AD31" s="300">
        <v>1.35</v>
      </c>
      <c r="AE31" s="300">
        <v>1.35</v>
      </c>
      <c r="AF31" s="300">
        <v>1.35</v>
      </c>
      <c r="AG31" s="301">
        <v>1.35</v>
      </c>
      <c r="AH31" s="300">
        <v>0</v>
      </c>
      <c r="AI31" s="300">
        <v>0</v>
      </c>
      <c r="AJ31" s="300">
        <v>0</v>
      </c>
      <c r="AK31" s="300">
        <v>0</v>
      </c>
      <c r="AL31" s="301">
        <v>0</v>
      </c>
      <c r="AM31" s="300">
        <v>0</v>
      </c>
      <c r="AN31" s="300">
        <v>0</v>
      </c>
      <c r="AO31" s="300">
        <v>0</v>
      </c>
      <c r="AP31" s="300">
        <v>0</v>
      </c>
      <c r="AQ31" s="301">
        <v>0</v>
      </c>
      <c r="AR31" s="298"/>
      <c r="AS31" s="298"/>
      <c r="AT31" s="298"/>
      <c r="AU31" s="298"/>
      <c r="AV31" s="299"/>
      <c r="AW31" s="298">
        <v>20</v>
      </c>
      <c r="AX31" s="298">
        <v>20</v>
      </c>
      <c r="AY31" s="298">
        <v>20</v>
      </c>
      <c r="AZ31" s="298">
        <v>20</v>
      </c>
      <c r="BA31" s="299">
        <v>20</v>
      </c>
      <c r="BB31" s="302">
        <v>14000</v>
      </c>
      <c r="BC31" s="302">
        <v>14000</v>
      </c>
      <c r="BD31" s="302">
        <v>14000</v>
      </c>
      <c r="BE31" s="302">
        <v>14000</v>
      </c>
      <c r="BF31" s="303">
        <v>14000</v>
      </c>
      <c r="BG31" s="302">
        <v>1600</v>
      </c>
      <c r="BH31" s="302">
        <v>1600</v>
      </c>
      <c r="BI31" s="302">
        <v>1600</v>
      </c>
      <c r="BJ31" s="302">
        <v>1600</v>
      </c>
      <c r="BK31" s="303">
        <v>1600</v>
      </c>
      <c r="BL31" s="298">
        <v>235</v>
      </c>
      <c r="BM31" s="298">
        <v>235</v>
      </c>
      <c r="BN31" s="298">
        <v>235</v>
      </c>
      <c r="BO31" s="298">
        <v>235</v>
      </c>
      <c r="BP31" s="299">
        <v>235</v>
      </c>
      <c r="BQ31" s="297"/>
      <c r="BR31" s="298"/>
      <c r="BS31" s="298"/>
      <c r="BT31" s="298"/>
      <c r="BU31" s="299"/>
      <c r="BV31" s="305" t="s">
        <v>372</v>
      </c>
      <c r="BW31" s="306">
        <v>1696.969696969697</v>
      </c>
      <c r="BX31" s="306">
        <v>1696.969696969697</v>
      </c>
      <c r="BY31" s="306">
        <v>1696.969696969697</v>
      </c>
      <c r="BZ31" s="306">
        <v>1696.969696969697</v>
      </c>
      <c r="CA31" s="307">
        <v>1696.969696969697</v>
      </c>
      <c r="CB31" s="306">
        <v>193.93939393939394</v>
      </c>
      <c r="CC31" s="306">
        <v>193.93939393939394</v>
      </c>
      <c r="CD31" s="306">
        <v>193.93939393939394</v>
      </c>
      <c r="CE31" s="306">
        <v>193.93939393939394</v>
      </c>
      <c r="CF31" s="307">
        <v>193.93939393939394</v>
      </c>
      <c r="CG31" s="308">
        <v>28.484848484848484</v>
      </c>
      <c r="CH31" s="306">
        <v>28.484848484848484</v>
      </c>
      <c r="CI31" s="306">
        <v>28.484848484848484</v>
      </c>
      <c r="CJ31" s="306">
        <v>28.484848484848484</v>
      </c>
      <c r="CK31" s="307">
        <v>28.484848484848484</v>
      </c>
    </row>
    <row r="32" spans="1:89" s="293" customFormat="1" x14ac:dyDescent="0.2">
      <c r="A32" s="294" t="s">
        <v>373</v>
      </c>
      <c r="B32" s="295" t="s">
        <v>453</v>
      </c>
      <c r="C32" s="296" t="s">
        <v>374</v>
      </c>
      <c r="D32" s="297">
        <v>0</v>
      </c>
      <c r="E32" s="298">
        <v>0</v>
      </c>
      <c r="F32" s="298">
        <v>0</v>
      </c>
      <c r="G32" s="298">
        <v>0</v>
      </c>
      <c r="H32" s="299">
        <v>0</v>
      </c>
      <c r="I32" s="298"/>
      <c r="J32" s="298"/>
      <c r="K32" s="298"/>
      <c r="L32" s="298"/>
      <c r="M32" s="299"/>
      <c r="N32" s="298">
        <v>0</v>
      </c>
      <c r="O32" s="298">
        <v>0</v>
      </c>
      <c r="P32" s="298">
        <v>0</v>
      </c>
      <c r="Q32" s="298">
        <v>0</v>
      </c>
      <c r="R32" s="299">
        <v>0</v>
      </c>
      <c r="S32" s="298"/>
      <c r="T32" s="298"/>
      <c r="U32" s="298"/>
      <c r="V32" s="298"/>
      <c r="W32" s="299"/>
      <c r="X32" s="298">
        <v>0</v>
      </c>
      <c r="Y32" s="298">
        <v>0</v>
      </c>
      <c r="Z32" s="298">
        <v>0</v>
      </c>
      <c r="AA32" s="298">
        <v>0</v>
      </c>
      <c r="AB32" s="299">
        <v>0</v>
      </c>
      <c r="AC32" s="300">
        <v>0</v>
      </c>
      <c r="AD32" s="300">
        <v>0</v>
      </c>
      <c r="AE32" s="300">
        <v>0</v>
      </c>
      <c r="AF32" s="300">
        <v>0</v>
      </c>
      <c r="AG32" s="301">
        <v>0</v>
      </c>
      <c r="AH32" s="300">
        <v>0</v>
      </c>
      <c r="AI32" s="300">
        <v>0</v>
      </c>
      <c r="AJ32" s="300">
        <v>0</v>
      </c>
      <c r="AK32" s="300">
        <v>0</v>
      </c>
      <c r="AL32" s="301">
        <v>0</v>
      </c>
      <c r="AM32" s="300">
        <v>0</v>
      </c>
      <c r="AN32" s="300">
        <v>0</v>
      </c>
      <c r="AO32" s="300">
        <v>0</v>
      </c>
      <c r="AP32" s="300">
        <v>0</v>
      </c>
      <c r="AQ32" s="301">
        <v>0</v>
      </c>
      <c r="AR32" s="298"/>
      <c r="AS32" s="298"/>
      <c r="AT32" s="298"/>
      <c r="AU32" s="298"/>
      <c r="AV32" s="299"/>
      <c r="AW32" s="298">
        <v>0</v>
      </c>
      <c r="AX32" s="298">
        <v>0</v>
      </c>
      <c r="AY32" s="298">
        <v>0</v>
      </c>
      <c r="AZ32" s="298">
        <v>0</v>
      </c>
      <c r="BA32" s="299">
        <v>0</v>
      </c>
      <c r="BB32" s="302">
        <v>0</v>
      </c>
      <c r="BC32" s="302">
        <v>0</v>
      </c>
      <c r="BD32" s="302">
        <v>0</v>
      </c>
      <c r="BE32" s="302">
        <v>0</v>
      </c>
      <c r="BF32" s="303">
        <v>0</v>
      </c>
      <c r="BG32" s="302">
        <v>0</v>
      </c>
      <c r="BH32" s="302">
        <v>0</v>
      </c>
      <c r="BI32" s="302">
        <v>0</v>
      </c>
      <c r="BJ32" s="302">
        <v>0</v>
      </c>
      <c r="BK32" s="303">
        <v>0</v>
      </c>
      <c r="BL32" s="298">
        <v>0</v>
      </c>
      <c r="BM32" s="298">
        <v>0</v>
      </c>
      <c r="BN32" s="298">
        <v>0</v>
      </c>
      <c r="BO32" s="298">
        <v>0</v>
      </c>
      <c r="BP32" s="299">
        <v>0</v>
      </c>
      <c r="BQ32" s="297">
        <v>0</v>
      </c>
      <c r="BR32" s="298">
        <v>0</v>
      </c>
      <c r="BS32" s="298">
        <v>0</v>
      </c>
      <c r="BT32" s="298">
        <v>0</v>
      </c>
      <c r="BU32" s="299">
        <v>0</v>
      </c>
      <c r="BV32" s="305"/>
      <c r="BW32" s="302" t="s">
        <v>450</v>
      </c>
      <c r="BX32" s="302" t="s">
        <v>450</v>
      </c>
      <c r="BY32" s="302" t="s">
        <v>450</v>
      </c>
      <c r="BZ32" s="302" t="s">
        <v>450</v>
      </c>
      <c r="CA32" s="303" t="s">
        <v>450</v>
      </c>
      <c r="CB32" s="302" t="s">
        <v>450</v>
      </c>
      <c r="CC32" s="302" t="s">
        <v>450</v>
      </c>
      <c r="CD32" s="302" t="s">
        <v>450</v>
      </c>
      <c r="CE32" s="302" t="s">
        <v>450</v>
      </c>
      <c r="CF32" s="303" t="s">
        <v>450</v>
      </c>
      <c r="CG32" s="304" t="s">
        <v>450</v>
      </c>
      <c r="CH32" s="302" t="s">
        <v>450</v>
      </c>
      <c r="CI32" s="302" t="s">
        <v>450</v>
      </c>
      <c r="CJ32" s="302" t="s">
        <v>450</v>
      </c>
      <c r="CK32" s="303" t="s">
        <v>450</v>
      </c>
    </row>
    <row r="33" spans="1:89" s="293" customFormat="1" x14ac:dyDescent="0.2">
      <c r="A33" s="286" t="s">
        <v>375</v>
      </c>
      <c r="B33" s="287"/>
      <c r="C33" s="288"/>
      <c r="D33" s="289"/>
      <c r="E33" s="290"/>
      <c r="F33" s="290"/>
      <c r="G33" s="290"/>
      <c r="H33" s="291"/>
      <c r="I33" s="290"/>
      <c r="J33" s="290"/>
      <c r="K33" s="290"/>
      <c r="L33" s="290"/>
      <c r="M33" s="291"/>
      <c r="N33" s="290"/>
      <c r="O33" s="290"/>
      <c r="P33" s="290"/>
      <c r="Q33" s="290"/>
      <c r="R33" s="291"/>
      <c r="S33" s="290"/>
      <c r="T33" s="290"/>
      <c r="U33" s="290"/>
      <c r="V33" s="290"/>
      <c r="W33" s="291"/>
      <c r="X33" s="290"/>
      <c r="Y33" s="290"/>
      <c r="Z33" s="290"/>
      <c r="AA33" s="290"/>
      <c r="AB33" s="291"/>
      <c r="AC33" s="315">
        <v>0</v>
      </c>
      <c r="AD33" s="315">
        <v>0</v>
      </c>
      <c r="AE33" s="315">
        <v>0</v>
      </c>
      <c r="AF33" s="315">
        <v>0</v>
      </c>
      <c r="AG33" s="316">
        <v>0</v>
      </c>
      <c r="AH33" s="315">
        <v>0</v>
      </c>
      <c r="AI33" s="315">
        <v>0</v>
      </c>
      <c r="AJ33" s="315">
        <v>0</v>
      </c>
      <c r="AK33" s="315">
        <v>0</v>
      </c>
      <c r="AL33" s="316">
        <v>0</v>
      </c>
      <c r="AM33" s="315">
        <v>0</v>
      </c>
      <c r="AN33" s="315">
        <v>0</v>
      </c>
      <c r="AO33" s="315">
        <v>0</v>
      </c>
      <c r="AP33" s="315">
        <v>0</v>
      </c>
      <c r="AQ33" s="316">
        <v>0</v>
      </c>
      <c r="AR33" s="290"/>
      <c r="AS33" s="290"/>
      <c r="AT33" s="290"/>
      <c r="AU33" s="290"/>
      <c r="AV33" s="291"/>
      <c r="AW33" s="290"/>
      <c r="AX33" s="290"/>
      <c r="AY33" s="290"/>
      <c r="AZ33" s="290"/>
      <c r="BA33" s="291"/>
      <c r="BB33" s="290"/>
      <c r="BC33" s="290"/>
      <c r="BD33" s="290"/>
      <c r="BE33" s="290"/>
      <c r="BF33" s="291"/>
      <c r="BG33" s="290">
        <v>0</v>
      </c>
      <c r="BH33" s="290">
        <v>0</v>
      </c>
      <c r="BI33" s="290">
        <v>0</v>
      </c>
      <c r="BJ33" s="290">
        <v>0</v>
      </c>
      <c r="BK33" s="291">
        <v>0</v>
      </c>
      <c r="BL33" s="290"/>
      <c r="BM33" s="290"/>
      <c r="BN33" s="290"/>
      <c r="BO33" s="290"/>
      <c r="BP33" s="291"/>
      <c r="BQ33" s="289"/>
      <c r="BR33" s="290"/>
      <c r="BS33" s="290"/>
      <c r="BT33" s="290"/>
      <c r="BU33" s="291"/>
      <c r="BV33" s="292"/>
      <c r="BW33" s="290"/>
      <c r="BX33" s="290"/>
      <c r="BY33" s="290"/>
      <c r="BZ33" s="290"/>
      <c r="CA33" s="291"/>
      <c r="CB33" s="290"/>
      <c r="CC33" s="290"/>
      <c r="CD33" s="290"/>
      <c r="CE33" s="290"/>
      <c r="CF33" s="291"/>
      <c r="CG33" s="289"/>
      <c r="CH33" s="290"/>
      <c r="CI33" s="290"/>
      <c r="CJ33" s="290"/>
      <c r="CK33" s="291"/>
    </row>
    <row r="34" spans="1:89" s="293" customFormat="1" x14ac:dyDescent="0.2">
      <c r="A34" s="294" t="s">
        <v>376</v>
      </c>
      <c r="B34" s="295" t="s">
        <v>453</v>
      </c>
      <c r="C34" s="296" t="s">
        <v>377</v>
      </c>
      <c r="D34" s="317">
        <v>30</v>
      </c>
      <c r="E34" s="313">
        <v>30</v>
      </c>
      <c r="F34" s="313">
        <v>30</v>
      </c>
      <c r="G34" s="313">
        <v>30</v>
      </c>
      <c r="H34" s="314">
        <v>30</v>
      </c>
      <c r="I34" s="298"/>
      <c r="J34" s="298"/>
      <c r="K34" s="298"/>
      <c r="L34" s="298"/>
      <c r="M34" s="299"/>
      <c r="N34" s="298">
        <v>0</v>
      </c>
      <c r="O34" s="298">
        <v>0</v>
      </c>
      <c r="P34" s="298">
        <v>0</v>
      </c>
      <c r="Q34" s="298">
        <v>0</v>
      </c>
      <c r="R34" s="299">
        <v>0</v>
      </c>
      <c r="S34" s="298"/>
      <c r="T34" s="298"/>
      <c r="U34" s="298"/>
      <c r="V34" s="298"/>
      <c r="W34" s="299"/>
      <c r="X34" s="298">
        <v>0</v>
      </c>
      <c r="Y34" s="298">
        <v>0</v>
      </c>
      <c r="Z34" s="298">
        <v>0</v>
      </c>
      <c r="AA34" s="298">
        <v>0</v>
      </c>
      <c r="AB34" s="299">
        <v>0</v>
      </c>
      <c r="AC34" s="323">
        <v>0.9</v>
      </c>
      <c r="AD34" s="323">
        <v>0.9</v>
      </c>
      <c r="AE34" s="323">
        <v>0.9</v>
      </c>
      <c r="AF34" s="323">
        <v>0.9</v>
      </c>
      <c r="AG34" s="324">
        <v>0.9</v>
      </c>
      <c r="AH34" s="300">
        <v>0</v>
      </c>
      <c r="AI34" s="300">
        <v>0</v>
      </c>
      <c r="AJ34" s="300">
        <v>0</v>
      </c>
      <c r="AK34" s="300">
        <v>0</v>
      </c>
      <c r="AL34" s="301">
        <v>0</v>
      </c>
      <c r="AM34" s="325">
        <v>0.26</v>
      </c>
      <c r="AN34" s="323">
        <v>0.26</v>
      </c>
      <c r="AO34" s="323">
        <v>0.26</v>
      </c>
      <c r="AP34" s="323">
        <v>0.26</v>
      </c>
      <c r="AQ34" s="324">
        <v>0.26</v>
      </c>
      <c r="AR34" s="298"/>
      <c r="AS34" s="298"/>
      <c r="AT34" s="298"/>
      <c r="AU34" s="298"/>
      <c r="AV34" s="299"/>
      <c r="AW34" s="298">
        <v>0</v>
      </c>
      <c r="AX34" s="298">
        <v>0</v>
      </c>
      <c r="AY34" s="298">
        <v>0</v>
      </c>
      <c r="AZ34" s="298">
        <v>0</v>
      </c>
      <c r="BA34" s="299">
        <v>0</v>
      </c>
      <c r="BB34" s="306">
        <v>103980</v>
      </c>
      <c r="BC34" s="306">
        <v>103980</v>
      </c>
      <c r="BD34" s="306">
        <v>77985</v>
      </c>
      <c r="BE34" s="306">
        <v>77985</v>
      </c>
      <c r="BF34" s="307">
        <v>62388</v>
      </c>
      <c r="BG34" s="306">
        <v>0</v>
      </c>
      <c r="BH34" s="306">
        <v>0</v>
      </c>
      <c r="BI34" s="306">
        <v>0</v>
      </c>
      <c r="BJ34" s="306">
        <v>0</v>
      </c>
      <c r="BK34" s="307">
        <v>0</v>
      </c>
      <c r="BL34" s="306">
        <v>310</v>
      </c>
      <c r="BM34" s="302">
        <v>0</v>
      </c>
      <c r="BN34" s="302">
        <v>0</v>
      </c>
      <c r="BO34" s="302">
        <v>0</v>
      </c>
      <c r="BP34" s="303">
        <v>0</v>
      </c>
      <c r="BQ34" s="304">
        <v>0</v>
      </c>
      <c r="BR34" s="302">
        <v>0</v>
      </c>
      <c r="BS34" s="302">
        <v>0</v>
      </c>
      <c r="BT34" s="302">
        <v>0</v>
      </c>
      <c r="BU34" s="303">
        <v>0</v>
      </c>
      <c r="BV34" s="305" t="s">
        <v>355</v>
      </c>
      <c r="BW34" s="302">
        <v>3466</v>
      </c>
      <c r="BX34" s="302">
        <v>3466</v>
      </c>
      <c r="BY34" s="302">
        <v>2599.5</v>
      </c>
      <c r="BZ34" s="302">
        <v>2599.5</v>
      </c>
      <c r="CA34" s="303">
        <v>2079.6</v>
      </c>
      <c r="CB34" s="302">
        <v>0</v>
      </c>
      <c r="CC34" s="302">
        <v>0</v>
      </c>
      <c r="CD34" s="302">
        <v>0</v>
      </c>
      <c r="CE34" s="302">
        <v>0</v>
      </c>
      <c r="CF34" s="303">
        <v>0</v>
      </c>
      <c r="CG34" s="304">
        <v>10.333333333333334</v>
      </c>
      <c r="CH34" s="302">
        <v>0</v>
      </c>
      <c r="CI34" s="302">
        <v>0</v>
      </c>
      <c r="CJ34" s="302">
        <v>0</v>
      </c>
      <c r="CK34" s="303">
        <v>0</v>
      </c>
    </row>
    <row r="35" spans="1:89" s="293" customFormat="1" x14ac:dyDescent="0.2">
      <c r="A35" s="294"/>
      <c r="B35" s="295"/>
      <c r="C35" s="296" t="s">
        <v>378</v>
      </c>
      <c r="D35" s="317">
        <v>200</v>
      </c>
      <c r="E35" s="313">
        <v>200</v>
      </c>
      <c r="F35" s="313">
        <v>200</v>
      </c>
      <c r="G35" s="313">
        <v>200</v>
      </c>
      <c r="H35" s="314">
        <v>200</v>
      </c>
      <c r="I35" s="298"/>
      <c r="J35" s="298"/>
      <c r="K35" s="298"/>
      <c r="L35" s="298"/>
      <c r="M35" s="299"/>
      <c r="N35" s="298"/>
      <c r="O35" s="298"/>
      <c r="P35" s="298"/>
      <c r="Q35" s="298"/>
      <c r="R35" s="299"/>
      <c r="S35" s="298"/>
      <c r="T35" s="298"/>
      <c r="U35" s="298"/>
      <c r="V35" s="298"/>
      <c r="W35" s="299"/>
      <c r="X35" s="298"/>
      <c r="Y35" s="298"/>
      <c r="Z35" s="298"/>
      <c r="AA35" s="298"/>
      <c r="AB35" s="299"/>
      <c r="AC35" s="323">
        <v>0.9</v>
      </c>
      <c r="AD35" s="323">
        <v>0.9</v>
      </c>
      <c r="AE35" s="323">
        <v>0.9</v>
      </c>
      <c r="AF35" s="323">
        <v>0.9</v>
      </c>
      <c r="AG35" s="324">
        <v>0.9</v>
      </c>
      <c r="AH35" s="300">
        <v>0</v>
      </c>
      <c r="AI35" s="300">
        <v>0</v>
      </c>
      <c r="AJ35" s="300">
        <v>0</v>
      </c>
      <c r="AK35" s="300">
        <v>0</v>
      </c>
      <c r="AL35" s="301">
        <v>0</v>
      </c>
      <c r="AM35" s="325">
        <v>0.33</v>
      </c>
      <c r="AN35" s="323">
        <v>0.33</v>
      </c>
      <c r="AO35" s="323">
        <v>0.33</v>
      </c>
      <c r="AP35" s="323">
        <v>0.33</v>
      </c>
      <c r="AQ35" s="324">
        <v>0.33</v>
      </c>
      <c r="AR35" s="298"/>
      <c r="AS35" s="298"/>
      <c r="AT35" s="298"/>
      <c r="AU35" s="298"/>
      <c r="AV35" s="299"/>
      <c r="AW35" s="298"/>
      <c r="AX35" s="298"/>
      <c r="AY35" s="298"/>
      <c r="AZ35" s="298"/>
      <c r="BA35" s="299"/>
      <c r="BB35" s="306">
        <v>275000</v>
      </c>
      <c r="BC35" s="306">
        <v>275000</v>
      </c>
      <c r="BD35" s="306">
        <v>206250</v>
      </c>
      <c r="BE35" s="306">
        <v>206250</v>
      </c>
      <c r="BF35" s="307">
        <v>165000</v>
      </c>
      <c r="BG35" s="306">
        <v>0</v>
      </c>
      <c r="BH35" s="306">
        <v>0</v>
      </c>
      <c r="BI35" s="306">
        <v>0</v>
      </c>
      <c r="BJ35" s="306">
        <v>0</v>
      </c>
      <c r="BK35" s="307">
        <v>0</v>
      </c>
      <c r="BL35" s="306">
        <v>310</v>
      </c>
      <c r="BM35" s="302"/>
      <c r="BN35" s="302"/>
      <c r="BO35" s="302"/>
      <c r="BP35" s="303"/>
      <c r="BQ35" s="304"/>
      <c r="BR35" s="302"/>
      <c r="BS35" s="302"/>
      <c r="BT35" s="302"/>
      <c r="BU35" s="303"/>
      <c r="BV35" s="305"/>
      <c r="BW35" s="302">
        <v>1375</v>
      </c>
      <c r="BX35" s="302">
        <v>1375</v>
      </c>
      <c r="BY35" s="302">
        <v>1031.25</v>
      </c>
      <c r="BZ35" s="302">
        <v>1031.25</v>
      </c>
      <c r="CA35" s="303">
        <v>825</v>
      </c>
      <c r="CB35" s="302"/>
      <c r="CC35" s="302"/>
      <c r="CD35" s="302"/>
      <c r="CE35" s="302"/>
      <c r="CF35" s="303"/>
      <c r="CG35" s="304">
        <v>1.55</v>
      </c>
      <c r="CH35" s="302"/>
      <c r="CI35" s="302"/>
      <c r="CJ35" s="302"/>
      <c r="CK35" s="303"/>
    </row>
    <row r="36" spans="1:89" s="293" customFormat="1" x14ac:dyDescent="0.2">
      <c r="A36" s="294" t="s">
        <v>379</v>
      </c>
      <c r="B36" s="295" t="s">
        <v>464</v>
      </c>
      <c r="C36" s="296" t="s">
        <v>380</v>
      </c>
      <c r="D36" s="297">
        <v>3.2</v>
      </c>
      <c r="E36" s="298">
        <v>3.2</v>
      </c>
      <c r="F36" s="298">
        <v>3.2</v>
      </c>
      <c r="G36" s="298">
        <v>0</v>
      </c>
      <c r="H36" s="299">
        <v>0</v>
      </c>
      <c r="I36" s="298">
        <v>1</v>
      </c>
      <c r="J36" s="298">
        <v>1</v>
      </c>
      <c r="K36" s="298">
        <v>1</v>
      </c>
      <c r="L36" s="298">
        <v>0</v>
      </c>
      <c r="M36" s="299">
        <v>0</v>
      </c>
      <c r="N36" s="298" t="s">
        <v>465</v>
      </c>
      <c r="O36" s="298" t="s">
        <v>466</v>
      </c>
      <c r="P36" s="298" t="s">
        <v>466</v>
      </c>
      <c r="Q36" s="298">
        <v>0</v>
      </c>
      <c r="R36" s="299">
        <v>0</v>
      </c>
      <c r="S36" s="298"/>
      <c r="T36" s="298"/>
      <c r="U36" s="298"/>
      <c r="V36" s="298"/>
      <c r="W36" s="299"/>
      <c r="X36" s="298" t="s">
        <v>467</v>
      </c>
      <c r="Y36" s="298" t="s">
        <v>467</v>
      </c>
      <c r="Z36" s="298" t="s">
        <v>468</v>
      </c>
      <c r="AA36" s="298">
        <v>0</v>
      </c>
      <c r="AB36" s="299">
        <v>0</v>
      </c>
      <c r="AC36" s="326">
        <v>0.85</v>
      </c>
      <c r="AD36" s="326">
        <v>0.92</v>
      </c>
      <c r="AE36" s="327">
        <v>0.97499999999999998</v>
      </c>
      <c r="AF36" s="300">
        <v>0</v>
      </c>
      <c r="AG36" s="301">
        <v>0</v>
      </c>
      <c r="AH36" s="300">
        <v>0.65</v>
      </c>
      <c r="AI36" s="300">
        <v>0.7</v>
      </c>
      <c r="AJ36" s="300">
        <v>0.72499999999999998</v>
      </c>
      <c r="AK36" s="300">
        <v>0</v>
      </c>
      <c r="AL36" s="301">
        <v>0</v>
      </c>
      <c r="AM36" s="300">
        <v>0.2</v>
      </c>
      <c r="AN36" s="300">
        <v>0.22</v>
      </c>
      <c r="AO36" s="300">
        <v>0.25</v>
      </c>
      <c r="AP36" s="300">
        <v>0</v>
      </c>
      <c r="AQ36" s="301">
        <v>0</v>
      </c>
      <c r="AR36" s="298"/>
      <c r="AS36" s="298"/>
      <c r="AT36" s="298"/>
      <c r="AU36" s="298"/>
      <c r="AV36" s="299"/>
      <c r="AW36" s="298">
        <v>10</v>
      </c>
      <c r="AX36" s="298" t="s">
        <v>469</v>
      </c>
      <c r="AY36" s="298" t="s">
        <v>469</v>
      </c>
      <c r="AZ36" s="298">
        <v>0</v>
      </c>
      <c r="BA36" s="299">
        <v>0</v>
      </c>
      <c r="BB36" s="302">
        <v>15000</v>
      </c>
      <c r="BC36" s="302">
        <v>12000</v>
      </c>
      <c r="BD36" s="302">
        <v>10000</v>
      </c>
      <c r="BE36" s="302">
        <v>0</v>
      </c>
      <c r="BF36" s="303">
        <v>0</v>
      </c>
      <c r="BG36" s="302">
        <v>2500</v>
      </c>
      <c r="BH36" s="302">
        <v>2500</v>
      </c>
      <c r="BI36" s="302">
        <v>2500</v>
      </c>
      <c r="BJ36" s="302">
        <v>0</v>
      </c>
      <c r="BK36" s="303">
        <v>0</v>
      </c>
      <c r="BL36" s="298">
        <v>0</v>
      </c>
      <c r="BM36" s="298">
        <v>0</v>
      </c>
      <c r="BN36" s="298">
        <v>0</v>
      </c>
      <c r="BO36" s="298">
        <v>0</v>
      </c>
      <c r="BP36" s="299">
        <v>0</v>
      </c>
      <c r="BQ36" s="328">
        <v>1.1000000000000001</v>
      </c>
      <c r="BR36" s="329">
        <v>1.1000000000000001</v>
      </c>
      <c r="BS36" s="329">
        <v>1.1000000000000001</v>
      </c>
      <c r="BT36" s="298">
        <v>0</v>
      </c>
      <c r="BU36" s="299">
        <v>0</v>
      </c>
      <c r="BV36" s="305" t="s">
        <v>381</v>
      </c>
      <c r="BW36" s="302">
        <v>4687.5</v>
      </c>
      <c r="BX36" s="302">
        <v>3750</v>
      </c>
      <c r="BY36" s="302">
        <v>3125</v>
      </c>
      <c r="BZ36" s="302">
        <v>0</v>
      </c>
      <c r="CA36" s="303">
        <v>0</v>
      </c>
      <c r="CB36" s="330">
        <v>781.25</v>
      </c>
      <c r="CC36" s="330">
        <v>781.25</v>
      </c>
      <c r="CD36" s="330">
        <v>781.25</v>
      </c>
      <c r="CE36" s="330" t="s">
        <v>450</v>
      </c>
      <c r="CF36" s="330" t="s">
        <v>450</v>
      </c>
      <c r="CG36" s="304">
        <v>0</v>
      </c>
      <c r="CH36" s="302">
        <v>0</v>
      </c>
      <c r="CI36" s="302">
        <v>0</v>
      </c>
      <c r="CJ36" s="302">
        <v>0</v>
      </c>
      <c r="CK36" s="303">
        <v>0</v>
      </c>
    </row>
    <row r="37" spans="1:89" s="293" customFormat="1" x14ac:dyDescent="0.2">
      <c r="A37" s="294" t="s">
        <v>382</v>
      </c>
      <c r="B37" s="295" t="s">
        <v>470</v>
      </c>
      <c r="C37" s="296" t="s">
        <v>383</v>
      </c>
      <c r="D37" s="297" t="s">
        <v>471</v>
      </c>
      <c r="E37" s="298" t="s">
        <v>471</v>
      </c>
      <c r="F37" s="298" t="s">
        <v>471</v>
      </c>
      <c r="G37" s="298">
        <v>0</v>
      </c>
      <c r="H37" s="299">
        <v>0</v>
      </c>
      <c r="I37" s="298" t="s">
        <v>472</v>
      </c>
      <c r="J37" s="298" t="s">
        <v>473</v>
      </c>
      <c r="K37" s="298" t="s">
        <v>474</v>
      </c>
      <c r="L37" s="298">
        <v>0</v>
      </c>
      <c r="M37" s="299">
        <v>0</v>
      </c>
      <c r="N37" s="298" t="s">
        <v>475</v>
      </c>
      <c r="O37" s="298" t="s">
        <v>475</v>
      </c>
      <c r="P37" s="298" t="s">
        <v>475</v>
      </c>
      <c r="Q37" s="298">
        <v>0</v>
      </c>
      <c r="R37" s="299">
        <v>0</v>
      </c>
      <c r="S37" s="298"/>
      <c r="T37" s="298"/>
      <c r="U37" s="298"/>
      <c r="V37" s="298"/>
      <c r="W37" s="299"/>
      <c r="X37" s="298" t="s">
        <v>476</v>
      </c>
      <c r="Y37" s="298" t="s">
        <v>476</v>
      </c>
      <c r="Z37" s="298" t="s">
        <v>476</v>
      </c>
      <c r="AA37" s="298">
        <v>0</v>
      </c>
      <c r="AB37" s="299">
        <v>0</v>
      </c>
      <c r="AC37" s="327">
        <v>0.89500000000000002</v>
      </c>
      <c r="AD37" s="327">
        <v>0.93</v>
      </c>
      <c r="AE37" s="327">
        <v>0.95499999999999996</v>
      </c>
      <c r="AF37" s="300">
        <v>0</v>
      </c>
      <c r="AG37" s="301">
        <v>0</v>
      </c>
      <c r="AH37" s="300">
        <v>0.57499999999999996</v>
      </c>
      <c r="AI37" s="300">
        <v>0.58499999999999996</v>
      </c>
      <c r="AJ37" s="300">
        <v>0.59499999999999997</v>
      </c>
      <c r="AK37" s="300">
        <v>0</v>
      </c>
      <c r="AL37" s="301">
        <v>0</v>
      </c>
      <c r="AM37" s="300">
        <v>0.32</v>
      </c>
      <c r="AN37" s="300">
        <v>0.34</v>
      </c>
      <c r="AO37" s="300">
        <v>0.36</v>
      </c>
      <c r="AP37" s="300">
        <v>0</v>
      </c>
      <c r="AQ37" s="301">
        <v>0</v>
      </c>
      <c r="AR37" s="298"/>
      <c r="AS37" s="298"/>
      <c r="AT37" s="298"/>
      <c r="AU37" s="298"/>
      <c r="AV37" s="299"/>
      <c r="AW37" s="298" t="s">
        <v>460</v>
      </c>
      <c r="AX37" s="298" t="s">
        <v>460</v>
      </c>
      <c r="AY37" s="298" t="s">
        <v>460</v>
      </c>
      <c r="AZ37" s="298">
        <v>0</v>
      </c>
      <c r="BA37" s="299">
        <v>0</v>
      </c>
      <c r="BB37" s="302">
        <v>72500</v>
      </c>
      <c r="BC37" s="302">
        <v>72500</v>
      </c>
      <c r="BD37" s="302">
        <v>72500</v>
      </c>
      <c r="BE37" s="302">
        <v>0</v>
      </c>
      <c r="BF37" s="303">
        <v>0</v>
      </c>
      <c r="BG37" s="302">
        <v>200</v>
      </c>
      <c r="BH37" s="302">
        <v>200</v>
      </c>
      <c r="BI37" s="302">
        <v>200</v>
      </c>
      <c r="BJ37" s="302">
        <v>0</v>
      </c>
      <c r="BK37" s="303">
        <v>0</v>
      </c>
      <c r="BL37" s="298">
        <v>0</v>
      </c>
      <c r="BM37" s="298">
        <v>0</v>
      </c>
      <c r="BN37" s="298">
        <v>0</v>
      </c>
      <c r="BO37" s="298">
        <v>0</v>
      </c>
      <c r="BP37" s="299">
        <v>0</v>
      </c>
      <c r="BQ37" s="328">
        <v>0.85</v>
      </c>
      <c r="BR37" s="329">
        <v>0.85</v>
      </c>
      <c r="BS37" s="329">
        <v>0.85</v>
      </c>
      <c r="BT37" s="298">
        <v>0</v>
      </c>
      <c r="BU37" s="299">
        <v>0</v>
      </c>
      <c r="BV37" s="305" t="s">
        <v>381</v>
      </c>
      <c r="BW37" s="306">
        <v>446.15384615384613</v>
      </c>
      <c r="BX37" s="306">
        <v>446.15384615384613</v>
      </c>
      <c r="BY37" s="306">
        <v>446.15384615384613</v>
      </c>
      <c r="BZ37" s="306" t="s">
        <v>450</v>
      </c>
      <c r="CA37" s="307" t="s">
        <v>450</v>
      </c>
      <c r="CB37" s="320">
        <v>1.2307692307692308</v>
      </c>
      <c r="CC37" s="331">
        <v>1.2307692307692308</v>
      </c>
      <c r="CD37" s="331">
        <v>1.2307692307692308</v>
      </c>
      <c r="CE37" s="331" t="s">
        <v>450</v>
      </c>
      <c r="CF37" s="332" t="s">
        <v>450</v>
      </c>
      <c r="CG37" s="304">
        <v>0</v>
      </c>
      <c r="CH37" s="302">
        <v>0</v>
      </c>
      <c r="CI37" s="302">
        <v>0</v>
      </c>
      <c r="CJ37" s="302" t="s">
        <v>450</v>
      </c>
      <c r="CK37" s="303" t="s">
        <v>450</v>
      </c>
    </row>
    <row r="38" spans="1:89" s="293" customFormat="1" x14ac:dyDescent="0.2">
      <c r="A38" s="294" t="s">
        <v>384</v>
      </c>
      <c r="B38" s="295" t="s">
        <v>453</v>
      </c>
      <c r="C38" s="296" t="s">
        <v>385</v>
      </c>
      <c r="D38" s="317" t="s">
        <v>386</v>
      </c>
      <c r="E38" s="313">
        <v>10</v>
      </c>
      <c r="F38" s="313">
        <v>10</v>
      </c>
      <c r="G38" s="313">
        <v>10</v>
      </c>
      <c r="H38" s="314">
        <v>10</v>
      </c>
      <c r="I38" s="298"/>
      <c r="J38" s="298"/>
      <c r="K38" s="298"/>
      <c r="L38" s="298"/>
      <c r="M38" s="299"/>
      <c r="N38" s="298">
        <v>0</v>
      </c>
      <c r="O38" s="298">
        <v>0</v>
      </c>
      <c r="P38" s="298">
        <v>0</v>
      </c>
      <c r="Q38" s="298">
        <v>0</v>
      </c>
      <c r="R38" s="299">
        <v>0</v>
      </c>
      <c r="S38" s="298"/>
      <c r="T38" s="298"/>
      <c r="U38" s="298"/>
      <c r="V38" s="298"/>
      <c r="W38" s="299"/>
      <c r="X38" s="298">
        <v>0</v>
      </c>
      <c r="Y38" s="298">
        <v>0</v>
      </c>
      <c r="Z38" s="298">
        <v>0</v>
      </c>
      <c r="AA38" s="298">
        <v>0</v>
      </c>
      <c r="AB38" s="299">
        <v>0</v>
      </c>
      <c r="AC38" s="333">
        <v>0.65</v>
      </c>
      <c r="AD38" s="333">
        <v>0.7</v>
      </c>
      <c r="AE38" s="333">
        <v>0.72499999999999998</v>
      </c>
      <c r="AF38" s="300">
        <v>0</v>
      </c>
      <c r="AG38" s="301">
        <v>0</v>
      </c>
      <c r="AH38" s="300">
        <v>0</v>
      </c>
      <c r="AI38" s="300">
        <v>0</v>
      </c>
      <c r="AJ38" s="300">
        <v>0</v>
      </c>
      <c r="AK38" s="300">
        <v>0</v>
      </c>
      <c r="AL38" s="301">
        <v>0</v>
      </c>
      <c r="AM38" s="334">
        <v>0.2</v>
      </c>
      <c r="AN38" s="334">
        <v>0.22</v>
      </c>
      <c r="AO38" s="334">
        <v>0.25</v>
      </c>
      <c r="AP38" s="298">
        <v>0</v>
      </c>
      <c r="AQ38" s="301">
        <v>0</v>
      </c>
      <c r="AR38" s="298"/>
      <c r="AS38" s="298"/>
      <c r="AT38" s="298"/>
      <c r="AU38" s="298"/>
      <c r="AV38" s="299"/>
      <c r="AW38" s="298">
        <v>0</v>
      </c>
      <c r="AX38" s="298">
        <v>0</v>
      </c>
      <c r="AY38" s="298">
        <v>0</v>
      </c>
      <c r="AZ38" s="298">
        <v>0</v>
      </c>
      <c r="BA38" s="299">
        <v>0</v>
      </c>
      <c r="BB38" s="306">
        <v>21450</v>
      </c>
      <c r="BC38" s="306">
        <v>17160</v>
      </c>
      <c r="BD38" s="306">
        <v>14371.5</v>
      </c>
      <c r="BE38" s="306">
        <v>14371.5</v>
      </c>
      <c r="BF38" s="307">
        <v>14371.5</v>
      </c>
      <c r="BG38" s="306">
        <v>2550</v>
      </c>
      <c r="BH38" s="306">
        <v>2550</v>
      </c>
      <c r="BI38" s="306">
        <v>2550</v>
      </c>
      <c r="BJ38" s="306">
        <v>2550</v>
      </c>
      <c r="BK38" s="307">
        <v>2550</v>
      </c>
      <c r="BL38" s="306">
        <v>310</v>
      </c>
      <c r="BM38" s="302">
        <v>0</v>
      </c>
      <c r="BN38" s="302">
        <v>0</v>
      </c>
      <c r="BO38" s="302">
        <v>0</v>
      </c>
      <c r="BP38" s="303">
        <v>0</v>
      </c>
      <c r="BQ38" s="335">
        <v>0</v>
      </c>
      <c r="BR38" s="300">
        <v>0</v>
      </c>
      <c r="BS38" s="300">
        <v>0</v>
      </c>
      <c r="BT38" s="302">
        <v>0</v>
      </c>
      <c r="BU38" s="303">
        <v>0</v>
      </c>
      <c r="BV38" s="305" t="s">
        <v>355</v>
      </c>
      <c r="BW38" s="302">
        <v>2145</v>
      </c>
      <c r="BX38" s="302">
        <v>1716</v>
      </c>
      <c r="BY38" s="302">
        <v>1437.15</v>
      </c>
      <c r="BZ38" s="302">
        <v>1437.15</v>
      </c>
      <c r="CA38" s="303">
        <v>1437.15</v>
      </c>
      <c r="CB38" s="302">
        <v>255</v>
      </c>
      <c r="CC38" s="302">
        <v>255</v>
      </c>
      <c r="CD38" s="302">
        <v>255</v>
      </c>
      <c r="CE38" s="302">
        <v>255</v>
      </c>
      <c r="CF38" s="303">
        <v>255</v>
      </c>
      <c r="CG38" s="304">
        <v>31</v>
      </c>
      <c r="CH38" s="302">
        <v>0</v>
      </c>
      <c r="CI38" s="302">
        <v>0</v>
      </c>
      <c r="CJ38" s="302">
        <v>0</v>
      </c>
      <c r="CK38" s="303">
        <v>0</v>
      </c>
    </row>
    <row r="39" spans="1:89" s="293" customFormat="1" x14ac:dyDescent="0.2">
      <c r="A39" s="294" t="s">
        <v>387</v>
      </c>
      <c r="B39" s="295" t="s">
        <v>477</v>
      </c>
      <c r="C39" s="296" t="s">
        <v>388</v>
      </c>
      <c r="D39" s="297" t="s">
        <v>478</v>
      </c>
      <c r="E39" s="298" t="s">
        <v>479</v>
      </c>
      <c r="F39" s="298" t="s">
        <v>480</v>
      </c>
      <c r="G39" s="298">
        <v>0</v>
      </c>
      <c r="H39" s="299">
        <v>0</v>
      </c>
      <c r="I39" s="298">
        <v>1</v>
      </c>
      <c r="J39" s="298">
        <v>1</v>
      </c>
      <c r="K39" s="298">
        <v>1</v>
      </c>
      <c r="L39" s="298">
        <v>0</v>
      </c>
      <c r="M39" s="299">
        <v>0</v>
      </c>
      <c r="N39" s="298" t="s">
        <v>481</v>
      </c>
      <c r="O39" s="298" t="s">
        <v>481</v>
      </c>
      <c r="P39" s="298" t="s">
        <v>481</v>
      </c>
      <c r="Q39" s="298">
        <v>0</v>
      </c>
      <c r="R39" s="299">
        <v>0</v>
      </c>
      <c r="S39" s="298"/>
      <c r="T39" s="298"/>
      <c r="U39" s="298"/>
      <c r="V39" s="298"/>
      <c r="W39" s="299"/>
      <c r="X39" s="298" t="s">
        <v>476</v>
      </c>
      <c r="Y39" s="298" t="s">
        <v>476</v>
      </c>
      <c r="Z39" s="298" t="s">
        <v>476</v>
      </c>
      <c r="AA39" s="298">
        <v>0</v>
      </c>
      <c r="AB39" s="299">
        <v>0</v>
      </c>
      <c r="AC39" s="300">
        <v>0.89500000000000002</v>
      </c>
      <c r="AD39" s="300">
        <v>0.94</v>
      </c>
      <c r="AE39" s="300">
        <v>0.98499999999999999</v>
      </c>
      <c r="AF39" s="300">
        <v>0</v>
      </c>
      <c r="AG39" s="301">
        <v>0</v>
      </c>
      <c r="AH39" s="300">
        <v>0.77500000000000002</v>
      </c>
      <c r="AI39" s="300">
        <v>0.8</v>
      </c>
      <c r="AJ39" s="300">
        <v>0.82499999999999996</v>
      </c>
      <c r="AK39" s="300">
        <v>0</v>
      </c>
      <c r="AL39" s="301">
        <v>0</v>
      </c>
      <c r="AM39" s="300">
        <v>0.12</v>
      </c>
      <c r="AN39" s="300">
        <v>0.14000000000000001</v>
      </c>
      <c r="AO39" s="300">
        <v>0.16</v>
      </c>
      <c r="AP39" s="300">
        <v>0</v>
      </c>
      <c r="AQ39" s="301">
        <v>0</v>
      </c>
      <c r="AR39" s="298"/>
      <c r="AS39" s="298"/>
      <c r="AT39" s="298"/>
      <c r="AU39" s="298"/>
      <c r="AV39" s="299"/>
      <c r="AW39" s="298">
        <v>10</v>
      </c>
      <c r="AX39" s="298" t="s">
        <v>469</v>
      </c>
      <c r="AY39" s="298" t="s">
        <v>469</v>
      </c>
      <c r="AZ39" s="298">
        <v>0</v>
      </c>
      <c r="BA39" s="299">
        <v>0</v>
      </c>
      <c r="BB39" s="302">
        <v>12000</v>
      </c>
      <c r="BC39" s="302">
        <v>7000</v>
      </c>
      <c r="BD39" s="302">
        <v>5000</v>
      </c>
      <c r="BE39" s="302">
        <v>0</v>
      </c>
      <c r="BF39" s="303">
        <v>0</v>
      </c>
      <c r="BG39" s="302">
        <v>2500</v>
      </c>
      <c r="BH39" s="302">
        <v>2500</v>
      </c>
      <c r="BI39" s="302">
        <v>2500</v>
      </c>
      <c r="BJ39" s="302">
        <v>0</v>
      </c>
      <c r="BK39" s="303">
        <v>0</v>
      </c>
      <c r="BL39" s="298">
        <v>0</v>
      </c>
      <c r="BM39" s="298">
        <v>0</v>
      </c>
      <c r="BN39" s="298">
        <v>0</v>
      </c>
      <c r="BO39" s="298">
        <v>0</v>
      </c>
      <c r="BP39" s="299">
        <v>0</v>
      </c>
      <c r="BQ39" s="328">
        <v>0.75</v>
      </c>
      <c r="BR39" s="329">
        <v>0.75</v>
      </c>
      <c r="BS39" s="329">
        <v>0.75</v>
      </c>
      <c r="BT39" s="298">
        <v>0</v>
      </c>
      <c r="BU39" s="299">
        <v>0</v>
      </c>
      <c r="BV39" s="305" t="s">
        <v>389</v>
      </c>
      <c r="BW39" s="306">
        <v>1263.1578947368421</v>
      </c>
      <c r="BX39" s="306">
        <v>875</v>
      </c>
      <c r="BY39" s="306">
        <v>909.09090909090912</v>
      </c>
      <c r="BZ39" s="306" t="s">
        <v>450</v>
      </c>
      <c r="CA39" s="307" t="s">
        <v>450</v>
      </c>
      <c r="CB39" s="306">
        <v>263.15789473684208</v>
      </c>
      <c r="CC39" s="306">
        <v>312.5</v>
      </c>
      <c r="CD39" s="306">
        <v>454.54545454545456</v>
      </c>
      <c r="CE39" s="306" t="s">
        <v>450</v>
      </c>
      <c r="CF39" s="307" t="s">
        <v>450</v>
      </c>
      <c r="CG39" s="304">
        <v>0</v>
      </c>
      <c r="CH39" s="302">
        <v>0</v>
      </c>
      <c r="CI39" s="302">
        <v>0</v>
      </c>
      <c r="CJ39" s="302">
        <v>0</v>
      </c>
      <c r="CK39" s="303">
        <v>0</v>
      </c>
    </row>
    <row r="40" spans="1:89" s="293" customFormat="1" x14ac:dyDescent="0.2">
      <c r="A40" s="294" t="s">
        <v>390</v>
      </c>
      <c r="B40" s="295" t="s">
        <v>482</v>
      </c>
      <c r="C40" s="296" t="s">
        <v>391</v>
      </c>
      <c r="D40" s="297">
        <v>15</v>
      </c>
      <c r="E40" s="298">
        <v>14</v>
      </c>
      <c r="F40" s="298">
        <v>13</v>
      </c>
      <c r="G40" s="298">
        <v>0</v>
      </c>
      <c r="H40" s="299">
        <v>0</v>
      </c>
      <c r="I40" s="298">
        <v>7</v>
      </c>
      <c r="J40" s="298">
        <v>7</v>
      </c>
      <c r="K40" s="298">
        <v>7</v>
      </c>
      <c r="L40" s="298">
        <v>0</v>
      </c>
      <c r="M40" s="299">
        <v>0</v>
      </c>
      <c r="N40" s="298" t="s">
        <v>481</v>
      </c>
      <c r="O40" s="298" t="s">
        <v>481</v>
      </c>
      <c r="P40" s="298" t="s">
        <v>481</v>
      </c>
      <c r="Q40" s="298">
        <v>0</v>
      </c>
      <c r="R40" s="299">
        <v>0</v>
      </c>
      <c r="S40" s="298"/>
      <c r="T40" s="298"/>
      <c r="U40" s="298"/>
      <c r="V40" s="298"/>
      <c r="W40" s="299"/>
      <c r="X40" s="298" t="s">
        <v>483</v>
      </c>
      <c r="Y40" s="298" t="s">
        <v>483</v>
      </c>
      <c r="Z40" s="298" t="s">
        <v>483</v>
      </c>
      <c r="AA40" s="298">
        <v>0</v>
      </c>
      <c r="AB40" s="299">
        <v>0</v>
      </c>
      <c r="AC40" s="300">
        <v>0.8</v>
      </c>
      <c r="AD40" s="300">
        <v>0.82</v>
      </c>
      <c r="AE40" s="300">
        <v>0.85</v>
      </c>
      <c r="AF40" s="300">
        <v>0</v>
      </c>
      <c r="AG40" s="301">
        <v>0</v>
      </c>
      <c r="AH40" s="300">
        <v>0.55000000000000004</v>
      </c>
      <c r="AI40" s="300">
        <v>0.55000000000000004</v>
      </c>
      <c r="AJ40" s="300">
        <v>0.55000000000000004</v>
      </c>
      <c r="AK40" s="300">
        <v>0</v>
      </c>
      <c r="AL40" s="301">
        <v>0</v>
      </c>
      <c r="AM40" s="300">
        <v>0.25</v>
      </c>
      <c r="AN40" s="300">
        <v>0.27</v>
      </c>
      <c r="AO40" s="300">
        <v>0.3</v>
      </c>
      <c r="AP40" s="300">
        <v>0</v>
      </c>
      <c r="AQ40" s="301">
        <v>0</v>
      </c>
      <c r="AR40" s="298"/>
      <c r="AS40" s="298"/>
      <c r="AT40" s="298"/>
      <c r="AU40" s="298"/>
      <c r="AV40" s="299"/>
      <c r="AW40" s="298">
        <v>10</v>
      </c>
      <c r="AX40" s="298" t="s">
        <v>469</v>
      </c>
      <c r="AY40" s="298" t="s">
        <v>469</v>
      </c>
      <c r="AZ40" s="298">
        <v>0</v>
      </c>
      <c r="BA40" s="299">
        <v>0</v>
      </c>
      <c r="BB40" s="302">
        <v>20000</v>
      </c>
      <c r="BC40" s="302">
        <v>18000</v>
      </c>
      <c r="BD40" s="302">
        <v>15000</v>
      </c>
      <c r="BE40" s="302">
        <v>0</v>
      </c>
      <c r="BF40" s="303">
        <v>0</v>
      </c>
      <c r="BG40" s="302">
        <v>200</v>
      </c>
      <c r="BH40" s="302">
        <v>200</v>
      </c>
      <c r="BI40" s="302">
        <v>200</v>
      </c>
      <c r="BJ40" s="302">
        <v>0</v>
      </c>
      <c r="BK40" s="303">
        <v>0</v>
      </c>
      <c r="BL40" s="298">
        <v>0</v>
      </c>
      <c r="BM40" s="298">
        <v>0</v>
      </c>
      <c r="BN40" s="298">
        <v>0</v>
      </c>
      <c r="BO40" s="298">
        <v>0</v>
      </c>
      <c r="BP40" s="299">
        <v>0</v>
      </c>
      <c r="BQ40" s="328">
        <v>0.7</v>
      </c>
      <c r="BR40" s="329">
        <v>0.7</v>
      </c>
      <c r="BS40" s="329">
        <v>0.7</v>
      </c>
      <c r="BT40" s="298">
        <v>0</v>
      </c>
      <c r="BU40" s="299">
        <v>0</v>
      </c>
      <c r="BV40" s="305" t="s">
        <v>389</v>
      </c>
      <c r="BW40" s="302">
        <v>1333.3333333333333</v>
      </c>
      <c r="BX40" s="302">
        <v>1200</v>
      </c>
      <c r="BY40" s="302">
        <v>1000</v>
      </c>
      <c r="BZ40" s="302">
        <v>0</v>
      </c>
      <c r="CA40" s="303">
        <v>0</v>
      </c>
      <c r="CB40" s="302">
        <v>13.333333333333334</v>
      </c>
      <c r="CC40" s="302">
        <v>13.333333333333334</v>
      </c>
      <c r="CD40" s="302">
        <v>13.333333333333334</v>
      </c>
      <c r="CE40" s="302">
        <v>0</v>
      </c>
      <c r="CF40" s="303">
        <v>0</v>
      </c>
      <c r="CG40" s="304">
        <v>0</v>
      </c>
      <c r="CH40" s="302">
        <v>0</v>
      </c>
      <c r="CI40" s="302">
        <v>0</v>
      </c>
      <c r="CJ40" s="302">
        <v>0</v>
      </c>
      <c r="CK40" s="303">
        <v>0</v>
      </c>
    </row>
    <row r="41" spans="1:89" s="293" customFormat="1" x14ac:dyDescent="0.2">
      <c r="A41" s="294" t="s">
        <v>392</v>
      </c>
      <c r="B41" s="295" t="s">
        <v>484</v>
      </c>
      <c r="C41" s="296" t="s">
        <v>393</v>
      </c>
      <c r="D41" s="297" t="s">
        <v>485</v>
      </c>
      <c r="E41" s="298" t="s">
        <v>485</v>
      </c>
      <c r="F41" s="298" t="s">
        <v>485</v>
      </c>
      <c r="G41" s="298" t="s">
        <v>450</v>
      </c>
      <c r="H41" s="299" t="s">
        <v>450</v>
      </c>
      <c r="I41" s="298" t="s">
        <v>486</v>
      </c>
      <c r="J41" s="298" t="s">
        <v>486</v>
      </c>
      <c r="K41" s="298" t="s">
        <v>486</v>
      </c>
      <c r="L41" s="298">
        <v>0</v>
      </c>
      <c r="M41" s="299">
        <v>0</v>
      </c>
      <c r="N41" s="298" t="s">
        <v>487</v>
      </c>
      <c r="O41" s="298" t="s">
        <v>487</v>
      </c>
      <c r="P41" s="298" t="s">
        <v>487</v>
      </c>
      <c r="Q41" s="298">
        <v>0</v>
      </c>
      <c r="R41" s="299">
        <v>0</v>
      </c>
      <c r="S41" s="298"/>
      <c r="T41" s="298"/>
      <c r="U41" s="298"/>
      <c r="V41" s="298"/>
      <c r="W41" s="299"/>
      <c r="X41" s="298" t="s">
        <v>488</v>
      </c>
      <c r="Y41" s="298" t="s">
        <v>488</v>
      </c>
      <c r="Z41" s="298" t="s">
        <v>488</v>
      </c>
      <c r="AA41" s="298">
        <v>0</v>
      </c>
      <c r="AB41" s="299">
        <v>0</v>
      </c>
      <c r="AC41" s="300">
        <v>0.875</v>
      </c>
      <c r="AD41" s="300">
        <v>0.47499999999999998</v>
      </c>
      <c r="AE41" s="300">
        <v>0.98499999999999999</v>
      </c>
      <c r="AF41" s="300">
        <v>0</v>
      </c>
      <c r="AG41" s="301">
        <v>0</v>
      </c>
      <c r="AH41" s="300">
        <v>0.55000000000000004</v>
      </c>
      <c r="AI41" s="300">
        <v>0.52500000000000002</v>
      </c>
      <c r="AJ41" s="300">
        <v>0.52500000000000002</v>
      </c>
      <c r="AK41" s="300">
        <v>0</v>
      </c>
      <c r="AL41" s="301">
        <v>0</v>
      </c>
      <c r="AM41" s="300">
        <v>0.375</v>
      </c>
      <c r="AN41" s="300">
        <v>0.45</v>
      </c>
      <c r="AO41" s="300">
        <v>0.47499999999999998</v>
      </c>
      <c r="AP41" s="300">
        <v>0</v>
      </c>
      <c r="AQ41" s="301">
        <v>0</v>
      </c>
      <c r="AR41" s="298"/>
      <c r="AS41" s="298"/>
      <c r="AT41" s="298"/>
      <c r="AU41" s="298"/>
      <c r="AV41" s="299"/>
      <c r="AW41" s="298" t="s">
        <v>489</v>
      </c>
      <c r="AX41" s="298" t="s">
        <v>490</v>
      </c>
      <c r="AY41" s="298" t="s">
        <v>490</v>
      </c>
      <c r="AZ41" s="298">
        <v>0</v>
      </c>
      <c r="BA41" s="299">
        <v>0</v>
      </c>
      <c r="BB41" s="302">
        <v>21000</v>
      </c>
      <c r="BC41" s="306">
        <v>18900</v>
      </c>
      <c r="BD41" s="306">
        <v>15750</v>
      </c>
      <c r="BE41" s="302">
        <v>0</v>
      </c>
      <c r="BF41" s="303">
        <v>0</v>
      </c>
      <c r="BG41" s="302">
        <v>2500</v>
      </c>
      <c r="BH41" s="302">
        <v>2500</v>
      </c>
      <c r="BI41" s="302">
        <v>2500</v>
      </c>
      <c r="BJ41" s="302">
        <v>0</v>
      </c>
      <c r="BK41" s="303">
        <v>0</v>
      </c>
      <c r="BL41" s="313">
        <v>500</v>
      </c>
      <c r="BM41" s="298">
        <v>0</v>
      </c>
      <c r="BN41" s="298">
        <v>0</v>
      </c>
      <c r="BO41" s="298">
        <v>0</v>
      </c>
      <c r="BP41" s="299">
        <v>0</v>
      </c>
      <c r="BQ41" s="297">
        <v>0</v>
      </c>
      <c r="BR41" s="298">
        <v>0</v>
      </c>
      <c r="BS41" s="298">
        <v>0</v>
      </c>
      <c r="BT41" s="298">
        <v>0</v>
      </c>
      <c r="BU41" s="299">
        <v>0</v>
      </c>
      <c r="BV41" s="305" t="s">
        <v>389</v>
      </c>
      <c r="BW41" s="302">
        <v>14000</v>
      </c>
      <c r="BX41" s="302">
        <v>12600</v>
      </c>
      <c r="BY41" s="302">
        <v>10500</v>
      </c>
      <c r="BZ41" s="302">
        <v>0</v>
      </c>
      <c r="CA41" s="303">
        <v>0</v>
      </c>
      <c r="CB41" s="302">
        <v>1666.6666666666667</v>
      </c>
      <c r="CC41" s="302">
        <v>1666.6666666666667</v>
      </c>
      <c r="CD41" s="302">
        <v>1666.6666666666667</v>
      </c>
      <c r="CE41" s="302">
        <v>0</v>
      </c>
      <c r="CF41" s="303">
        <v>0</v>
      </c>
      <c r="CG41" s="304">
        <v>333.33333333333331</v>
      </c>
      <c r="CH41" s="302">
        <v>0</v>
      </c>
      <c r="CI41" s="302">
        <v>0</v>
      </c>
      <c r="CJ41" s="302">
        <v>0</v>
      </c>
      <c r="CK41" s="303">
        <v>0</v>
      </c>
    </row>
    <row r="42" spans="1:89" s="293" customFormat="1" x14ac:dyDescent="0.2">
      <c r="A42" s="294" t="s">
        <v>394</v>
      </c>
      <c r="B42" s="295" t="s">
        <v>491</v>
      </c>
      <c r="C42" s="296" t="s">
        <v>395</v>
      </c>
      <c r="D42" s="297">
        <v>1.6</v>
      </c>
      <c r="E42" s="298">
        <v>1.6</v>
      </c>
      <c r="F42" s="298">
        <v>1.6</v>
      </c>
      <c r="G42" s="298">
        <v>0</v>
      </c>
      <c r="H42" s="299">
        <v>0</v>
      </c>
      <c r="I42" s="298">
        <v>1.4</v>
      </c>
      <c r="J42" s="298">
        <v>1.4</v>
      </c>
      <c r="K42" s="298">
        <v>1.4</v>
      </c>
      <c r="L42" s="298">
        <v>0</v>
      </c>
      <c r="M42" s="299">
        <v>0</v>
      </c>
      <c r="N42" s="298" t="s">
        <v>476</v>
      </c>
      <c r="O42" s="298" t="s">
        <v>476</v>
      </c>
      <c r="P42" s="298" t="s">
        <v>476</v>
      </c>
      <c r="Q42" s="298">
        <v>0</v>
      </c>
      <c r="R42" s="299">
        <v>0</v>
      </c>
      <c r="S42" s="298"/>
      <c r="T42" s="298"/>
      <c r="U42" s="298"/>
      <c r="V42" s="298"/>
      <c r="W42" s="299"/>
      <c r="X42" s="298" t="s">
        <v>476</v>
      </c>
      <c r="Y42" s="298" t="s">
        <v>476</v>
      </c>
      <c r="Z42" s="298" t="s">
        <v>476</v>
      </c>
      <c r="AA42" s="298">
        <v>0</v>
      </c>
      <c r="AB42" s="299">
        <v>0</v>
      </c>
      <c r="AC42" s="300">
        <v>0.875</v>
      </c>
      <c r="AD42" s="300">
        <v>0.94</v>
      </c>
      <c r="AE42" s="300">
        <v>0.98499999999999999</v>
      </c>
      <c r="AF42" s="300">
        <v>0</v>
      </c>
      <c r="AG42" s="301">
        <v>0</v>
      </c>
      <c r="AH42" s="300">
        <v>0.4</v>
      </c>
      <c r="AI42" s="300">
        <v>0.44</v>
      </c>
      <c r="AJ42" s="300">
        <v>0.45</v>
      </c>
      <c r="AK42" s="300">
        <v>0</v>
      </c>
      <c r="AL42" s="301">
        <v>0</v>
      </c>
      <c r="AM42" s="300">
        <v>0.47499999999999998</v>
      </c>
      <c r="AN42" s="300">
        <v>0.505</v>
      </c>
      <c r="AO42" s="300">
        <v>0.54500000000000004</v>
      </c>
      <c r="AP42" s="300">
        <v>0</v>
      </c>
      <c r="AQ42" s="301">
        <v>0</v>
      </c>
      <c r="AR42" s="298"/>
      <c r="AS42" s="298"/>
      <c r="AT42" s="298"/>
      <c r="AU42" s="298"/>
      <c r="AV42" s="299"/>
      <c r="AW42" s="298">
        <v>7</v>
      </c>
      <c r="AX42" s="298" t="s">
        <v>469</v>
      </c>
      <c r="AY42" s="298" t="s">
        <v>469</v>
      </c>
      <c r="AZ42" s="298">
        <v>0</v>
      </c>
      <c r="BA42" s="299">
        <v>0</v>
      </c>
      <c r="BB42" s="302">
        <v>10500</v>
      </c>
      <c r="BC42" s="306">
        <v>9450</v>
      </c>
      <c r="BD42" s="306">
        <v>7875</v>
      </c>
      <c r="BE42" s="302">
        <v>0</v>
      </c>
      <c r="BF42" s="303">
        <v>0</v>
      </c>
      <c r="BG42" s="302">
        <v>2500</v>
      </c>
      <c r="BH42" s="302">
        <v>2500</v>
      </c>
      <c r="BI42" s="302">
        <v>2500</v>
      </c>
      <c r="BJ42" s="302">
        <v>0</v>
      </c>
      <c r="BK42" s="303">
        <v>0</v>
      </c>
      <c r="BL42" s="313">
        <v>500</v>
      </c>
      <c r="BM42" s="298">
        <v>0</v>
      </c>
      <c r="BN42" s="298">
        <v>0</v>
      </c>
      <c r="BO42" s="298">
        <v>0</v>
      </c>
      <c r="BP42" s="299">
        <v>0</v>
      </c>
      <c r="BQ42" s="297">
        <v>0</v>
      </c>
      <c r="BR42" s="298">
        <v>0</v>
      </c>
      <c r="BS42" s="298">
        <v>0</v>
      </c>
      <c r="BT42" s="298">
        <v>0</v>
      </c>
      <c r="BU42" s="299">
        <v>0</v>
      </c>
      <c r="BV42" s="305" t="s">
        <v>389</v>
      </c>
      <c r="BW42" s="302">
        <v>6562.5</v>
      </c>
      <c r="BX42" s="302">
        <v>5906.25</v>
      </c>
      <c r="BY42" s="302">
        <v>4921.875</v>
      </c>
      <c r="BZ42" s="302">
        <v>0</v>
      </c>
      <c r="CA42" s="303">
        <v>0</v>
      </c>
      <c r="CB42" s="302">
        <v>1562.5</v>
      </c>
      <c r="CC42" s="302">
        <v>1562.5</v>
      </c>
      <c r="CD42" s="302">
        <v>1562.5</v>
      </c>
      <c r="CE42" s="302">
        <v>0</v>
      </c>
      <c r="CF42" s="303">
        <v>0</v>
      </c>
      <c r="CG42" s="304">
        <v>312.5</v>
      </c>
      <c r="CH42" s="302">
        <v>0</v>
      </c>
      <c r="CI42" s="302">
        <v>0</v>
      </c>
      <c r="CJ42" s="302">
        <v>0</v>
      </c>
      <c r="CK42" s="303">
        <v>0</v>
      </c>
    </row>
    <row r="43" spans="1:89" s="293" customFormat="1" x14ac:dyDescent="0.2">
      <c r="A43" s="286" t="s">
        <v>396</v>
      </c>
      <c r="B43" s="287"/>
      <c r="C43" s="288"/>
      <c r="D43" s="289"/>
      <c r="E43" s="290"/>
      <c r="F43" s="290"/>
      <c r="G43" s="290"/>
      <c r="H43" s="291"/>
      <c r="I43" s="290"/>
      <c r="J43" s="290"/>
      <c r="K43" s="290"/>
      <c r="L43" s="290"/>
      <c r="M43" s="291"/>
      <c r="N43" s="290"/>
      <c r="O43" s="290"/>
      <c r="P43" s="290"/>
      <c r="Q43" s="290"/>
      <c r="R43" s="291"/>
      <c r="S43" s="290"/>
      <c r="T43" s="290"/>
      <c r="U43" s="290"/>
      <c r="V43" s="290"/>
      <c r="W43" s="291"/>
      <c r="X43" s="290"/>
      <c r="Y43" s="290"/>
      <c r="Z43" s="290"/>
      <c r="AA43" s="290"/>
      <c r="AB43" s="291"/>
      <c r="AC43" s="315">
        <v>0</v>
      </c>
      <c r="AD43" s="315">
        <v>0</v>
      </c>
      <c r="AE43" s="315">
        <v>0</v>
      </c>
      <c r="AF43" s="315">
        <v>0</v>
      </c>
      <c r="AG43" s="316">
        <v>0</v>
      </c>
      <c r="AH43" s="315">
        <v>0</v>
      </c>
      <c r="AI43" s="315">
        <v>0</v>
      </c>
      <c r="AJ43" s="315">
        <v>0</v>
      </c>
      <c r="AK43" s="315">
        <v>0</v>
      </c>
      <c r="AL43" s="316">
        <v>0</v>
      </c>
      <c r="AM43" s="315">
        <v>0</v>
      </c>
      <c r="AN43" s="315">
        <v>0</v>
      </c>
      <c r="AO43" s="315">
        <v>0</v>
      </c>
      <c r="AP43" s="315">
        <v>0</v>
      </c>
      <c r="AQ43" s="316">
        <v>0</v>
      </c>
      <c r="AR43" s="290"/>
      <c r="AS43" s="290"/>
      <c r="AT43" s="290"/>
      <c r="AU43" s="290"/>
      <c r="AV43" s="291"/>
      <c r="AW43" s="290"/>
      <c r="AX43" s="290"/>
      <c r="AY43" s="290"/>
      <c r="AZ43" s="290"/>
      <c r="BA43" s="291"/>
      <c r="BB43" s="290"/>
      <c r="BC43" s="290"/>
      <c r="BD43" s="290"/>
      <c r="BE43" s="290"/>
      <c r="BF43" s="291"/>
      <c r="BG43" s="290"/>
      <c r="BH43" s="290"/>
      <c r="BI43" s="290"/>
      <c r="BJ43" s="290"/>
      <c r="BK43" s="291"/>
      <c r="BL43" s="290"/>
      <c r="BM43" s="290"/>
      <c r="BN43" s="290"/>
      <c r="BO43" s="290"/>
      <c r="BP43" s="291"/>
      <c r="BQ43" s="289"/>
      <c r="BR43" s="290"/>
      <c r="BS43" s="290"/>
      <c r="BT43" s="290"/>
      <c r="BU43" s="291"/>
      <c r="BV43" s="292"/>
      <c r="BW43" s="290"/>
      <c r="BX43" s="290"/>
      <c r="BY43" s="290"/>
      <c r="BZ43" s="290"/>
      <c r="CA43" s="291"/>
      <c r="CB43" s="290"/>
      <c r="CC43" s="290"/>
      <c r="CD43" s="290"/>
      <c r="CE43" s="290"/>
      <c r="CF43" s="291"/>
      <c r="CG43" s="289"/>
      <c r="CH43" s="290"/>
      <c r="CI43" s="290"/>
      <c r="CJ43" s="290"/>
      <c r="CK43" s="291"/>
    </row>
    <row r="44" spans="1:89" s="293" customFormat="1" x14ac:dyDescent="0.2">
      <c r="A44" s="294"/>
      <c r="B44" s="295"/>
      <c r="C44" s="296" t="s">
        <v>397</v>
      </c>
      <c r="D44" s="297"/>
      <c r="E44" s="298"/>
      <c r="F44" s="298"/>
      <c r="G44" s="298"/>
      <c r="H44" s="299"/>
      <c r="I44" s="298"/>
      <c r="J44" s="298"/>
      <c r="K44" s="298"/>
      <c r="L44" s="298"/>
      <c r="M44" s="299"/>
      <c r="N44" s="298"/>
      <c r="O44" s="298"/>
      <c r="P44" s="298"/>
      <c r="Q44" s="298"/>
      <c r="R44" s="299"/>
      <c r="S44" s="298"/>
      <c r="T44" s="298"/>
      <c r="U44" s="298"/>
      <c r="V44" s="298"/>
      <c r="W44" s="299"/>
      <c r="X44" s="298"/>
      <c r="Y44" s="298"/>
      <c r="Z44" s="298"/>
      <c r="AA44" s="298"/>
      <c r="AB44" s="299"/>
      <c r="AC44" s="300">
        <v>0</v>
      </c>
      <c r="AD44" s="300">
        <v>0</v>
      </c>
      <c r="AE44" s="300">
        <v>0</v>
      </c>
      <c r="AF44" s="300">
        <v>0</v>
      </c>
      <c r="AG44" s="301">
        <v>0</v>
      </c>
      <c r="AH44" s="300">
        <v>0</v>
      </c>
      <c r="AI44" s="300">
        <v>0</v>
      </c>
      <c r="AJ44" s="300">
        <v>0</v>
      </c>
      <c r="AK44" s="300">
        <v>0</v>
      </c>
      <c r="AL44" s="301">
        <v>0</v>
      </c>
      <c r="AM44" s="300">
        <v>0</v>
      </c>
      <c r="AN44" s="300">
        <v>0</v>
      </c>
      <c r="AO44" s="300">
        <v>0</v>
      </c>
      <c r="AP44" s="300">
        <v>0</v>
      </c>
      <c r="AQ44" s="301">
        <v>0</v>
      </c>
      <c r="AR44" s="298"/>
      <c r="AS44" s="298"/>
      <c r="AT44" s="298"/>
      <c r="AU44" s="298"/>
      <c r="AV44" s="299"/>
      <c r="AW44" s="298"/>
      <c r="AX44" s="298"/>
      <c r="AY44" s="298"/>
      <c r="AZ44" s="298"/>
      <c r="BA44" s="299"/>
      <c r="BB44" s="302">
        <v>0</v>
      </c>
      <c r="BC44" s="302">
        <v>0</v>
      </c>
      <c r="BD44" s="302">
        <v>0</v>
      </c>
      <c r="BE44" s="302">
        <v>0</v>
      </c>
      <c r="BF44" s="303">
        <v>0</v>
      </c>
      <c r="BG44" s="298"/>
      <c r="BH44" s="298"/>
      <c r="BI44" s="298"/>
      <c r="BJ44" s="298"/>
      <c r="BK44" s="299"/>
      <c r="BL44" s="298"/>
      <c r="BM44" s="298"/>
      <c r="BN44" s="298"/>
      <c r="BO44" s="298"/>
      <c r="BP44" s="299"/>
      <c r="BQ44" s="297"/>
      <c r="BR44" s="298"/>
      <c r="BS44" s="298"/>
      <c r="BT44" s="298"/>
      <c r="BU44" s="299"/>
      <c r="BV44" s="305"/>
      <c r="BW44" s="302"/>
      <c r="BX44" s="302"/>
      <c r="BY44" s="302"/>
      <c r="BZ44" s="302"/>
      <c r="CA44" s="303"/>
      <c r="CB44" s="302"/>
      <c r="CC44" s="302"/>
      <c r="CD44" s="302"/>
      <c r="CE44" s="302"/>
      <c r="CF44" s="303"/>
      <c r="CG44" s="304"/>
      <c r="CH44" s="302"/>
      <c r="CI44" s="302"/>
      <c r="CJ44" s="302"/>
      <c r="CK44" s="303"/>
    </row>
    <row r="45" spans="1:89" s="293" customFormat="1" x14ac:dyDescent="0.2">
      <c r="A45" s="294" t="s">
        <v>398</v>
      </c>
      <c r="B45" s="295" t="s">
        <v>492</v>
      </c>
      <c r="C45" s="296" t="s">
        <v>399</v>
      </c>
      <c r="D45" s="297">
        <v>4.2</v>
      </c>
      <c r="E45" s="298">
        <v>4.2</v>
      </c>
      <c r="F45" s="298">
        <v>4.2</v>
      </c>
      <c r="G45" s="298">
        <v>4.2</v>
      </c>
      <c r="H45" s="299">
        <v>4.2</v>
      </c>
      <c r="I45" s="298"/>
      <c r="J45" s="298"/>
      <c r="K45" s="298"/>
      <c r="L45" s="298"/>
      <c r="M45" s="299"/>
      <c r="N45" s="298">
        <v>10</v>
      </c>
      <c r="O45" s="298">
        <v>10</v>
      </c>
      <c r="P45" s="298">
        <v>12</v>
      </c>
      <c r="Q45" s="298">
        <v>12</v>
      </c>
      <c r="R45" s="299">
        <v>12</v>
      </c>
      <c r="S45" s="298"/>
      <c r="T45" s="298"/>
      <c r="U45" s="298"/>
      <c r="V45" s="298"/>
      <c r="W45" s="299"/>
      <c r="X45" s="298">
        <v>65</v>
      </c>
      <c r="Y45" s="298">
        <v>65</v>
      </c>
      <c r="Z45" s="298">
        <v>70</v>
      </c>
      <c r="AA45" s="298">
        <v>70</v>
      </c>
      <c r="AB45" s="299">
        <v>70</v>
      </c>
      <c r="AC45" s="300">
        <v>0</v>
      </c>
      <c r="AD45" s="300">
        <v>0</v>
      </c>
      <c r="AE45" s="300">
        <v>0</v>
      </c>
      <c r="AF45" s="300">
        <v>0</v>
      </c>
      <c r="AG45" s="301">
        <v>0</v>
      </c>
      <c r="AH45" s="300">
        <v>0</v>
      </c>
      <c r="AI45" s="300">
        <v>0</v>
      </c>
      <c r="AJ45" s="300">
        <v>0</v>
      </c>
      <c r="AK45" s="300">
        <v>0</v>
      </c>
      <c r="AL45" s="301">
        <v>0</v>
      </c>
      <c r="AM45" s="300">
        <v>0</v>
      </c>
      <c r="AN45" s="300">
        <v>0</v>
      </c>
      <c r="AO45" s="300">
        <v>0</v>
      </c>
      <c r="AP45" s="300">
        <v>0</v>
      </c>
      <c r="AQ45" s="301">
        <v>0</v>
      </c>
      <c r="AR45" s="298"/>
      <c r="AS45" s="298"/>
      <c r="AT45" s="298"/>
      <c r="AU45" s="298"/>
      <c r="AV45" s="299"/>
      <c r="AW45" s="298">
        <v>20</v>
      </c>
      <c r="AX45" s="298">
        <v>25</v>
      </c>
      <c r="AY45" s="298">
        <v>30</v>
      </c>
      <c r="AZ45" s="298">
        <v>30</v>
      </c>
      <c r="BA45" s="299">
        <v>30</v>
      </c>
      <c r="BB45" s="302">
        <v>5400</v>
      </c>
      <c r="BC45" s="302">
        <v>5100</v>
      </c>
      <c r="BD45" s="302">
        <v>4600</v>
      </c>
      <c r="BE45" s="302">
        <v>3700</v>
      </c>
      <c r="BF45" s="303">
        <v>3700</v>
      </c>
      <c r="BG45" s="298">
        <v>0</v>
      </c>
      <c r="BH45" s="298">
        <v>0</v>
      </c>
      <c r="BI45" s="298">
        <v>0</v>
      </c>
      <c r="BJ45" s="298">
        <v>0</v>
      </c>
      <c r="BK45" s="299">
        <v>0</v>
      </c>
      <c r="BL45" s="298">
        <v>62</v>
      </c>
      <c r="BM45" s="298">
        <v>62</v>
      </c>
      <c r="BN45" s="298">
        <v>62</v>
      </c>
      <c r="BO45" s="298">
        <v>62</v>
      </c>
      <c r="BP45" s="299">
        <v>62</v>
      </c>
      <c r="BQ45" s="297"/>
      <c r="BR45" s="298"/>
      <c r="BS45" s="298"/>
      <c r="BT45" s="298"/>
      <c r="BU45" s="299"/>
      <c r="BV45" s="305"/>
      <c r="BW45" s="302">
        <v>1285.7142857142856</v>
      </c>
      <c r="BX45" s="302">
        <v>1214.2857142857142</v>
      </c>
      <c r="BY45" s="302">
        <v>1095.2380952380952</v>
      </c>
      <c r="BZ45" s="302">
        <v>880.95238095238096</v>
      </c>
      <c r="CA45" s="303">
        <v>880.95238095238096</v>
      </c>
      <c r="CB45" s="302">
        <v>0</v>
      </c>
      <c r="CC45" s="302">
        <v>0</v>
      </c>
      <c r="CD45" s="302">
        <v>0</v>
      </c>
      <c r="CE45" s="302">
        <v>0</v>
      </c>
      <c r="CF45" s="303">
        <v>0</v>
      </c>
      <c r="CG45" s="304">
        <v>14.761904761904761</v>
      </c>
      <c r="CH45" s="302">
        <v>14.761904761904761</v>
      </c>
      <c r="CI45" s="302">
        <v>14.761904761904761</v>
      </c>
      <c r="CJ45" s="302">
        <v>14.761904761904761</v>
      </c>
      <c r="CK45" s="303">
        <v>14.761904761904761</v>
      </c>
    </row>
    <row r="46" spans="1:89" s="293" customFormat="1" x14ac:dyDescent="0.2">
      <c r="A46" s="294" t="s">
        <v>400</v>
      </c>
      <c r="B46" s="295" t="s">
        <v>493</v>
      </c>
      <c r="C46" s="296" t="s">
        <v>401</v>
      </c>
      <c r="D46" s="297">
        <v>140</v>
      </c>
      <c r="E46" s="298">
        <v>140</v>
      </c>
      <c r="F46" s="298">
        <v>140</v>
      </c>
      <c r="G46" s="298">
        <v>140</v>
      </c>
      <c r="H46" s="299">
        <v>140</v>
      </c>
      <c r="I46" s="298"/>
      <c r="J46" s="298"/>
      <c r="K46" s="298"/>
      <c r="L46" s="298"/>
      <c r="M46" s="299"/>
      <c r="N46" s="298">
        <v>10</v>
      </c>
      <c r="O46" s="298">
        <v>10</v>
      </c>
      <c r="P46" s="298">
        <v>12</v>
      </c>
      <c r="Q46" s="298">
        <v>12</v>
      </c>
      <c r="R46" s="299">
        <v>12</v>
      </c>
      <c r="S46" s="298"/>
      <c r="T46" s="298"/>
      <c r="U46" s="298"/>
      <c r="V46" s="298"/>
      <c r="W46" s="299"/>
      <c r="X46" s="298">
        <v>65</v>
      </c>
      <c r="Y46" s="298">
        <v>65</v>
      </c>
      <c r="Z46" s="298">
        <v>70</v>
      </c>
      <c r="AA46" s="298">
        <v>70</v>
      </c>
      <c r="AB46" s="299">
        <v>70</v>
      </c>
      <c r="AC46" s="300">
        <v>0</v>
      </c>
      <c r="AD46" s="300">
        <v>0</v>
      </c>
      <c r="AE46" s="300">
        <v>0</v>
      </c>
      <c r="AF46" s="300">
        <v>0</v>
      </c>
      <c r="AG46" s="301">
        <v>0</v>
      </c>
      <c r="AH46" s="300">
        <v>0</v>
      </c>
      <c r="AI46" s="300">
        <v>0</v>
      </c>
      <c r="AJ46" s="300">
        <v>0</v>
      </c>
      <c r="AK46" s="300">
        <v>0</v>
      </c>
      <c r="AL46" s="301">
        <v>0</v>
      </c>
      <c r="AM46" s="300">
        <v>0</v>
      </c>
      <c r="AN46" s="300">
        <v>0</v>
      </c>
      <c r="AO46" s="300">
        <v>0</v>
      </c>
      <c r="AP46" s="300">
        <v>0</v>
      </c>
      <c r="AQ46" s="301">
        <v>0</v>
      </c>
      <c r="AR46" s="298"/>
      <c r="AS46" s="298"/>
      <c r="AT46" s="298"/>
      <c r="AU46" s="298"/>
      <c r="AV46" s="299"/>
      <c r="AW46" s="298">
        <v>20</v>
      </c>
      <c r="AX46" s="298">
        <v>25</v>
      </c>
      <c r="AY46" s="298">
        <v>30</v>
      </c>
      <c r="AZ46" s="298">
        <v>30</v>
      </c>
      <c r="BA46" s="299">
        <v>30</v>
      </c>
      <c r="BB46" s="302">
        <v>90000</v>
      </c>
      <c r="BC46" s="302">
        <v>90000</v>
      </c>
      <c r="BD46" s="302">
        <v>90000</v>
      </c>
      <c r="BE46" s="302">
        <v>90000</v>
      </c>
      <c r="BF46" s="303">
        <v>90000</v>
      </c>
      <c r="BG46" s="298">
        <v>0</v>
      </c>
      <c r="BH46" s="298">
        <v>0</v>
      </c>
      <c r="BI46" s="298">
        <v>0</v>
      </c>
      <c r="BJ46" s="298">
        <v>0</v>
      </c>
      <c r="BK46" s="299">
        <v>0</v>
      </c>
      <c r="BL46" s="298">
        <v>600</v>
      </c>
      <c r="BM46" s="298">
        <v>600</v>
      </c>
      <c r="BN46" s="298">
        <v>600</v>
      </c>
      <c r="BO46" s="298">
        <v>600</v>
      </c>
      <c r="BP46" s="299">
        <v>600</v>
      </c>
      <c r="BQ46" s="297"/>
      <c r="BR46" s="298"/>
      <c r="BS46" s="298"/>
      <c r="BT46" s="298"/>
      <c r="BU46" s="299"/>
      <c r="BV46" s="305"/>
      <c r="BW46" s="302">
        <v>642.85714285714289</v>
      </c>
      <c r="BX46" s="302">
        <v>642.85714285714289</v>
      </c>
      <c r="BY46" s="302">
        <v>642.85714285714289</v>
      </c>
      <c r="BZ46" s="302">
        <v>642.85714285714289</v>
      </c>
      <c r="CA46" s="303">
        <v>642.85714285714289</v>
      </c>
      <c r="CB46" s="302">
        <v>0</v>
      </c>
      <c r="CC46" s="302">
        <v>0</v>
      </c>
      <c r="CD46" s="302">
        <v>0</v>
      </c>
      <c r="CE46" s="302">
        <v>0</v>
      </c>
      <c r="CF46" s="303">
        <v>0</v>
      </c>
      <c r="CG46" s="304">
        <v>4.2857142857142856</v>
      </c>
      <c r="CH46" s="302">
        <v>4.2857142857142856</v>
      </c>
      <c r="CI46" s="302">
        <v>4.2857142857142856</v>
      </c>
      <c r="CJ46" s="302">
        <v>4.2857142857142856</v>
      </c>
      <c r="CK46" s="303">
        <v>4.2857142857142856</v>
      </c>
    </row>
    <row r="47" spans="1:89" s="293" customFormat="1" x14ac:dyDescent="0.2">
      <c r="A47" s="294"/>
      <c r="B47" s="295"/>
      <c r="C47" s="296" t="s">
        <v>402</v>
      </c>
      <c r="D47" s="297"/>
      <c r="E47" s="298"/>
      <c r="F47" s="298"/>
      <c r="G47" s="298"/>
      <c r="H47" s="299"/>
      <c r="I47" s="298"/>
      <c r="J47" s="298"/>
      <c r="K47" s="298"/>
      <c r="L47" s="298"/>
      <c r="M47" s="299"/>
      <c r="N47" s="298"/>
      <c r="O47" s="298"/>
      <c r="P47" s="298"/>
      <c r="Q47" s="298"/>
      <c r="R47" s="299"/>
      <c r="S47" s="298"/>
      <c r="T47" s="298"/>
      <c r="U47" s="298"/>
      <c r="V47" s="298"/>
      <c r="W47" s="299"/>
      <c r="X47" s="298"/>
      <c r="Y47" s="298"/>
      <c r="Z47" s="298"/>
      <c r="AA47" s="298"/>
      <c r="AB47" s="299"/>
      <c r="AC47" s="300">
        <v>0</v>
      </c>
      <c r="AD47" s="300">
        <v>0</v>
      </c>
      <c r="AE47" s="300">
        <v>0</v>
      </c>
      <c r="AF47" s="300">
        <v>0</v>
      </c>
      <c r="AG47" s="301">
        <v>0</v>
      </c>
      <c r="AH47" s="300">
        <v>0</v>
      </c>
      <c r="AI47" s="300">
        <v>0</v>
      </c>
      <c r="AJ47" s="300">
        <v>0</v>
      </c>
      <c r="AK47" s="300">
        <v>0</v>
      </c>
      <c r="AL47" s="301">
        <v>0</v>
      </c>
      <c r="AM47" s="300">
        <v>0</v>
      </c>
      <c r="AN47" s="300">
        <v>0</v>
      </c>
      <c r="AO47" s="300">
        <v>0</v>
      </c>
      <c r="AP47" s="300">
        <v>0</v>
      </c>
      <c r="AQ47" s="301">
        <v>0</v>
      </c>
      <c r="AR47" s="298"/>
      <c r="AS47" s="298"/>
      <c r="AT47" s="298"/>
      <c r="AU47" s="298"/>
      <c r="AV47" s="299"/>
      <c r="AW47" s="298"/>
      <c r="AX47" s="298"/>
      <c r="AY47" s="298"/>
      <c r="AZ47" s="298"/>
      <c r="BA47" s="299"/>
      <c r="BB47" s="302">
        <v>0</v>
      </c>
      <c r="BC47" s="302">
        <v>0</v>
      </c>
      <c r="BD47" s="302">
        <v>0</v>
      </c>
      <c r="BE47" s="302">
        <v>0</v>
      </c>
      <c r="BF47" s="303">
        <v>0</v>
      </c>
      <c r="BG47" s="298"/>
      <c r="BH47" s="298"/>
      <c r="BI47" s="298"/>
      <c r="BJ47" s="298"/>
      <c r="BK47" s="299"/>
      <c r="BL47" s="298"/>
      <c r="BM47" s="298"/>
      <c r="BN47" s="298"/>
      <c r="BO47" s="298"/>
      <c r="BP47" s="299"/>
      <c r="BQ47" s="297"/>
      <c r="BR47" s="298"/>
      <c r="BS47" s="298"/>
      <c r="BT47" s="298"/>
      <c r="BU47" s="299"/>
      <c r="BV47" s="305"/>
      <c r="BW47" s="302"/>
      <c r="BX47" s="302"/>
      <c r="BY47" s="302"/>
      <c r="BZ47" s="302"/>
      <c r="CA47" s="303"/>
      <c r="CB47" s="302"/>
      <c r="CC47" s="302"/>
      <c r="CD47" s="302"/>
      <c r="CE47" s="302"/>
      <c r="CF47" s="303"/>
      <c r="CG47" s="304"/>
      <c r="CH47" s="302"/>
      <c r="CI47" s="302"/>
      <c r="CJ47" s="302"/>
      <c r="CK47" s="303"/>
    </row>
    <row r="48" spans="1:89" s="293" customFormat="1" x14ac:dyDescent="0.2">
      <c r="A48" s="294" t="s">
        <v>403</v>
      </c>
      <c r="B48" s="295" t="s">
        <v>494</v>
      </c>
      <c r="C48" s="296" t="s">
        <v>404</v>
      </c>
      <c r="D48" s="297">
        <v>5</v>
      </c>
      <c r="E48" s="298">
        <v>5</v>
      </c>
      <c r="F48" s="298">
        <v>5</v>
      </c>
      <c r="G48" s="298">
        <v>5</v>
      </c>
      <c r="H48" s="299">
        <v>5</v>
      </c>
      <c r="I48" s="298"/>
      <c r="J48" s="298"/>
      <c r="K48" s="298"/>
      <c r="L48" s="298"/>
      <c r="M48" s="299"/>
      <c r="N48" s="298">
        <v>100</v>
      </c>
      <c r="O48" s="298">
        <v>100</v>
      </c>
      <c r="P48" s="298">
        <v>100</v>
      </c>
      <c r="Q48" s="298">
        <v>100</v>
      </c>
      <c r="R48" s="299">
        <v>100</v>
      </c>
      <c r="S48" s="298"/>
      <c r="T48" s="298"/>
      <c r="U48" s="298"/>
      <c r="V48" s="298"/>
      <c r="W48" s="299"/>
      <c r="X48" s="298">
        <v>100</v>
      </c>
      <c r="Y48" s="298">
        <v>100</v>
      </c>
      <c r="Z48" s="298">
        <v>100</v>
      </c>
      <c r="AA48" s="298">
        <v>100</v>
      </c>
      <c r="AB48" s="299">
        <v>100</v>
      </c>
      <c r="AC48" s="300">
        <v>1</v>
      </c>
      <c r="AD48" s="300">
        <v>1</v>
      </c>
      <c r="AE48" s="300">
        <v>1</v>
      </c>
      <c r="AF48" s="300">
        <v>1</v>
      </c>
      <c r="AG48" s="301">
        <v>1</v>
      </c>
      <c r="AH48" s="300">
        <v>0</v>
      </c>
      <c r="AI48" s="300">
        <v>0</v>
      </c>
      <c r="AJ48" s="300">
        <v>0</v>
      </c>
      <c r="AK48" s="300">
        <v>0</v>
      </c>
      <c r="AL48" s="301">
        <v>0</v>
      </c>
      <c r="AM48" s="300">
        <v>0</v>
      </c>
      <c r="AN48" s="300">
        <v>0</v>
      </c>
      <c r="AO48" s="300">
        <v>0</v>
      </c>
      <c r="AP48" s="300">
        <v>0</v>
      </c>
      <c r="AQ48" s="301">
        <v>0</v>
      </c>
      <c r="AR48" s="298"/>
      <c r="AS48" s="298"/>
      <c r="AT48" s="298"/>
      <c r="AU48" s="298"/>
      <c r="AV48" s="299"/>
      <c r="AW48" s="298">
        <v>30</v>
      </c>
      <c r="AX48" s="298">
        <v>30</v>
      </c>
      <c r="AY48" s="298">
        <v>30</v>
      </c>
      <c r="AZ48" s="298">
        <v>30</v>
      </c>
      <c r="BA48" s="299">
        <v>30</v>
      </c>
      <c r="BB48" s="302">
        <v>4000</v>
      </c>
      <c r="BC48" s="302">
        <v>4000</v>
      </c>
      <c r="BD48" s="302">
        <v>4000</v>
      </c>
      <c r="BE48" s="302">
        <v>4000</v>
      </c>
      <c r="BF48" s="303">
        <v>4000</v>
      </c>
      <c r="BG48" s="298">
        <v>0</v>
      </c>
      <c r="BH48" s="298">
        <v>0</v>
      </c>
      <c r="BI48" s="298">
        <v>0</v>
      </c>
      <c r="BJ48" s="298">
        <v>0</v>
      </c>
      <c r="BK48" s="299">
        <v>0</v>
      </c>
      <c r="BL48" s="298">
        <v>50</v>
      </c>
      <c r="BM48" s="298">
        <v>50</v>
      </c>
      <c r="BN48" s="298">
        <v>50</v>
      </c>
      <c r="BO48" s="298">
        <v>50</v>
      </c>
      <c r="BP48" s="299">
        <v>50</v>
      </c>
      <c r="BQ48" s="297">
        <v>0</v>
      </c>
      <c r="BR48" s="298">
        <v>0</v>
      </c>
      <c r="BS48" s="298">
        <v>0</v>
      </c>
      <c r="BT48" s="298">
        <v>0</v>
      </c>
      <c r="BU48" s="299">
        <v>0</v>
      </c>
      <c r="BV48" s="305" t="s">
        <v>405</v>
      </c>
      <c r="BW48" s="302">
        <v>800</v>
      </c>
      <c r="BX48" s="302">
        <v>800</v>
      </c>
      <c r="BY48" s="302">
        <v>800</v>
      </c>
      <c r="BZ48" s="302">
        <v>800</v>
      </c>
      <c r="CA48" s="303">
        <v>800</v>
      </c>
      <c r="CB48" s="302">
        <v>0</v>
      </c>
      <c r="CC48" s="302">
        <v>0</v>
      </c>
      <c r="CD48" s="302">
        <v>0</v>
      </c>
      <c r="CE48" s="302">
        <v>0</v>
      </c>
      <c r="CF48" s="303">
        <v>0</v>
      </c>
      <c r="CG48" s="304">
        <v>10</v>
      </c>
      <c r="CH48" s="302">
        <v>10</v>
      </c>
      <c r="CI48" s="302">
        <v>10</v>
      </c>
      <c r="CJ48" s="302">
        <v>10</v>
      </c>
      <c r="CK48" s="303">
        <v>10</v>
      </c>
    </row>
    <row r="49" spans="1:89" s="293" customFormat="1" x14ac:dyDescent="0.2">
      <c r="A49" s="294" t="s">
        <v>406</v>
      </c>
      <c r="B49" s="295" t="s">
        <v>495</v>
      </c>
      <c r="C49" s="296" t="s">
        <v>407</v>
      </c>
      <c r="D49" s="297">
        <v>400</v>
      </c>
      <c r="E49" s="298">
        <v>400</v>
      </c>
      <c r="F49" s="298">
        <v>400</v>
      </c>
      <c r="G49" s="298">
        <v>400</v>
      </c>
      <c r="H49" s="299">
        <v>400</v>
      </c>
      <c r="I49" s="298"/>
      <c r="J49" s="298"/>
      <c r="K49" s="298"/>
      <c r="L49" s="298"/>
      <c r="M49" s="299"/>
      <c r="N49" s="298">
        <v>100</v>
      </c>
      <c r="O49" s="298">
        <v>100</v>
      </c>
      <c r="P49" s="298">
        <v>100</v>
      </c>
      <c r="Q49" s="298">
        <v>100</v>
      </c>
      <c r="R49" s="299">
        <v>100</v>
      </c>
      <c r="S49" s="298"/>
      <c r="T49" s="298"/>
      <c r="U49" s="298"/>
      <c r="V49" s="298"/>
      <c r="W49" s="299"/>
      <c r="X49" s="298">
        <v>100</v>
      </c>
      <c r="Y49" s="298">
        <v>100</v>
      </c>
      <c r="Z49" s="298">
        <v>100</v>
      </c>
      <c r="AA49" s="298">
        <v>100</v>
      </c>
      <c r="AB49" s="299">
        <v>100</v>
      </c>
      <c r="AC49" s="300">
        <v>0.95</v>
      </c>
      <c r="AD49" s="300">
        <v>0.95</v>
      </c>
      <c r="AE49" s="300">
        <v>0.95</v>
      </c>
      <c r="AF49" s="300">
        <v>0.95</v>
      </c>
      <c r="AG49" s="301">
        <v>0.95</v>
      </c>
      <c r="AH49" s="300">
        <v>0</v>
      </c>
      <c r="AI49" s="300">
        <v>0</v>
      </c>
      <c r="AJ49" s="300">
        <v>0</v>
      </c>
      <c r="AK49" s="300">
        <v>0</v>
      </c>
      <c r="AL49" s="301">
        <v>0</v>
      </c>
      <c r="AM49" s="300">
        <v>0</v>
      </c>
      <c r="AN49" s="300">
        <v>0</v>
      </c>
      <c r="AO49" s="300">
        <v>0</v>
      </c>
      <c r="AP49" s="300">
        <v>0</v>
      </c>
      <c r="AQ49" s="301">
        <v>0</v>
      </c>
      <c r="AR49" s="298"/>
      <c r="AS49" s="298"/>
      <c r="AT49" s="298"/>
      <c r="AU49" s="298"/>
      <c r="AV49" s="299"/>
      <c r="AW49" s="298">
        <v>30</v>
      </c>
      <c r="AX49" s="298">
        <v>30</v>
      </c>
      <c r="AY49" s="298">
        <v>30</v>
      </c>
      <c r="AZ49" s="298">
        <v>30</v>
      </c>
      <c r="BA49" s="299">
        <v>30</v>
      </c>
      <c r="BB49" s="302">
        <v>266000</v>
      </c>
      <c r="BC49" s="302">
        <v>266000</v>
      </c>
      <c r="BD49" s="302">
        <v>266000</v>
      </c>
      <c r="BE49" s="302">
        <v>266000</v>
      </c>
      <c r="BF49" s="303">
        <v>266000</v>
      </c>
      <c r="BG49" s="298">
        <v>0</v>
      </c>
      <c r="BH49" s="298">
        <v>0</v>
      </c>
      <c r="BI49" s="298">
        <v>0</v>
      </c>
      <c r="BJ49" s="298">
        <v>0</v>
      </c>
      <c r="BK49" s="299">
        <v>0</v>
      </c>
      <c r="BL49" s="298">
        <v>4000</v>
      </c>
      <c r="BM49" s="298">
        <v>4000</v>
      </c>
      <c r="BN49" s="298">
        <v>4000</v>
      </c>
      <c r="BO49" s="298">
        <v>4000</v>
      </c>
      <c r="BP49" s="299">
        <v>4000</v>
      </c>
      <c r="BQ49" s="297">
        <v>0</v>
      </c>
      <c r="BR49" s="298">
        <v>0</v>
      </c>
      <c r="BS49" s="298">
        <v>0</v>
      </c>
      <c r="BT49" s="298">
        <v>0</v>
      </c>
      <c r="BU49" s="299">
        <v>0</v>
      </c>
      <c r="BV49" s="305" t="s">
        <v>405</v>
      </c>
      <c r="BW49" s="302">
        <v>665</v>
      </c>
      <c r="BX49" s="302">
        <v>665</v>
      </c>
      <c r="BY49" s="302">
        <v>665</v>
      </c>
      <c r="BZ49" s="302">
        <v>665</v>
      </c>
      <c r="CA49" s="303">
        <v>665</v>
      </c>
      <c r="CB49" s="302">
        <v>0</v>
      </c>
      <c r="CC49" s="302">
        <v>0</v>
      </c>
      <c r="CD49" s="302">
        <v>0</v>
      </c>
      <c r="CE49" s="302">
        <v>0</v>
      </c>
      <c r="CF49" s="303">
        <v>0</v>
      </c>
      <c r="CG49" s="304">
        <v>10</v>
      </c>
      <c r="CH49" s="302">
        <v>10</v>
      </c>
      <c r="CI49" s="302">
        <v>10</v>
      </c>
      <c r="CJ49" s="302">
        <v>10</v>
      </c>
      <c r="CK49" s="303">
        <v>10</v>
      </c>
    </row>
    <row r="50" spans="1:89" s="293" customFormat="1" x14ac:dyDescent="0.2">
      <c r="A50" s="294" t="s">
        <v>408</v>
      </c>
      <c r="B50" s="295" t="s">
        <v>453</v>
      </c>
      <c r="C50" s="296" t="s">
        <v>408</v>
      </c>
      <c r="D50" s="297">
        <v>0</v>
      </c>
      <c r="E50" s="298">
        <v>0</v>
      </c>
      <c r="F50" s="298">
        <v>0</v>
      </c>
      <c r="G50" s="298">
        <v>0</v>
      </c>
      <c r="H50" s="299">
        <v>0</v>
      </c>
      <c r="I50" s="298"/>
      <c r="J50" s="298"/>
      <c r="K50" s="298"/>
      <c r="L50" s="298"/>
      <c r="M50" s="299"/>
      <c r="N50" s="298">
        <v>0</v>
      </c>
      <c r="O50" s="298">
        <v>0</v>
      </c>
      <c r="P50" s="298">
        <v>0</v>
      </c>
      <c r="Q50" s="298">
        <v>0</v>
      </c>
      <c r="R50" s="299">
        <v>0</v>
      </c>
      <c r="S50" s="298"/>
      <c r="T50" s="298"/>
      <c r="U50" s="298"/>
      <c r="V50" s="298"/>
      <c r="W50" s="299"/>
      <c r="X50" s="298">
        <v>0</v>
      </c>
      <c r="Y50" s="298">
        <v>0</v>
      </c>
      <c r="Z50" s="298">
        <v>0</v>
      </c>
      <c r="AA50" s="298">
        <v>0</v>
      </c>
      <c r="AB50" s="299">
        <v>0</v>
      </c>
      <c r="AC50" s="300">
        <v>0</v>
      </c>
      <c r="AD50" s="300">
        <v>0</v>
      </c>
      <c r="AE50" s="300">
        <v>0</v>
      </c>
      <c r="AF50" s="300">
        <v>0</v>
      </c>
      <c r="AG50" s="301">
        <v>0</v>
      </c>
      <c r="AH50" s="300">
        <v>0</v>
      </c>
      <c r="AI50" s="300">
        <v>0</v>
      </c>
      <c r="AJ50" s="300">
        <v>0</v>
      </c>
      <c r="AK50" s="300">
        <v>0</v>
      </c>
      <c r="AL50" s="301">
        <v>0</v>
      </c>
      <c r="AM50" s="300">
        <v>0</v>
      </c>
      <c r="AN50" s="300">
        <v>0</v>
      </c>
      <c r="AO50" s="300">
        <v>0</v>
      </c>
      <c r="AP50" s="300">
        <v>0</v>
      </c>
      <c r="AQ50" s="301">
        <v>0</v>
      </c>
      <c r="AR50" s="298"/>
      <c r="AS50" s="298"/>
      <c r="AT50" s="298"/>
      <c r="AU50" s="298"/>
      <c r="AV50" s="299"/>
      <c r="AW50" s="298">
        <v>0</v>
      </c>
      <c r="AX50" s="298">
        <v>0</v>
      </c>
      <c r="AY50" s="298">
        <v>0</v>
      </c>
      <c r="AZ50" s="298">
        <v>0</v>
      </c>
      <c r="BA50" s="299">
        <v>0</v>
      </c>
      <c r="BB50" s="302">
        <v>0</v>
      </c>
      <c r="BC50" s="302">
        <v>0</v>
      </c>
      <c r="BD50" s="302">
        <v>0</v>
      </c>
      <c r="BE50" s="302">
        <v>0</v>
      </c>
      <c r="BF50" s="303">
        <v>0</v>
      </c>
      <c r="BG50" s="302">
        <v>0</v>
      </c>
      <c r="BH50" s="302">
        <v>0</v>
      </c>
      <c r="BI50" s="302">
        <v>0</v>
      </c>
      <c r="BJ50" s="302">
        <v>0</v>
      </c>
      <c r="BK50" s="303">
        <v>0</v>
      </c>
      <c r="BL50" s="302">
        <v>0</v>
      </c>
      <c r="BM50" s="302">
        <v>0</v>
      </c>
      <c r="BN50" s="302">
        <v>0</v>
      </c>
      <c r="BO50" s="302">
        <v>0</v>
      </c>
      <c r="BP50" s="303">
        <v>0</v>
      </c>
      <c r="BQ50" s="304">
        <v>0</v>
      </c>
      <c r="BR50" s="302">
        <v>0</v>
      </c>
      <c r="BS50" s="302">
        <v>0</v>
      </c>
      <c r="BT50" s="302">
        <v>0</v>
      </c>
      <c r="BU50" s="303">
        <v>0</v>
      </c>
      <c r="BV50" s="305" t="s">
        <v>355</v>
      </c>
      <c r="BW50" s="302" t="s">
        <v>450</v>
      </c>
      <c r="BX50" s="302" t="s">
        <v>450</v>
      </c>
      <c r="BY50" s="302" t="s">
        <v>450</v>
      </c>
      <c r="BZ50" s="302" t="s">
        <v>450</v>
      </c>
      <c r="CA50" s="303" t="s">
        <v>450</v>
      </c>
      <c r="CB50" s="302" t="s">
        <v>450</v>
      </c>
      <c r="CC50" s="302" t="s">
        <v>450</v>
      </c>
      <c r="CD50" s="302" t="s">
        <v>450</v>
      </c>
      <c r="CE50" s="302" t="s">
        <v>450</v>
      </c>
      <c r="CF50" s="303" t="s">
        <v>450</v>
      </c>
      <c r="CG50" s="304" t="s">
        <v>450</v>
      </c>
      <c r="CH50" s="302" t="s">
        <v>450</v>
      </c>
      <c r="CI50" s="302" t="s">
        <v>450</v>
      </c>
      <c r="CJ50" s="302" t="s">
        <v>450</v>
      </c>
      <c r="CK50" s="303" t="s">
        <v>450</v>
      </c>
    </row>
    <row r="51" spans="1:89" s="293" customFormat="1" x14ac:dyDescent="0.2">
      <c r="A51" s="294"/>
      <c r="B51" s="295"/>
      <c r="C51" s="296" t="s">
        <v>409</v>
      </c>
      <c r="D51" s="297"/>
      <c r="E51" s="298"/>
      <c r="F51" s="298"/>
      <c r="G51" s="298"/>
      <c r="H51" s="299"/>
      <c r="I51" s="298"/>
      <c r="J51" s="298"/>
      <c r="K51" s="298"/>
      <c r="L51" s="298"/>
      <c r="M51" s="299"/>
      <c r="N51" s="298"/>
      <c r="O51" s="298"/>
      <c r="P51" s="298"/>
      <c r="Q51" s="298"/>
      <c r="R51" s="299"/>
      <c r="S51" s="298"/>
      <c r="T51" s="298"/>
      <c r="U51" s="298"/>
      <c r="V51" s="298"/>
      <c r="W51" s="299"/>
      <c r="X51" s="298"/>
      <c r="Y51" s="298"/>
      <c r="Z51" s="298"/>
      <c r="AA51" s="298"/>
      <c r="AB51" s="299"/>
      <c r="AC51" s="300">
        <v>0</v>
      </c>
      <c r="AD51" s="300">
        <v>0</v>
      </c>
      <c r="AE51" s="300">
        <v>0</v>
      </c>
      <c r="AF51" s="300">
        <v>0</v>
      </c>
      <c r="AG51" s="301">
        <v>0</v>
      </c>
      <c r="AH51" s="300">
        <v>0</v>
      </c>
      <c r="AI51" s="300">
        <v>0</v>
      </c>
      <c r="AJ51" s="300">
        <v>0</v>
      </c>
      <c r="AK51" s="300">
        <v>0</v>
      </c>
      <c r="AL51" s="301">
        <v>0</v>
      </c>
      <c r="AM51" s="300">
        <v>0</v>
      </c>
      <c r="AN51" s="300">
        <v>0</v>
      </c>
      <c r="AO51" s="300">
        <v>0</v>
      </c>
      <c r="AP51" s="300">
        <v>0</v>
      </c>
      <c r="AQ51" s="301">
        <v>0</v>
      </c>
      <c r="AR51" s="298"/>
      <c r="AS51" s="298"/>
      <c r="AT51" s="298"/>
      <c r="AU51" s="298"/>
      <c r="AV51" s="299"/>
      <c r="AW51" s="298"/>
      <c r="AX51" s="298"/>
      <c r="AY51" s="298"/>
      <c r="AZ51" s="298"/>
      <c r="BA51" s="299"/>
      <c r="BB51" s="302">
        <v>0</v>
      </c>
      <c r="BC51" s="302">
        <v>0</v>
      </c>
      <c r="BD51" s="302">
        <v>0</v>
      </c>
      <c r="BE51" s="302">
        <v>0</v>
      </c>
      <c r="BF51" s="303">
        <v>0</v>
      </c>
      <c r="BG51" s="302"/>
      <c r="BH51" s="302"/>
      <c r="BI51" s="302"/>
      <c r="BJ51" s="302"/>
      <c r="BK51" s="303"/>
      <c r="BL51" s="302"/>
      <c r="BM51" s="302"/>
      <c r="BN51" s="302"/>
      <c r="BO51" s="302"/>
      <c r="BP51" s="303"/>
      <c r="BQ51" s="304"/>
      <c r="BR51" s="302"/>
      <c r="BS51" s="302"/>
      <c r="BT51" s="302"/>
      <c r="BU51" s="303"/>
      <c r="BV51" s="305"/>
      <c r="BW51" s="302"/>
      <c r="BX51" s="302"/>
      <c r="BY51" s="302"/>
      <c r="BZ51" s="302"/>
      <c r="CA51" s="303"/>
      <c r="CB51" s="302"/>
      <c r="CC51" s="302"/>
      <c r="CD51" s="302"/>
      <c r="CE51" s="302"/>
      <c r="CF51" s="303"/>
      <c r="CG51" s="304"/>
      <c r="CH51" s="302"/>
      <c r="CI51" s="302"/>
      <c r="CJ51" s="302"/>
      <c r="CK51" s="303"/>
    </row>
    <row r="52" spans="1:89" s="293" customFormat="1" x14ac:dyDescent="0.2">
      <c r="A52" s="336" t="s">
        <v>410</v>
      </c>
      <c r="B52" s="337" t="s">
        <v>453</v>
      </c>
      <c r="C52" s="338"/>
      <c r="D52" s="339">
        <v>0</v>
      </c>
      <c r="E52" s="340">
        <v>0</v>
      </c>
      <c r="F52" s="340">
        <v>0</v>
      </c>
      <c r="G52" s="340">
        <v>0</v>
      </c>
      <c r="H52" s="341">
        <v>0</v>
      </c>
      <c r="I52" s="340"/>
      <c r="J52" s="340"/>
      <c r="K52" s="340"/>
      <c r="L52" s="340"/>
      <c r="M52" s="341"/>
      <c r="N52" s="340">
        <v>0</v>
      </c>
      <c r="O52" s="340">
        <v>0</v>
      </c>
      <c r="P52" s="340">
        <v>0</v>
      </c>
      <c r="Q52" s="340">
        <v>0</v>
      </c>
      <c r="R52" s="341">
        <v>0</v>
      </c>
      <c r="S52" s="340"/>
      <c r="T52" s="340"/>
      <c r="U52" s="340"/>
      <c r="V52" s="340"/>
      <c r="W52" s="341"/>
      <c r="X52" s="340">
        <v>0</v>
      </c>
      <c r="Y52" s="340">
        <v>0</v>
      </c>
      <c r="Z52" s="340">
        <v>0</v>
      </c>
      <c r="AA52" s="340">
        <v>0</v>
      </c>
      <c r="AB52" s="341">
        <v>0</v>
      </c>
      <c r="AC52" s="342">
        <v>0</v>
      </c>
      <c r="AD52" s="342">
        <v>0</v>
      </c>
      <c r="AE52" s="342">
        <v>0</v>
      </c>
      <c r="AF52" s="342">
        <v>0</v>
      </c>
      <c r="AG52" s="343">
        <v>0</v>
      </c>
      <c r="AH52" s="342">
        <v>0</v>
      </c>
      <c r="AI52" s="342">
        <v>0</v>
      </c>
      <c r="AJ52" s="342">
        <v>0</v>
      </c>
      <c r="AK52" s="342">
        <v>0</v>
      </c>
      <c r="AL52" s="343">
        <v>0</v>
      </c>
      <c r="AM52" s="342">
        <v>0</v>
      </c>
      <c r="AN52" s="342">
        <v>0</v>
      </c>
      <c r="AO52" s="342">
        <v>0</v>
      </c>
      <c r="AP52" s="342">
        <v>0</v>
      </c>
      <c r="AQ52" s="343">
        <v>0</v>
      </c>
      <c r="AR52" s="340"/>
      <c r="AS52" s="340"/>
      <c r="AT52" s="340"/>
      <c r="AU52" s="340"/>
      <c r="AV52" s="341"/>
      <c r="AW52" s="340">
        <v>0</v>
      </c>
      <c r="AX52" s="340">
        <v>0</v>
      </c>
      <c r="AY52" s="340">
        <v>0</v>
      </c>
      <c r="AZ52" s="340">
        <v>0</v>
      </c>
      <c r="BA52" s="341">
        <v>0</v>
      </c>
      <c r="BB52" s="344">
        <v>0</v>
      </c>
      <c r="BC52" s="345">
        <v>0</v>
      </c>
      <c r="BD52" s="345">
        <v>0</v>
      </c>
      <c r="BE52" s="345">
        <v>0</v>
      </c>
      <c r="BF52" s="346">
        <v>0</v>
      </c>
      <c r="BG52" s="345">
        <v>0</v>
      </c>
      <c r="BH52" s="345">
        <v>0</v>
      </c>
      <c r="BI52" s="345">
        <v>0</v>
      </c>
      <c r="BJ52" s="345">
        <v>0</v>
      </c>
      <c r="BK52" s="346">
        <v>0</v>
      </c>
      <c r="BL52" s="345">
        <v>0</v>
      </c>
      <c r="BM52" s="345">
        <v>0</v>
      </c>
      <c r="BN52" s="345">
        <v>0</v>
      </c>
      <c r="BO52" s="345">
        <v>0</v>
      </c>
      <c r="BP52" s="346">
        <v>0</v>
      </c>
      <c r="BQ52" s="344">
        <v>0</v>
      </c>
      <c r="BR52" s="345">
        <v>0</v>
      </c>
      <c r="BS52" s="345">
        <v>0</v>
      </c>
      <c r="BT52" s="345">
        <v>0</v>
      </c>
      <c r="BU52" s="346">
        <v>0</v>
      </c>
      <c r="BV52" s="347" t="s">
        <v>355</v>
      </c>
      <c r="BW52" s="345" t="s">
        <v>450</v>
      </c>
      <c r="BX52" s="345" t="s">
        <v>450</v>
      </c>
      <c r="BY52" s="345" t="s">
        <v>450</v>
      </c>
      <c r="BZ52" s="345" t="s">
        <v>450</v>
      </c>
      <c r="CA52" s="346" t="s">
        <v>450</v>
      </c>
      <c r="CB52" s="345" t="s">
        <v>450</v>
      </c>
      <c r="CC52" s="345" t="s">
        <v>450</v>
      </c>
      <c r="CD52" s="345" t="s">
        <v>450</v>
      </c>
      <c r="CE52" s="345" t="s">
        <v>450</v>
      </c>
      <c r="CF52" s="346" t="s">
        <v>450</v>
      </c>
      <c r="CG52" s="345" t="s">
        <v>450</v>
      </c>
      <c r="CH52" s="345" t="s">
        <v>450</v>
      </c>
      <c r="CI52" s="345" t="s">
        <v>450</v>
      </c>
      <c r="CJ52" s="345" t="s">
        <v>450</v>
      </c>
      <c r="CK52" s="346" t="s">
        <v>450</v>
      </c>
    </row>
    <row r="53" spans="1:89" s="293" customFormat="1" x14ac:dyDescent="0.2">
      <c r="A53" s="336" t="s">
        <v>411</v>
      </c>
      <c r="B53" s="337" t="s">
        <v>453</v>
      </c>
      <c r="C53" s="338"/>
      <c r="D53" s="339">
        <v>0</v>
      </c>
      <c r="E53" s="340">
        <v>0</v>
      </c>
      <c r="F53" s="340">
        <v>0</v>
      </c>
      <c r="G53" s="340">
        <v>0</v>
      </c>
      <c r="H53" s="341">
        <v>0</v>
      </c>
      <c r="I53" s="340"/>
      <c r="J53" s="340"/>
      <c r="K53" s="340"/>
      <c r="L53" s="340"/>
      <c r="M53" s="341"/>
      <c r="N53" s="340">
        <v>0</v>
      </c>
      <c r="O53" s="340">
        <v>0</v>
      </c>
      <c r="P53" s="340">
        <v>0</v>
      </c>
      <c r="Q53" s="340">
        <v>0</v>
      </c>
      <c r="R53" s="341">
        <v>0</v>
      </c>
      <c r="S53" s="340"/>
      <c r="T53" s="340"/>
      <c r="U53" s="340"/>
      <c r="V53" s="340"/>
      <c r="W53" s="341"/>
      <c r="X53" s="340">
        <v>0</v>
      </c>
      <c r="Y53" s="340">
        <v>0</v>
      </c>
      <c r="Z53" s="340">
        <v>0</v>
      </c>
      <c r="AA53" s="340">
        <v>0</v>
      </c>
      <c r="AB53" s="341">
        <v>0</v>
      </c>
      <c r="AC53" s="342">
        <v>0</v>
      </c>
      <c r="AD53" s="342">
        <v>0</v>
      </c>
      <c r="AE53" s="342">
        <v>0</v>
      </c>
      <c r="AF53" s="342">
        <v>0</v>
      </c>
      <c r="AG53" s="343">
        <v>0</v>
      </c>
      <c r="AH53" s="342">
        <v>0</v>
      </c>
      <c r="AI53" s="342">
        <v>0</v>
      </c>
      <c r="AJ53" s="342">
        <v>0</v>
      </c>
      <c r="AK53" s="342">
        <v>0</v>
      </c>
      <c r="AL53" s="343">
        <v>0</v>
      </c>
      <c r="AM53" s="342">
        <v>0</v>
      </c>
      <c r="AN53" s="342">
        <v>0</v>
      </c>
      <c r="AO53" s="342">
        <v>0</v>
      </c>
      <c r="AP53" s="342">
        <v>0</v>
      </c>
      <c r="AQ53" s="343">
        <v>0</v>
      </c>
      <c r="AR53" s="340"/>
      <c r="AS53" s="340"/>
      <c r="AT53" s="340"/>
      <c r="AU53" s="340"/>
      <c r="AV53" s="341"/>
      <c r="AW53" s="340">
        <v>0</v>
      </c>
      <c r="AX53" s="340">
        <v>0</v>
      </c>
      <c r="AY53" s="340">
        <v>0</v>
      </c>
      <c r="AZ53" s="340">
        <v>0</v>
      </c>
      <c r="BA53" s="341">
        <v>0</v>
      </c>
      <c r="BB53" s="344">
        <v>0</v>
      </c>
      <c r="BC53" s="345">
        <v>0</v>
      </c>
      <c r="BD53" s="345">
        <v>0</v>
      </c>
      <c r="BE53" s="345">
        <v>0</v>
      </c>
      <c r="BF53" s="346">
        <v>0</v>
      </c>
      <c r="BG53" s="345">
        <v>0</v>
      </c>
      <c r="BH53" s="345">
        <v>0</v>
      </c>
      <c r="BI53" s="345">
        <v>0</v>
      </c>
      <c r="BJ53" s="345">
        <v>0</v>
      </c>
      <c r="BK53" s="346">
        <v>0</v>
      </c>
      <c r="BL53" s="345">
        <v>0</v>
      </c>
      <c r="BM53" s="345">
        <v>0</v>
      </c>
      <c r="BN53" s="345">
        <v>0</v>
      </c>
      <c r="BO53" s="345">
        <v>0</v>
      </c>
      <c r="BP53" s="346">
        <v>0</v>
      </c>
      <c r="BQ53" s="344">
        <v>0</v>
      </c>
      <c r="BR53" s="345">
        <v>0</v>
      </c>
      <c r="BS53" s="345">
        <v>0</v>
      </c>
      <c r="BT53" s="345">
        <v>0</v>
      </c>
      <c r="BU53" s="346">
        <v>0</v>
      </c>
      <c r="BV53" s="347" t="s">
        <v>355</v>
      </c>
      <c r="BW53" s="345" t="s">
        <v>450</v>
      </c>
      <c r="BX53" s="345" t="s">
        <v>450</v>
      </c>
      <c r="BY53" s="345" t="s">
        <v>450</v>
      </c>
      <c r="BZ53" s="345" t="s">
        <v>450</v>
      </c>
      <c r="CA53" s="346" t="s">
        <v>450</v>
      </c>
      <c r="CB53" s="345" t="s">
        <v>450</v>
      </c>
      <c r="CC53" s="345" t="s">
        <v>450</v>
      </c>
      <c r="CD53" s="345" t="s">
        <v>450</v>
      </c>
      <c r="CE53" s="345" t="s">
        <v>450</v>
      </c>
      <c r="CF53" s="346" t="s">
        <v>450</v>
      </c>
      <c r="CG53" s="345" t="s">
        <v>450</v>
      </c>
      <c r="CH53" s="345" t="s">
        <v>450</v>
      </c>
      <c r="CI53" s="345" t="s">
        <v>450</v>
      </c>
      <c r="CJ53" s="345" t="s">
        <v>450</v>
      </c>
      <c r="CK53" s="346" t="s">
        <v>450</v>
      </c>
    </row>
    <row r="54" spans="1:89" s="293" customFormat="1" x14ac:dyDescent="0.2">
      <c r="A54" s="336" t="s">
        <v>412</v>
      </c>
      <c r="B54" s="337" t="s">
        <v>453</v>
      </c>
      <c r="C54" s="338"/>
      <c r="D54" s="339">
        <v>0</v>
      </c>
      <c r="E54" s="340">
        <v>0</v>
      </c>
      <c r="F54" s="340">
        <v>0</v>
      </c>
      <c r="G54" s="340">
        <v>0</v>
      </c>
      <c r="H54" s="341">
        <v>0</v>
      </c>
      <c r="I54" s="340"/>
      <c r="J54" s="340"/>
      <c r="K54" s="340"/>
      <c r="L54" s="340"/>
      <c r="M54" s="341"/>
      <c r="N54" s="340">
        <v>0</v>
      </c>
      <c r="O54" s="340">
        <v>0</v>
      </c>
      <c r="P54" s="340">
        <v>0</v>
      </c>
      <c r="Q54" s="340">
        <v>0</v>
      </c>
      <c r="R54" s="341">
        <v>0</v>
      </c>
      <c r="S54" s="340"/>
      <c r="T54" s="340"/>
      <c r="U54" s="340"/>
      <c r="V54" s="340"/>
      <c r="W54" s="341"/>
      <c r="X54" s="340">
        <v>0</v>
      </c>
      <c r="Y54" s="340">
        <v>0</v>
      </c>
      <c r="Z54" s="340">
        <v>0</v>
      </c>
      <c r="AA54" s="340">
        <v>0</v>
      </c>
      <c r="AB54" s="341">
        <v>0</v>
      </c>
      <c r="AC54" s="342">
        <v>0</v>
      </c>
      <c r="AD54" s="342">
        <v>0</v>
      </c>
      <c r="AE54" s="342">
        <v>0</v>
      </c>
      <c r="AF54" s="342">
        <v>0</v>
      </c>
      <c r="AG54" s="343">
        <v>0</v>
      </c>
      <c r="AH54" s="342">
        <v>0</v>
      </c>
      <c r="AI54" s="342">
        <v>0</v>
      </c>
      <c r="AJ54" s="342">
        <v>0</v>
      </c>
      <c r="AK54" s="342">
        <v>0</v>
      </c>
      <c r="AL54" s="343">
        <v>0</v>
      </c>
      <c r="AM54" s="342">
        <v>0</v>
      </c>
      <c r="AN54" s="342">
        <v>0</v>
      </c>
      <c r="AO54" s="342">
        <v>0</v>
      </c>
      <c r="AP54" s="342">
        <v>0</v>
      </c>
      <c r="AQ54" s="343">
        <v>0</v>
      </c>
      <c r="AR54" s="340"/>
      <c r="AS54" s="340"/>
      <c r="AT54" s="340"/>
      <c r="AU54" s="340"/>
      <c r="AV54" s="341"/>
      <c r="AW54" s="340">
        <v>0</v>
      </c>
      <c r="AX54" s="340">
        <v>0</v>
      </c>
      <c r="AY54" s="340">
        <v>0</v>
      </c>
      <c r="AZ54" s="340">
        <v>0</v>
      </c>
      <c r="BA54" s="341">
        <v>0</v>
      </c>
      <c r="BB54" s="344">
        <v>0</v>
      </c>
      <c r="BC54" s="345">
        <v>0</v>
      </c>
      <c r="BD54" s="345">
        <v>0</v>
      </c>
      <c r="BE54" s="345">
        <v>0</v>
      </c>
      <c r="BF54" s="346">
        <v>0</v>
      </c>
      <c r="BG54" s="345">
        <v>0</v>
      </c>
      <c r="BH54" s="345">
        <v>0</v>
      </c>
      <c r="BI54" s="345">
        <v>0</v>
      </c>
      <c r="BJ54" s="345">
        <v>0</v>
      </c>
      <c r="BK54" s="346">
        <v>0</v>
      </c>
      <c r="BL54" s="345">
        <v>0</v>
      </c>
      <c r="BM54" s="345">
        <v>0</v>
      </c>
      <c r="BN54" s="345">
        <v>0</v>
      </c>
      <c r="BO54" s="345">
        <v>0</v>
      </c>
      <c r="BP54" s="346">
        <v>0</v>
      </c>
      <c r="BQ54" s="344">
        <v>0</v>
      </c>
      <c r="BR54" s="345">
        <v>0</v>
      </c>
      <c r="BS54" s="345">
        <v>0</v>
      </c>
      <c r="BT54" s="345">
        <v>0</v>
      </c>
      <c r="BU54" s="346">
        <v>0</v>
      </c>
      <c r="BV54" s="347" t="s">
        <v>355</v>
      </c>
      <c r="BW54" s="345" t="s">
        <v>450</v>
      </c>
      <c r="BX54" s="345" t="s">
        <v>450</v>
      </c>
      <c r="BY54" s="345" t="s">
        <v>450</v>
      </c>
      <c r="BZ54" s="345" t="s">
        <v>450</v>
      </c>
      <c r="CA54" s="346" t="s">
        <v>450</v>
      </c>
      <c r="CB54" s="345" t="s">
        <v>450</v>
      </c>
      <c r="CC54" s="345" t="s">
        <v>450</v>
      </c>
      <c r="CD54" s="345" t="s">
        <v>450</v>
      </c>
      <c r="CE54" s="345" t="s">
        <v>450</v>
      </c>
      <c r="CF54" s="346" t="s">
        <v>450</v>
      </c>
      <c r="CG54" s="345" t="s">
        <v>450</v>
      </c>
      <c r="CH54" s="345" t="s">
        <v>450</v>
      </c>
      <c r="CI54" s="345" t="s">
        <v>450</v>
      </c>
      <c r="CJ54" s="345" t="s">
        <v>450</v>
      </c>
      <c r="CK54" s="346" t="s">
        <v>450</v>
      </c>
    </row>
    <row r="55" spans="1:89" s="293" customFormat="1" x14ac:dyDescent="0.2">
      <c r="A55" s="336" t="s">
        <v>413</v>
      </c>
      <c r="B55" s="337" t="s">
        <v>453</v>
      </c>
      <c r="C55" s="338"/>
      <c r="D55" s="339">
        <v>0</v>
      </c>
      <c r="E55" s="340">
        <v>0</v>
      </c>
      <c r="F55" s="340">
        <v>0</v>
      </c>
      <c r="G55" s="340">
        <v>0</v>
      </c>
      <c r="H55" s="341">
        <v>0</v>
      </c>
      <c r="I55" s="340"/>
      <c r="J55" s="340"/>
      <c r="K55" s="340"/>
      <c r="L55" s="340"/>
      <c r="M55" s="341"/>
      <c r="N55" s="340">
        <v>0</v>
      </c>
      <c r="O55" s="340">
        <v>0</v>
      </c>
      <c r="P55" s="340">
        <v>0</v>
      </c>
      <c r="Q55" s="340">
        <v>0</v>
      </c>
      <c r="R55" s="341">
        <v>0</v>
      </c>
      <c r="S55" s="340"/>
      <c r="T55" s="340"/>
      <c r="U55" s="340"/>
      <c r="V55" s="340"/>
      <c r="W55" s="341"/>
      <c r="X55" s="340">
        <v>0</v>
      </c>
      <c r="Y55" s="340">
        <v>0</v>
      </c>
      <c r="Z55" s="340">
        <v>0</v>
      </c>
      <c r="AA55" s="340">
        <v>0</v>
      </c>
      <c r="AB55" s="341">
        <v>0</v>
      </c>
      <c r="AC55" s="342">
        <v>0</v>
      </c>
      <c r="AD55" s="342">
        <v>0</v>
      </c>
      <c r="AE55" s="342">
        <v>0</v>
      </c>
      <c r="AF55" s="342">
        <v>0</v>
      </c>
      <c r="AG55" s="343">
        <v>0</v>
      </c>
      <c r="AH55" s="342">
        <v>0</v>
      </c>
      <c r="AI55" s="342">
        <v>0</v>
      </c>
      <c r="AJ55" s="342">
        <v>0</v>
      </c>
      <c r="AK55" s="342">
        <v>0</v>
      </c>
      <c r="AL55" s="343">
        <v>0</v>
      </c>
      <c r="AM55" s="342">
        <v>0</v>
      </c>
      <c r="AN55" s="342">
        <v>0</v>
      </c>
      <c r="AO55" s="342">
        <v>0</v>
      </c>
      <c r="AP55" s="342">
        <v>0</v>
      </c>
      <c r="AQ55" s="343">
        <v>0</v>
      </c>
      <c r="AR55" s="340"/>
      <c r="AS55" s="340"/>
      <c r="AT55" s="340"/>
      <c r="AU55" s="340"/>
      <c r="AV55" s="341"/>
      <c r="AW55" s="340">
        <v>0</v>
      </c>
      <c r="AX55" s="340">
        <v>0</v>
      </c>
      <c r="AY55" s="340">
        <v>0</v>
      </c>
      <c r="AZ55" s="340">
        <v>0</v>
      </c>
      <c r="BA55" s="341">
        <v>0</v>
      </c>
      <c r="BB55" s="344">
        <v>0</v>
      </c>
      <c r="BC55" s="345">
        <v>0</v>
      </c>
      <c r="BD55" s="345">
        <v>0</v>
      </c>
      <c r="BE55" s="345">
        <v>0</v>
      </c>
      <c r="BF55" s="346">
        <v>0</v>
      </c>
      <c r="BG55" s="345">
        <v>0</v>
      </c>
      <c r="BH55" s="345">
        <v>0</v>
      </c>
      <c r="BI55" s="345">
        <v>0</v>
      </c>
      <c r="BJ55" s="345">
        <v>0</v>
      </c>
      <c r="BK55" s="346">
        <v>0</v>
      </c>
      <c r="BL55" s="345">
        <v>0</v>
      </c>
      <c r="BM55" s="345">
        <v>0</v>
      </c>
      <c r="BN55" s="345">
        <v>0</v>
      </c>
      <c r="BO55" s="345">
        <v>0</v>
      </c>
      <c r="BP55" s="346">
        <v>0</v>
      </c>
      <c r="BQ55" s="344">
        <v>0</v>
      </c>
      <c r="BR55" s="345">
        <v>0</v>
      </c>
      <c r="BS55" s="345">
        <v>0</v>
      </c>
      <c r="BT55" s="345">
        <v>0</v>
      </c>
      <c r="BU55" s="346">
        <v>0</v>
      </c>
      <c r="BV55" s="347" t="s">
        <v>355</v>
      </c>
      <c r="BW55" s="345" t="s">
        <v>450</v>
      </c>
      <c r="BX55" s="345" t="s">
        <v>450</v>
      </c>
      <c r="BY55" s="345" t="s">
        <v>450</v>
      </c>
      <c r="BZ55" s="345" t="s">
        <v>450</v>
      </c>
      <c r="CA55" s="346" t="s">
        <v>450</v>
      </c>
      <c r="CB55" s="345" t="s">
        <v>450</v>
      </c>
      <c r="CC55" s="345" t="s">
        <v>450</v>
      </c>
      <c r="CD55" s="345" t="s">
        <v>450</v>
      </c>
      <c r="CE55" s="345" t="s">
        <v>450</v>
      </c>
      <c r="CF55" s="346" t="s">
        <v>450</v>
      </c>
      <c r="CG55" s="345" t="s">
        <v>450</v>
      </c>
      <c r="CH55" s="345" t="s">
        <v>450</v>
      </c>
      <c r="CI55" s="345" t="s">
        <v>450</v>
      </c>
      <c r="CJ55" s="345" t="s">
        <v>450</v>
      </c>
      <c r="CK55" s="346" t="s">
        <v>450</v>
      </c>
    </row>
    <row r="56" spans="1:89" s="293" customFormat="1" x14ac:dyDescent="0.2">
      <c r="A56" s="336" t="s">
        <v>414</v>
      </c>
      <c r="B56" s="337" t="s">
        <v>453</v>
      </c>
      <c r="C56" s="338"/>
      <c r="D56" s="339">
        <v>0</v>
      </c>
      <c r="E56" s="340">
        <v>0</v>
      </c>
      <c r="F56" s="340">
        <v>0</v>
      </c>
      <c r="G56" s="340">
        <v>0</v>
      </c>
      <c r="H56" s="341">
        <v>0</v>
      </c>
      <c r="I56" s="340"/>
      <c r="J56" s="340"/>
      <c r="K56" s="340"/>
      <c r="L56" s="340"/>
      <c r="M56" s="341"/>
      <c r="N56" s="340">
        <v>0</v>
      </c>
      <c r="O56" s="340">
        <v>0</v>
      </c>
      <c r="P56" s="340">
        <v>0</v>
      </c>
      <c r="Q56" s="340">
        <v>0</v>
      </c>
      <c r="R56" s="341">
        <v>0</v>
      </c>
      <c r="S56" s="340"/>
      <c r="T56" s="340"/>
      <c r="U56" s="340"/>
      <c r="V56" s="340"/>
      <c r="W56" s="341"/>
      <c r="X56" s="340">
        <v>0</v>
      </c>
      <c r="Y56" s="340">
        <v>0</v>
      </c>
      <c r="Z56" s="340">
        <v>0</v>
      </c>
      <c r="AA56" s="340">
        <v>0</v>
      </c>
      <c r="AB56" s="341">
        <v>0</v>
      </c>
      <c r="AC56" s="342">
        <v>0</v>
      </c>
      <c r="AD56" s="342">
        <v>0</v>
      </c>
      <c r="AE56" s="342">
        <v>0</v>
      </c>
      <c r="AF56" s="342">
        <v>0</v>
      </c>
      <c r="AG56" s="343">
        <v>0</v>
      </c>
      <c r="AH56" s="342">
        <v>0</v>
      </c>
      <c r="AI56" s="342">
        <v>0</v>
      </c>
      <c r="AJ56" s="342">
        <v>0</v>
      </c>
      <c r="AK56" s="342">
        <v>0</v>
      </c>
      <c r="AL56" s="343">
        <v>0</v>
      </c>
      <c r="AM56" s="342">
        <v>0</v>
      </c>
      <c r="AN56" s="342">
        <v>0</v>
      </c>
      <c r="AO56" s="342">
        <v>0</v>
      </c>
      <c r="AP56" s="342">
        <v>0</v>
      </c>
      <c r="AQ56" s="343">
        <v>0</v>
      </c>
      <c r="AR56" s="340"/>
      <c r="AS56" s="340"/>
      <c r="AT56" s="340"/>
      <c r="AU56" s="340"/>
      <c r="AV56" s="341"/>
      <c r="AW56" s="340">
        <v>0</v>
      </c>
      <c r="AX56" s="340">
        <v>0</v>
      </c>
      <c r="AY56" s="340">
        <v>0</v>
      </c>
      <c r="AZ56" s="340">
        <v>0</v>
      </c>
      <c r="BA56" s="341">
        <v>0</v>
      </c>
      <c r="BB56" s="344">
        <v>0</v>
      </c>
      <c r="BC56" s="345">
        <v>0</v>
      </c>
      <c r="BD56" s="345">
        <v>0</v>
      </c>
      <c r="BE56" s="345">
        <v>0</v>
      </c>
      <c r="BF56" s="346">
        <v>0</v>
      </c>
      <c r="BG56" s="345">
        <v>0</v>
      </c>
      <c r="BH56" s="345">
        <v>0</v>
      </c>
      <c r="BI56" s="345">
        <v>0</v>
      </c>
      <c r="BJ56" s="345">
        <v>0</v>
      </c>
      <c r="BK56" s="346">
        <v>0</v>
      </c>
      <c r="BL56" s="345">
        <v>0</v>
      </c>
      <c r="BM56" s="345">
        <v>0</v>
      </c>
      <c r="BN56" s="345">
        <v>0</v>
      </c>
      <c r="BO56" s="345">
        <v>0</v>
      </c>
      <c r="BP56" s="346">
        <v>0</v>
      </c>
      <c r="BQ56" s="344">
        <v>0</v>
      </c>
      <c r="BR56" s="345">
        <v>0</v>
      </c>
      <c r="BS56" s="345">
        <v>0</v>
      </c>
      <c r="BT56" s="345">
        <v>0</v>
      </c>
      <c r="BU56" s="346">
        <v>0</v>
      </c>
      <c r="BV56" s="347" t="s">
        <v>355</v>
      </c>
      <c r="BW56" s="345" t="s">
        <v>450</v>
      </c>
      <c r="BX56" s="345" t="s">
        <v>450</v>
      </c>
      <c r="BY56" s="345" t="s">
        <v>450</v>
      </c>
      <c r="BZ56" s="345" t="s">
        <v>450</v>
      </c>
      <c r="CA56" s="346" t="s">
        <v>450</v>
      </c>
      <c r="CB56" s="345" t="s">
        <v>450</v>
      </c>
      <c r="CC56" s="345" t="s">
        <v>450</v>
      </c>
      <c r="CD56" s="345" t="s">
        <v>450</v>
      </c>
      <c r="CE56" s="345" t="s">
        <v>450</v>
      </c>
      <c r="CF56" s="346" t="s">
        <v>450</v>
      </c>
      <c r="CG56" s="345" t="s">
        <v>450</v>
      </c>
      <c r="CH56" s="345" t="s">
        <v>450</v>
      </c>
      <c r="CI56" s="345" t="s">
        <v>450</v>
      </c>
      <c r="CJ56" s="345" t="s">
        <v>450</v>
      </c>
      <c r="CK56" s="346" t="s">
        <v>450</v>
      </c>
    </row>
    <row r="57" spans="1:89" s="293" customFormat="1" x14ac:dyDescent="0.2">
      <c r="A57" s="336" t="s">
        <v>415</v>
      </c>
      <c r="B57" s="337" t="s">
        <v>453</v>
      </c>
      <c r="C57" s="338"/>
      <c r="D57" s="339">
        <v>0</v>
      </c>
      <c r="E57" s="340">
        <v>0</v>
      </c>
      <c r="F57" s="340">
        <v>0</v>
      </c>
      <c r="G57" s="340">
        <v>0</v>
      </c>
      <c r="H57" s="341">
        <v>0</v>
      </c>
      <c r="I57" s="340"/>
      <c r="J57" s="340"/>
      <c r="K57" s="340"/>
      <c r="L57" s="340"/>
      <c r="M57" s="341"/>
      <c r="N57" s="340">
        <v>0</v>
      </c>
      <c r="O57" s="340">
        <v>0</v>
      </c>
      <c r="P57" s="340">
        <v>0</v>
      </c>
      <c r="Q57" s="340">
        <v>0</v>
      </c>
      <c r="R57" s="341">
        <v>0</v>
      </c>
      <c r="S57" s="340"/>
      <c r="T57" s="340"/>
      <c r="U57" s="340"/>
      <c r="V57" s="340"/>
      <c r="W57" s="341"/>
      <c r="X57" s="340">
        <v>0</v>
      </c>
      <c r="Y57" s="340">
        <v>0</v>
      </c>
      <c r="Z57" s="340">
        <v>0</v>
      </c>
      <c r="AA57" s="340">
        <v>0</v>
      </c>
      <c r="AB57" s="341">
        <v>0</v>
      </c>
      <c r="AC57" s="342">
        <v>0</v>
      </c>
      <c r="AD57" s="342">
        <v>0</v>
      </c>
      <c r="AE57" s="342">
        <v>0</v>
      </c>
      <c r="AF57" s="342">
        <v>0</v>
      </c>
      <c r="AG57" s="343">
        <v>0</v>
      </c>
      <c r="AH57" s="342">
        <v>0</v>
      </c>
      <c r="AI57" s="342">
        <v>0</v>
      </c>
      <c r="AJ57" s="342">
        <v>0</v>
      </c>
      <c r="AK57" s="342">
        <v>0</v>
      </c>
      <c r="AL57" s="343">
        <v>0</v>
      </c>
      <c r="AM57" s="342">
        <v>0</v>
      </c>
      <c r="AN57" s="342">
        <v>0</v>
      </c>
      <c r="AO57" s="342">
        <v>0</v>
      </c>
      <c r="AP57" s="342">
        <v>0</v>
      </c>
      <c r="AQ57" s="343">
        <v>0</v>
      </c>
      <c r="AR57" s="340"/>
      <c r="AS57" s="340"/>
      <c r="AT57" s="340"/>
      <c r="AU57" s="340"/>
      <c r="AV57" s="341"/>
      <c r="AW57" s="340">
        <v>0</v>
      </c>
      <c r="AX57" s="340">
        <v>0</v>
      </c>
      <c r="AY57" s="340">
        <v>0</v>
      </c>
      <c r="AZ57" s="340">
        <v>0</v>
      </c>
      <c r="BA57" s="341">
        <v>0</v>
      </c>
      <c r="BB57" s="344">
        <v>0</v>
      </c>
      <c r="BC57" s="345">
        <v>0</v>
      </c>
      <c r="BD57" s="345">
        <v>0</v>
      </c>
      <c r="BE57" s="345">
        <v>0</v>
      </c>
      <c r="BF57" s="346">
        <v>0</v>
      </c>
      <c r="BG57" s="345">
        <v>0</v>
      </c>
      <c r="BH57" s="345">
        <v>0</v>
      </c>
      <c r="BI57" s="345">
        <v>0</v>
      </c>
      <c r="BJ57" s="345">
        <v>0</v>
      </c>
      <c r="BK57" s="346">
        <v>0</v>
      </c>
      <c r="BL57" s="345">
        <v>0</v>
      </c>
      <c r="BM57" s="345">
        <v>0</v>
      </c>
      <c r="BN57" s="345">
        <v>0</v>
      </c>
      <c r="BO57" s="345">
        <v>0</v>
      </c>
      <c r="BP57" s="346">
        <v>0</v>
      </c>
      <c r="BQ57" s="344">
        <v>0</v>
      </c>
      <c r="BR57" s="345">
        <v>0</v>
      </c>
      <c r="BS57" s="345">
        <v>0</v>
      </c>
      <c r="BT57" s="345">
        <v>0</v>
      </c>
      <c r="BU57" s="346">
        <v>0</v>
      </c>
      <c r="BV57" s="347" t="s">
        <v>355</v>
      </c>
      <c r="BW57" s="345" t="s">
        <v>450</v>
      </c>
      <c r="BX57" s="345" t="s">
        <v>450</v>
      </c>
      <c r="BY57" s="345" t="s">
        <v>450</v>
      </c>
      <c r="BZ57" s="345" t="s">
        <v>450</v>
      </c>
      <c r="CA57" s="346" t="s">
        <v>450</v>
      </c>
      <c r="CB57" s="345" t="s">
        <v>450</v>
      </c>
      <c r="CC57" s="345" t="s">
        <v>450</v>
      </c>
      <c r="CD57" s="345" t="s">
        <v>450</v>
      </c>
      <c r="CE57" s="345" t="s">
        <v>450</v>
      </c>
      <c r="CF57" s="346" t="s">
        <v>450</v>
      </c>
      <c r="CG57" s="345" t="s">
        <v>450</v>
      </c>
      <c r="CH57" s="345" t="s">
        <v>450</v>
      </c>
      <c r="CI57" s="345" t="s">
        <v>450</v>
      </c>
      <c r="CJ57" s="345" t="s">
        <v>450</v>
      </c>
      <c r="CK57" s="346" t="s">
        <v>450</v>
      </c>
    </row>
    <row r="58" spans="1:89" s="293" customFormat="1" x14ac:dyDescent="0.2">
      <c r="A58" s="336" t="s">
        <v>416</v>
      </c>
      <c r="B58" s="337" t="s">
        <v>453</v>
      </c>
      <c r="C58" s="338"/>
      <c r="D58" s="339">
        <v>0</v>
      </c>
      <c r="E58" s="340">
        <v>0</v>
      </c>
      <c r="F58" s="340">
        <v>0</v>
      </c>
      <c r="G58" s="340">
        <v>0</v>
      </c>
      <c r="H58" s="341">
        <v>0</v>
      </c>
      <c r="I58" s="340"/>
      <c r="J58" s="340"/>
      <c r="K58" s="340"/>
      <c r="L58" s="340"/>
      <c r="M58" s="341"/>
      <c r="N58" s="340">
        <v>0</v>
      </c>
      <c r="O58" s="340">
        <v>0</v>
      </c>
      <c r="P58" s="340">
        <v>0</v>
      </c>
      <c r="Q58" s="340">
        <v>0</v>
      </c>
      <c r="R58" s="341">
        <v>0</v>
      </c>
      <c r="S58" s="340"/>
      <c r="T58" s="340"/>
      <c r="U58" s="340"/>
      <c r="V58" s="340"/>
      <c r="W58" s="341"/>
      <c r="X58" s="340">
        <v>0</v>
      </c>
      <c r="Y58" s="340">
        <v>0</v>
      </c>
      <c r="Z58" s="340">
        <v>0</v>
      </c>
      <c r="AA58" s="340">
        <v>0</v>
      </c>
      <c r="AB58" s="341">
        <v>0</v>
      </c>
      <c r="AC58" s="342">
        <v>0</v>
      </c>
      <c r="AD58" s="342">
        <v>0</v>
      </c>
      <c r="AE58" s="342">
        <v>0</v>
      </c>
      <c r="AF58" s="342">
        <v>0</v>
      </c>
      <c r="AG58" s="343">
        <v>0</v>
      </c>
      <c r="AH58" s="342">
        <v>0</v>
      </c>
      <c r="AI58" s="342">
        <v>0</v>
      </c>
      <c r="AJ58" s="342">
        <v>0</v>
      </c>
      <c r="AK58" s="342">
        <v>0</v>
      </c>
      <c r="AL58" s="343">
        <v>0</v>
      </c>
      <c r="AM58" s="342">
        <v>0</v>
      </c>
      <c r="AN58" s="342">
        <v>0</v>
      </c>
      <c r="AO58" s="342">
        <v>0</v>
      </c>
      <c r="AP58" s="342">
        <v>0</v>
      </c>
      <c r="AQ58" s="343">
        <v>0</v>
      </c>
      <c r="AR58" s="340"/>
      <c r="AS58" s="340"/>
      <c r="AT58" s="340"/>
      <c r="AU58" s="340"/>
      <c r="AV58" s="341"/>
      <c r="AW58" s="340">
        <v>0</v>
      </c>
      <c r="AX58" s="340">
        <v>0</v>
      </c>
      <c r="AY58" s="340">
        <v>0</v>
      </c>
      <c r="AZ58" s="340">
        <v>0</v>
      </c>
      <c r="BA58" s="341">
        <v>0</v>
      </c>
      <c r="BB58" s="344">
        <v>0</v>
      </c>
      <c r="BC58" s="345">
        <v>0</v>
      </c>
      <c r="BD58" s="345">
        <v>0</v>
      </c>
      <c r="BE58" s="345">
        <v>0</v>
      </c>
      <c r="BF58" s="346">
        <v>0</v>
      </c>
      <c r="BG58" s="345">
        <v>0</v>
      </c>
      <c r="BH58" s="345">
        <v>0</v>
      </c>
      <c r="BI58" s="345">
        <v>0</v>
      </c>
      <c r="BJ58" s="345">
        <v>0</v>
      </c>
      <c r="BK58" s="346">
        <v>0</v>
      </c>
      <c r="BL58" s="345">
        <v>0</v>
      </c>
      <c r="BM58" s="345">
        <v>0</v>
      </c>
      <c r="BN58" s="345">
        <v>0</v>
      </c>
      <c r="BO58" s="345">
        <v>0</v>
      </c>
      <c r="BP58" s="346">
        <v>0</v>
      </c>
      <c r="BQ58" s="344">
        <v>0</v>
      </c>
      <c r="BR58" s="345">
        <v>0</v>
      </c>
      <c r="BS58" s="345">
        <v>0</v>
      </c>
      <c r="BT58" s="345">
        <v>0</v>
      </c>
      <c r="BU58" s="346">
        <v>0</v>
      </c>
      <c r="BV58" s="347" t="s">
        <v>355</v>
      </c>
      <c r="BW58" s="345" t="s">
        <v>450</v>
      </c>
      <c r="BX58" s="345" t="s">
        <v>450</v>
      </c>
      <c r="BY58" s="345" t="s">
        <v>450</v>
      </c>
      <c r="BZ58" s="345" t="s">
        <v>450</v>
      </c>
      <c r="CA58" s="346" t="s">
        <v>450</v>
      </c>
      <c r="CB58" s="345" t="s">
        <v>450</v>
      </c>
      <c r="CC58" s="345" t="s">
        <v>450</v>
      </c>
      <c r="CD58" s="345" t="s">
        <v>450</v>
      </c>
      <c r="CE58" s="345" t="s">
        <v>450</v>
      </c>
      <c r="CF58" s="346" t="s">
        <v>450</v>
      </c>
      <c r="CG58" s="345" t="s">
        <v>450</v>
      </c>
      <c r="CH58" s="345" t="s">
        <v>450</v>
      </c>
      <c r="CI58" s="345" t="s">
        <v>450</v>
      </c>
      <c r="CJ58" s="345" t="s">
        <v>450</v>
      </c>
      <c r="CK58" s="346" t="s">
        <v>450</v>
      </c>
    </row>
    <row r="59" spans="1:89" s="293" customFormat="1" x14ac:dyDescent="0.2">
      <c r="A59" s="336" t="s">
        <v>417</v>
      </c>
      <c r="B59" s="337" t="s">
        <v>453</v>
      </c>
      <c r="C59" s="338"/>
      <c r="D59" s="339">
        <v>0</v>
      </c>
      <c r="E59" s="340">
        <v>0</v>
      </c>
      <c r="F59" s="340">
        <v>0</v>
      </c>
      <c r="G59" s="340">
        <v>0</v>
      </c>
      <c r="H59" s="341">
        <v>0</v>
      </c>
      <c r="I59" s="340"/>
      <c r="J59" s="340"/>
      <c r="K59" s="340"/>
      <c r="L59" s="340"/>
      <c r="M59" s="341"/>
      <c r="N59" s="340">
        <v>0</v>
      </c>
      <c r="O59" s="340">
        <v>0</v>
      </c>
      <c r="P59" s="340">
        <v>0</v>
      </c>
      <c r="Q59" s="340">
        <v>0</v>
      </c>
      <c r="R59" s="341">
        <v>0</v>
      </c>
      <c r="S59" s="340"/>
      <c r="T59" s="340"/>
      <c r="U59" s="340"/>
      <c r="V59" s="340"/>
      <c r="W59" s="341"/>
      <c r="X59" s="340">
        <v>0</v>
      </c>
      <c r="Y59" s="340">
        <v>0</v>
      </c>
      <c r="Z59" s="340">
        <v>0</v>
      </c>
      <c r="AA59" s="340">
        <v>0</v>
      </c>
      <c r="AB59" s="341">
        <v>0</v>
      </c>
      <c r="AC59" s="342">
        <v>0</v>
      </c>
      <c r="AD59" s="342">
        <v>0</v>
      </c>
      <c r="AE59" s="342">
        <v>0</v>
      </c>
      <c r="AF59" s="342">
        <v>0</v>
      </c>
      <c r="AG59" s="343">
        <v>0</v>
      </c>
      <c r="AH59" s="342">
        <v>0</v>
      </c>
      <c r="AI59" s="342">
        <v>0</v>
      </c>
      <c r="AJ59" s="342">
        <v>0</v>
      </c>
      <c r="AK59" s="342">
        <v>0</v>
      </c>
      <c r="AL59" s="343">
        <v>0</v>
      </c>
      <c r="AM59" s="342">
        <v>0</v>
      </c>
      <c r="AN59" s="342">
        <v>0</v>
      </c>
      <c r="AO59" s="342">
        <v>0</v>
      </c>
      <c r="AP59" s="342">
        <v>0</v>
      </c>
      <c r="AQ59" s="343">
        <v>0</v>
      </c>
      <c r="AR59" s="340"/>
      <c r="AS59" s="340"/>
      <c r="AT59" s="340"/>
      <c r="AU59" s="340"/>
      <c r="AV59" s="341"/>
      <c r="AW59" s="340">
        <v>0</v>
      </c>
      <c r="AX59" s="340">
        <v>0</v>
      </c>
      <c r="AY59" s="340">
        <v>0</v>
      </c>
      <c r="AZ59" s="340">
        <v>0</v>
      </c>
      <c r="BA59" s="341">
        <v>0</v>
      </c>
      <c r="BB59" s="344">
        <v>0</v>
      </c>
      <c r="BC59" s="345">
        <v>0</v>
      </c>
      <c r="BD59" s="345">
        <v>0</v>
      </c>
      <c r="BE59" s="345">
        <v>0</v>
      </c>
      <c r="BF59" s="346">
        <v>0</v>
      </c>
      <c r="BG59" s="345">
        <v>0</v>
      </c>
      <c r="BH59" s="345">
        <v>0</v>
      </c>
      <c r="BI59" s="345">
        <v>0</v>
      </c>
      <c r="BJ59" s="345">
        <v>0</v>
      </c>
      <c r="BK59" s="346">
        <v>0</v>
      </c>
      <c r="BL59" s="345">
        <v>0</v>
      </c>
      <c r="BM59" s="345">
        <v>0</v>
      </c>
      <c r="BN59" s="345">
        <v>0</v>
      </c>
      <c r="BO59" s="345">
        <v>0</v>
      </c>
      <c r="BP59" s="346">
        <v>0</v>
      </c>
      <c r="BQ59" s="344">
        <v>0</v>
      </c>
      <c r="BR59" s="345">
        <v>0</v>
      </c>
      <c r="BS59" s="345">
        <v>0</v>
      </c>
      <c r="BT59" s="345">
        <v>0</v>
      </c>
      <c r="BU59" s="346">
        <v>0</v>
      </c>
      <c r="BV59" s="347" t="s">
        <v>355</v>
      </c>
      <c r="BW59" s="345" t="s">
        <v>450</v>
      </c>
      <c r="BX59" s="345" t="s">
        <v>450</v>
      </c>
      <c r="BY59" s="345" t="s">
        <v>450</v>
      </c>
      <c r="BZ59" s="345" t="s">
        <v>450</v>
      </c>
      <c r="CA59" s="346" t="s">
        <v>450</v>
      </c>
      <c r="CB59" s="345" t="s">
        <v>450</v>
      </c>
      <c r="CC59" s="345" t="s">
        <v>450</v>
      </c>
      <c r="CD59" s="345" t="s">
        <v>450</v>
      </c>
      <c r="CE59" s="345" t="s">
        <v>450</v>
      </c>
      <c r="CF59" s="346" t="s">
        <v>450</v>
      </c>
      <c r="CG59" s="345" t="s">
        <v>450</v>
      </c>
      <c r="CH59" s="345" t="s">
        <v>450</v>
      </c>
      <c r="CI59" s="345" t="s">
        <v>450</v>
      </c>
      <c r="CJ59" s="345" t="s">
        <v>450</v>
      </c>
      <c r="CK59" s="346" t="s">
        <v>450</v>
      </c>
    </row>
    <row r="60" spans="1:89" s="293" customFormat="1" x14ac:dyDescent="0.2">
      <c r="A60" s="336" t="s">
        <v>418</v>
      </c>
      <c r="B60" s="337" t="s">
        <v>496</v>
      </c>
      <c r="C60" s="338"/>
      <c r="D60" s="339"/>
      <c r="E60" s="340"/>
      <c r="F60" s="340"/>
      <c r="G60" s="340"/>
      <c r="H60" s="341"/>
      <c r="I60" s="340"/>
      <c r="J60" s="340"/>
      <c r="K60" s="340"/>
      <c r="L60" s="340"/>
      <c r="M60" s="341"/>
      <c r="N60" s="340"/>
      <c r="O60" s="340"/>
      <c r="P60" s="340"/>
      <c r="Q60" s="340"/>
      <c r="R60" s="341"/>
      <c r="S60" s="340"/>
      <c r="T60" s="340"/>
      <c r="U60" s="340"/>
      <c r="V60" s="340"/>
      <c r="W60" s="341"/>
      <c r="X60" s="340"/>
      <c r="Y60" s="340"/>
      <c r="Z60" s="340"/>
      <c r="AA60" s="340"/>
      <c r="AB60" s="341"/>
      <c r="AC60" s="342">
        <v>0.85</v>
      </c>
      <c r="AD60" s="342">
        <v>0.85</v>
      </c>
      <c r="AE60" s="342">
        <v>0.85</v>
      </c>
      <c r="AF60" s="342">
        <v>0.85</v>
      </c>
      <c r="AG60" s="343">
        <v>0.85</v>
      </c>
      <c r="AH60" s="342">
        <v>0</v>
      </c>
      <c r="AI60" s="342">
        <v>0</v>
      </c>
      <c r="AJ60" s="342">
        <v>0</v>
      </c>
      <c r="AK60" s="342">
        <v>0</v>
      </c>
      <c r="AL60" s="343">
        <v>0</v>
      </c>
      <c r="AM60" s="342">
        <v>0</v>
      </c>
      <c r="AN60" s="342">
        <v>0</v>
      </c>
      <c r="AO60" s="342">
        <v>0</v>
      </c>
      <c r="AP60" s="342">
        <v>0</v>
      </c>
      <c r="AQ60" s="343">
        <v>0</v>
      </c>
      <c r="AR60" s="340"/>
      <c r="AS60" s="340"/>
      <c r="AT60" s="340"/>
      <c r="AU60" s="340"/>
      <c r="AV60" s="341"/>
      <c r="AW60" s="340" t="s">
        <v>483</v>
      </c>
      <c r="AX60" s="340" t="s">
        <v>483</v>
      </c>
      <c r="AY60" s="340" t="s">
        <v>483</v>
      </c>
      <c r="AZ60" s="340" t="s">
        <v>483</v>
      </c>
      <c r="BA60" s="341" t="s">
        <v>483</v>
      </c>
      <c r="BB60" s="339" t="s">
        <v>497</v>
      </c>
      <c r="BC60" s="340" t="s">
        <v>497</v>
      </c>
      <c r="BD60" s="340" t="s">
        <v>497</v>
      </c>
      <c r="BE60" s="340" t="s">
        <v>497</v>
      </c>
      <c r="BF60" s="341" t="s">
        <v>497</v>
      </c>
      <c r="BG60" s="340">
        <v>0</v>
      </c>
      <c r="BH60" s="340">
        <v>0</v>
      </c>
      <c r="BI60" s="340">
        <v>0</v>
      </c>
      <c r="BJ60" s="340">
        <v>0</v>
      </c>
      <c r="BK60" s="341">
        <v>0</v>
      </c>
      <c r="BL60" s="340">
        <v>250</v>
      </c>
      <c r="BM60" s="340">
        <v>250</v>
      </c>
      <c r="BN60" s="340">
        <v>250</v>
      </c>
      <c r="BO60" s="340">
        <v>250</v>
      </c>
      <c r="BP60" s="341">
        <v>250</v>
      </c>
      <c r="BQ60" s="339">
        <v>0</v>
      </c>
      <c r="BR60" s="340">
        <v>0</v>
      </c>
      <c r="BS60" s="340">
        <v>0</v>
      </c>
      <c r="BT60" s="340">
        <v>0</v>
      </c>
      <c r="BU60" s="341">
        <v>0</v>
      </c>
      <c r="BV60" s="347"/>
      <c r="BW60" s="345" t="s">
        <v>450</v>
      </c>
      <c r="BX60" s="345" t="s">
        <v>450</v>
      </c>
      <c r="BY60" s="345" t="s">
        <v>450</v>
      </c>
      <c r="BZ60" s="345" t="s">
        <v>450</v>
      </c>
      <c r="CA60" s="346" t="s">
        <v>450</v>
      </c>
      <c r="CB60" s="345" t="s">
        <v>450</v>
      </c>
      <c r="CC60" s="345" t="s">
        <v>450</v>
      </c>
      <c r="CD60" s="345" t="s">
        <v>450</v>
      </c>
      <c r="CE60" s="345" t="s">
        <v>450</v>
      </c>
      <c r="CF60" s="346" t="s">
        <v>450</v>
      </c>
      <c r="CG60" s="345" t="s">
        <v>450</v>
      </c>
      <c r="CH60" s="345" t="s">
        <v>450</v>
      </c>
      <c r="CI60" s="345" t="s">
        <v>450</v>
      </c>
      <c r="CJ60" s="345" t="s">
        <v>450</v>
      </c>
      <c r="CK60" s="346" t="s">
        <v>450</v>
      </c>
    </row>
    <row r="61" spans="1:89" s="293" customFormat="1" x14ac:dyDescent="0.2">
      <c r="A61" s="336" t="s">
        <v>419</v>
      </c>
      <c r="B61" s="337" t="s">
        <v>498</v>
      </c>
      <c r="C61" s="338"/>
      <c r="D61" s="339"/>
      <c r="E61" s="340"/>
      <c r="F61" s="340"/>
      <c r="G61" s="340"/>
      <c r="H61" s="341"/>
      <c r="I61" s="340"/>
      <c r="J61" s="340"/>
      <c r="K61" s="340"/>
      <c r="L61" s="340"/>
      <c r="M61" s="341"/>
      <c r="N61" s="340"/>
      <c r="O61" s="340"/>
      <c r="P61" s="340"/>
      <c r="Q61" s="340"/>
      <c r="R61" s="341"/>
      <c r="S61" s="340"/>
      <c r="T61" s="340"/>
      <c r="U61" s="340"/>
      <c r="V61" s="340"/>
      <c r="W61" s="341"/>
      <c r="X61" s="340"/>
      <c r="Y61" s="340"/>
      <c r="Z61" s="340"/>
      <c r="AA61" s="340"/>
      <c r="AB61" s="341"/>
      <c r="AC61" s="342">
        <v>0.85499999999999998</v>
      </c>
      <c r="AD61" s="342">
        <v>0.85499999999999998</v>
      </c>
      <c r="AE61" s="342">
        <v>0.85499999999999998</v>
      </c>
      <c r="AF61" s="342">
        <v>0.85499999999999998</v>
      </c>
      <c r="AG61" s="343">
        <v>0.85499999999999998</v>
      </c>
      <c r="AH61" s="342">
        <v>0</v>
      </c>
      <c r="AI61" s="342">
        <v>0</v>
      </c>
      <c r="AJ61" s="342">
        <v>0</v>
      </c>
      <c r="AK61" s="342">
        <v>0</v>
      </c>
      <c r="AL61" s="343">
        <v>0</v>
      </c>
      <c r="AM61" s="342">
        <v>0</v>
      </c>
      <c r="AN61" s="342">
        <v>0</v>
      </c>
      <c r="AO61" s="342">
        <v>0</v>
      </c>
      <c r="AP61" s="342">
        <v>0</v>
      </c>
      <c r="AQ61" s="343">
        <v>0</v>
      </c>
      <c r="AR61" s="340"/>
      <c r="AS61" s="340"/>
      <c r="AT61" s="340"/>
      <c r="AU61" s="340"/>
      <c r="AV61" s="341"/>
      <c r="AW61" s="340" t="s">
        <v>483</v>
      </c>
      <c r="AX61" s="340" t="s">
        <v>483</v>
      </c>
      <c r="AY61" s="340" t="s">
        <v>483</v>
      </c>
      <c r="AZ61" s="340" t="s">
        <v>483</v>
      </c>
      <c r="BA61" s="341" t="s">
        <v>483</v>
      </c>
      <c r="BB61" s="339" t="s">
        <v>499</v>
      </c>
      <c r="BC61" s="340" t="s">
        <v>499</v>
      </c>
      <c r="BD61" s="340" t="s">
        <v>499</v>
      </c>
      <c r="BE61" s="340" t="s">
        <v>499</v>
      </c>
      <c r="BF61" s="341" t="s">
        <v>499</v>
      </c>
      <c r="BG61" s="340">
        <v>0</v>
      </c>
      <c r="BH61" s="340">
        <v>0</v>
      </c>
      <c r="BI61" s="340">
        <v>0</v>
      </c>
      <c r="BJ61" s="340">
        <v>0</v>
      </c>
      <c r="BK61" s="341">
        <v>0</v>
      </c>
      <c r="BL61" s="340" t="s">
        <v>500</v>
      </c>
      <c r="BM61" s="340" t="s">
        <v>500</v>
      </c>
      <c r="BN61" s="340" t="s">
        <v>500</v>
      </c>
      <c r="BO61" s="340" t="s">
        <v>500</v>
      </c>
      <c r="BP61" s="341" t="s">
        <v>500</v>
      </c>
      <c r="BQ61" s="339">
        <v>0</v>
      </c>
      <c r="BR61" s="340">
        <v>0</v>
      </c>
      <c r="BS61" s="340">
        <v>0</v>
      </c>
      <c r="BT61" s="340">
        <v>0</v>
      </c>
      <c r="BU61" s="341">
        <v>0</v>
      </c>
      <c r="BV61" s="347"/>
      <c r="BW61" s="345" t="s">
        <v>450</v>
      </c>
      <c r="BX61" s="345" t="s">
        <v>450</v>
      </c>
      <c r="BY61" s="345" t="s">
        <v>450</v>
      </c>
      <c r="BZ61" s="345" t="s">
        <v>450</v>
      </c>
      <c r="CA61" s="346" t="s">
        <v>450</v>
      </c>
      <c r="CB61" s="345" t="s">
        <v>450</v>
      </c>
      <c r="CC61" s="345" t="s">
        <v>450</v>
      </c>
      <c r="CD61" s="345" t="s">
        <v>450</v>
      </c>
      <c r="CE61" s="345" t="s">
        <v>450</v>
      </c>
      <c r="CF61" s="346" t="s">
        <v>450</v>
      </c>
      <c r="CG61" s="345" t="s">
        <v>450</v>
      </c>
      <c r="CH61" s="345" t="s">
        <v>450</v>
      </c>
      <c r="CI61" s="345" t="s">
        <v>450</v>
      </c>
      <c r="CJ61" s="345" t="s">
        <v>450</v>
      </c>
      <c r="CK61" s="346" t="s">
        <v>450</v>
      </c>
    </row>
    <row r="62" spans="1:89" s="293" customFormat="1" x14ac:dyDescent="0.2">
      <c r="A62" s="294" t="s">
        <v>420</v>
      </c>
      <c r="B62" s="295" t="s">
        <v>501</v>
      </c>
      <c r="C62" s="296" t="s">
        <v>421</v>
      </c>
      <c r="D62" s="297">
        <v>10</v>
      </c>
      <c r="E62" s="298">
        <v>10</v>
      </c>
      <c r="F62" s="298">
        <v>10</v>
      </c>
      <c r="G62" s="298">
        <v>10</v>
      </c>
      <c r="H62" s="299">
        <v>10</v>
      </c>
      <c r="I62" s="298"/>
      <c r="J62" s="298"/>
      <c r="K62" s="298"/>
      <c r="L62" s="298"/>
      <c r="M62" s="299"/>
      <c r="N62" s="298">
        <v>100</v>
      </c>
      <c r="O62" s="298">
        <v>100</v>
      </c>
      <c r="P62" s="298">
        <v>100</v>
      </c>
      <c r="Q62" s="298">
        <v>100</v>
      </c>
      <c r="R62" s="299">
        <v>100</v>
      </c>
      <c r="S62" s="298"/>
      <c r="T62" s="298"/>
      <c r="U62" s="298"/>
      <c r="V62" s="298"/>
      <c r="W62" s="299"/>
      <c r="X62" s="298">
        <v>100</v>
      </c>
      <c r="Y62" s="298">
        <v>100</v>
      </c>
      <c r="Z62" s="298">
        <v>100</v>
      </c>
      <c r="AA62" s="298">
        <v>100</v>
      </c>
      <c r="AB62" s="299">
        <v>100</v>
      </c>
      <c r="AC62" s="300">
        <v>0.98</v>
      </c>
      <c r="AD62" s="300">
        <v>0.98</v>
      </c>
      <c r="AE62" s="300">
        <v>0.98</v>
      </c>
      <c r="AF62" s="300">
        <v>0.98</v>
      </c>
      <c r="AG62" s="301">
        <v>0.98</v>
      </c>
      <c r="AH62" s="300">
        <v>0</v>
      </c>
      <c r="AI62" s="300">
        <v>0</v>
      </c>
      <c r="AJ62" s="300">
        <v>0</v>
      </c>
      <c r="AK62" s="300">
        <v>0</v>
      </c>
      <c r="AL62" s="301">
        <v>0</v>
      </c>
      <c r="AM62" s="300">
        <v>0</v>
      </c>
      <c r="AN62" s="300">
        <v>0</v>
      </c>
      <c r="AO62" s="300">
        <v>0</v>
      </c>
      <c r="AP62" s="300">
        <v>0</v>
      </c>
      <c r="AQ62" s="301">
        <v>0</v>
      </c>
      <c r="AR62" s="298"/>
      <c r="AS62" s="298"/>
      <c r="AT62" s="298"/>
      <c r="AU62" s="298"/>
      <c r="AV62" s="299"/>
      <c r="AW62" s="298">
        <v>20</v>
      </c>
      <c r="AX62" s="298">
        <v>20</v>
      </c>
      <c r="AY62" s="298">
        <v>20</v>
      </c>
      <c r="AZ62" s="298">
        <v>20</v>
      </c>
      <c r="BA62" s="299">
        <v>20</v>
      </c>
      <c r="BB62" s="308">
        <v>2500</v>
      </c>
      <c r="BC62" s="306">
        <v>2500</v>
      </c>
      <c r="BD62" s="306">
        <v>2500</v>
      </c>
      <c r="BE62" s="306">
        <v>2500</v>
      </c>
      <c r="BF62" s="307">
        <v>2500</v>
      </c>
      <c r="BG62" s="302">
        <v>3000</v>
      </c>
      <c r="BH62" s="302">
        <v>3000</v>
      </c>
      <c r="BI62" s="302">
        <v>3000</v>
      </c>
      <c r="BJ62" s="302">
        <v>3000</v>
      </c>
      <c r="BK62" s="303">
        <v>3000</v>
      </c>
      <c r="BL62" s="302">
        <v>150</v>
      </c>
      <c r="BM62" s="302">
        <v>150</v>
      </c>
      <c r="BN62" s="302">
        <v>150</v>
      </c>
      <c r="BO62" s="302">
        <v>150</v>
      </c>
      <c r="BP62" s="303">
        <v>150</v>
      </c>
      <c r="BQ62" s="304">
        <v>0</v>
      </c>
      <c r="BR62" s="302">
        <v>0</v>
      </c>
      <c r="BS62" s="302">
        <v>0</v>
      </c>
      <c r="BT62" s="302">
        <v>0</v>
      </c>
      <c r="BU62" s="303">
        <v>0</v>
      </c>
      <c r="BV62" s="305"/>
      <c r="BW62" s="302">
        <v>250</v>
      </c>
      <c r="BX62" s="302">
        <v>250</v>
      </c>
      <c r="BY62" s="302">
        <v>250</v>
      </c>
      <c r="BZ62" s="302">
        <v>250</v>
      </c>
      <c r="CA62" s="303">
        <v>250</v>
      </c>
      <c r="CB62" s="302">
        <v>300</v>
      </c>
      <c r="CC62" s="302">
        <v>300</v>
      </c>
      <c r="CD62" s="302">
        <v>300</v>
      </c>
      <c r="CE62" s="302">
        <v>300</v>
      </c>
      <c r="CF62" s="303">
        <v>300</v>
      </c>
      <c r="CG62" s="302">
        <v>15</v>
      </c>
      <c r="CH62" s="302">
        <v>15</v>
      </c>
      <c r="CI62" s="302">
        <v>15</v>
      </c>
      <c r="CJ62" s="302">
        <v>15</v>
      </c>
      <c r="CK62" s="303">
        <v>15</v>
      </c>
    </row>
    <row r="63" spans="1:89" s="293" customFormat="1" x14ac:dyDescent="0.2">
      <c r="A63" s="348" t="s">
        <v>422</v>
      </c>
      <c r="B63" s="349" t="s">
        <v>453</v>
      </c>
      <c r="C63" s="350"/>
      <c r="D63" s="351">
        <v>0</v>
      </c>
      <c r="E63" s="352">
        <v>0</v>
      </c>
      <c r="F63" s="352">
        <v>0</v>
      </c>
      <c r="G63" s="352">
        <v>0</v>
      </c>
      <c r="H63" s="353">
        <v>0</v>
      </c>
      <c r="I63" s="352"/>
      <c r="J63" s="352"/>
      <c r="K63" s="352"/>
      <c r="L63" s="352"/>
      <c r="M63" s="353"/>
      <c r="N63" s="352">
        <v>0</v>
      </c>
      <c r="O63" s="352">
        <v>0</v>
      </c>
      <c r="P63" s="352">
        <v>0</v>
      </c>
      <c r="Q63" s="352">
        <v>0</v>
      </c>
      <c r="R63" s="353">
        <v>0</v>
      </c>
      <c r="S63" s="352"/>
      <c r="T63" s="352"/>
      <c r="U63" s="352"/>
      <c r="V63" s="352"/>
      <c r="W63" s="353"/>
      <c r="X63" s="352">
        <v>0</v>
      </c>
      <c r="Y63" s="352">
        <v>0</v>
      </c>
      <c r="Z63" s="352">
        <v>0</v>
      </c>
      <c r="AA63" s="352">
        <v>0</v>
      </c>
      <c r="AB63" s="353">
        <v>0</v>
      </c>
      <c r="AC63" s="354">
        <v>0</v>
      </c>
      <c r="AD63" s="354">
        <v>0</v>
      </c>
      <c r="AE63" s="354">
        <v>0</v>
      </c>
      <c r="AF63" s="354">
        <v>0</v>
      </c>
      <c r="AG63" s="355">
        <v>0</v>
      </c>
      <c r="AH63" s="354">
        <v>0</v>
      </c>
      <c r="AI63" s="354">
        <v>0</v>
      </c>
      <c r="AJ63" s="354">
        <v>0</v>
      </c>
      <c r="AK63" s="354">
        <v>0</v>
      </c>
      <c r="AL63" s="355">
        <v>0</v>
      </c>
      <c r="AM63" s="354">
        <v>0</v>
      </c>
      <c r="AN63" s="354">
        <v>0</v>
      </c>
      <c r="AO63" s="354">
        <v>0</v>
      </c>
      <c r="AP63" s="354">
        <v>0</v>
      </c>
      <c r="AQ63" s="355">
        <v>0</v>
      </c>
      <c r="AR63" s="352"/>
      <c r="AS63" s="352"/>
      <c r="AT63" s="352"/>
      <c r="AU63" s="352"/>
      <c r="AV63" s="353"/>
      <c r="AW63" s="352">
        <v>0</v>
      </c>
      <c r="AX63" s="352">
        <v>0</v>
      </c>
      <c r="AY63" s="352">
        <v>0</v>
      </c>
      <c r="AZ63" s="352">
        <v>0</v>
      </c>
      <c r="BA63" s="353">
        <v>0</v>
      </c>
      <c r="BB63" s="351">
        <v>0</v>
      </c>
      <c r="BC63" s="352">
        <v>0</v>
      </c>
      <c r="BD63" s="352">
        <v>0</v>
      </c>
      <c r="BE63" s="352">
        <v>0</v>
      </c>
      <c r="BF63" s="353">
        <v>0</v>
      </c>
      <c r="BG63" s="352">
        <v>0</v>
      </c>
      <c r="BH63" s="352">
        <v>0</v>
      </c>
      <c r="BI63" s="352">
        <v>0</v>
      </c>
      <c r="BJ63" s="352">
        <v>0</v>
      </c>
      <c r="BK63" s="353">
        <v>0</v>
      </c>
      <c r="BL63" s="352">
        <v>0</v>
      </c>
      <c r="BM63" s="352">
        <v>0</v>
      </c>
      <c r="BN63" s="352">
        <v>0</v>
      </c>
      <c r="BO63" s="352">
        <v>0</v>
      </c>
      <c r="BP63" s="353">
        <v>0</v>
      </c>
      <c r="BQ63" s="351">
        <v>0</v>
      </c>
      <c r="BR63" s="352">
        <v>0</v>
      </c>
      <c r="BS63" s="352">
        <v>0</v>
      </c>
      <c r="BT63" s="352">
        <v>0</v>
      </c>
      <c r="BU63" s="353">
        <v>0</v>
      </c>
      <c r="BV63" s="356" t="s">
        <v>355</v>
      </c>
      <c r="BW63" s="357" t="s">
        <v>450</v>
      </c>
      <c r="BX63" s="357" t="s">
        <v>450</v>
      </c>
      <c r="BY63" s="357" t="s">
        <v>450</v>
      </c>
      <c r="BZ63" s="357" t="s">
        <v>450</v>
      </c>
      <c r="CA63" s="358" t="s">
        <v>450</v>
      </c>
      <c r="CB63" s="357" t="s">
        <v>450</v>
      </c>
      <c r="CC63" s="357" t="s">
        <v>450</v>
      </c>
      <c r="CD63" s="357" t="s">
        <v>450</v>
      </c>
      <c r="CE63" s="357" t="s">
        <v>450</v>
      </c>
      <c r="CF63" s="358" t="s">
        <v>450</v>
      </c>
      <c r="CG63" s="357" t="s">
        <v>450</v>
      </c>
      <c r="CH63" s="357" t="s">
        <v>450</v>
      </c>
      <c r="CI63" s="357" t="s">
        <v>450</v>
      </c>
      <c r="CJ63" s="357" t="s">
        <v>450</v>
      </c>
      <c r="CK63" s="358" t="s">
        <v>450</v>
      </c>
    </row>
    <row r="66" spans="1:74" x14ac:dyDescent="0.2">
      <c r="BB66" s="359" t="e">
        <f ca="1">LEFT(INDIRECT("'"&amp;$A62&amp;"'!"&amp;BB$3&amp;"21"),3)</f>
        <v>#REF!</v>
      </c>
    </row>
    <row r="79" spans="1:74" s="264" customFormat="1" x14ac:dyDescent="0.2">
      <c r="A79" s="263"/>
      <c r="B79" s="263"/>
      <c r="C79" s="263"/>
      <c r="BV79" s="263"/>
    </row>
    <row r="80" spans="1:74" s="264" customFormat="1" x14ac:dyDescent="0.2">
      <c r="A80" s="263"/>
      <c r="B80" s="263"/>
      <c r="C80" s="263"/>
      <c r="BV80" s="263"/>
    </row>
    <row r="81" spans="1:74" s="264" customFormat="1" x14ac:dyDescent="0.2">
      <c r="A81" s="263"/>
      <c r="B81" s="263"/>
      <c r="C81" s="263"/>
      <c r="BV81" s="263"/>
    </row>
    <row r="82" spans="1:74" s="264" customFormat="1" x14ac:dyDescent="0.2">
      <c r="A82" s="263"/>
      <c r="B82" s="263"/>
      <c r="C82" s="263"/>
      <c r="BV82" s="263"/>
    </row>
    <row r="83" spans="1:74" s="264" customFormat="1" x14ac:dyDescent="0.2">
      <c r="A83" s="263"/>
      <c r="B83" s="263"/>
      <c r="C83" s="263"/>
      <c r="BV83" s="263"/>
    </row>
    <row r="84" spans="1:74" s="264" customFormat="1" x14ac:dyDescent="0.2">
      <c r="A84" s="263"/>
      <c r="B84" s="263"/>
      <c r="C84" s="263"/>
      <c r="BV84" s="263"/>
    </row>
    <row r="85" spans="1:74" s="264" customFormat="1" x14ac:dyDescent="0.2">
      <c r="A85" s="263"/>
      <c r="B85" s="263"/>
      <c r="C85" s="263"/>
      <c r="BV85" s="263"/>
    </row>
    <row r="86" spans="1:74" s="264" customFormat="1" x14ac:dyDescent="0.2">
      <c r="A86" s="263"/>
      <c r="B86" s="263"/>
      <c r="C86" s="263"/>
      <c r="BV86" s="263"/>
    </row>
    <row r="87" spans="1:74" s="264" customFormat="1" x14ac:dyDescent="0.2">
      <c r="A87" s="263"/>
      <c r="B87" s="263"/>
      <c r="C87" s="263"/>
      <c r="BV87" s="263"/>
    </row>
    <row r="88" spans="1:74" s="264" customFormat="1" x14ac:dyDescent="0.2">
      <c r="A88" s="263"/>
      <c r="B88" s="263"/>
      <c r="C88" s="263"/>
      <c r="BV88" s="263"/>
    </row>
    <row r="89" spans="1:74" s="264" customFormat="1" x14ac:dyDescent="0.2">
      <c r="A89" s="263"/>
      <c r="B89" s="263"/>
      <c r="C89" s="263"/>
      <c r="BV89" s="263"/>
    </row>
    <row r="90" spans="1:74" s="264" customFormat="1" x14ac:dyDescent="0.2">
      <c r="A90" s="263"/>
      <c r="B90" s="263"/>
      <c r="C90" s="263"/>
      <c r="BV90" s="263"/>
    </row>
    <row r="91" spans="1:74" s="264" customFormat="1" x14ac:dyDescent="0.2">
      <c r="A91" s="263"/>
      <c r="B91" s="263"/>
      <c r="C91" s="263"/>
      <c r="BV91" s="263"/>
    </row>
    <row r="92" spans="1:74" s="264" customFormat="1" x14ac:dyDescent="0.2">
      <c r="A92" s="263"/>
      <c r="B92" s="263"/>
      <c r="C92" s="263"/>
      <c r="BV92" s="263"/>
    </row>
    <row r="93" spans="1:74" s="264" customFormat="1" x14ac:dyDescent="0.2">
      <c r="A93" s="263"/>
      <c r="B93" s="263"/>
      <c r="C93" s="263"/>
      <c r="BV93" s="263"/>
    </row>
    <row r="94" spans="1:74" s="264" customFormat="1" x14ac:dyDescent="0.2">
      <c r="A94" s="263"/>
      <c r="B94" s="263"/>
      <c r="C94" s="263"/>
      <c r="BV94" s="263"/>
    </row>
    <row r="95" spans="1:74" s="264" customFormat="1" x14ac:dyDescent="0.2">
      <c r="A95" s="263"/>
      <c r="B95" s="263"/>
      <c r="C95" s="263"/>
      <c r="BV95" s="263"/>
    </row>
    <row r="96" spans="1:74" s="264" customFormat="1" x14ac:dyDescent="0.2">
      <c r="A96" s="263"/>
      <c r="B96" s="263"/>
      <c r="C96" s="263"/>
      <c r="BV96" s="263"/>
    </row>
    <row r="97" spans="1:74" s="264" customFormat="1" x14ac:dyDescent="0.2">
      <c r="A97" s="263"/>
      <c r="B97" s="263"/>
      <c r="C97" s="263"/>
      <c r="BV97" s="263"/>
    </row>
    <row r="98" spans="1:74" s="264" customFormat="1" x14ac:dyDescent="0.2">
      <c r="A98" s="263"/>
      <c r="B98" s="263"/>
      <c r="C98" s="263"/>
      <c r="BV98" s="263"/>
    </row>
    <row r="99" spans="1:74" s="264" customFormat="1" x14ac:dyDescent="0.2">
      <c r="A99" s="263"/>
      <c r="B99" s="263"/>
      <c r="C99" s="263"/>
      <c r="BV99" s="263"/>
    </row>
    <row r="100" spans="1:74" s="264" customFormat="1" x14ac:dyDescent="0.2">
      <c r="A100" s="263"/>
      <c r="B100" s="263"/>
      <c r="C100" s="263"/>
      <c r="BV100" s="263"/>
    </row>
    <row r="101" spans="1:74" s="264" customFormat="1" x14ac:dyDescent="0.2">
      <c r="A101" s="263"/>
      <c r="B101" s="263"/>
      <c r="C101" s="263"/>
      <c r="BV101" s="263"/>
    </row>
    <row r="102" spans="1:74" s="264" customFormat="1" x14ac:dyDescent="0.2">
      <c r="A102" s="263"/>
      <c r="B102" s="263"/>
      <c r="C102" s="263"/>
      <c r="BV102" s="263"/>
    </row>
    <row r="103" spans="1:74" s="264" customFormat="1" x14ac:dyDescent="0.2">
      <c r="A103" s="263"/>
      <c r="B103" s="263"/>
      <c r="C103" s="263"/>
      <c r="BV103" s="263"/>
    </row>
    <row r="104" spans="1:74" s="264" customFormat="1" x14ac:dyDescent="0.2">
      <c r="A104" s="263"/>
      <c r="B104" s="263"/>
      <c r="C104" s="263"/>
      <c r="BV104" s="263"/>
    </row>
    <row r="105" spans="1:74" s="264" customFormat="1" x14ac:dyDescent="0.2">
      <c r="A105" s="263"/>
      <c r="B105" s="263"/>
      <c r="C105" s="263"/>
      <c r="BV105" s="263"/>
    </row>
    <row r="106" spans="1:74" s="264" customFormat="1" x14ac:dyDescent="0.2">
      <c r="A106" s="263"/>
      <c r="B106" s="263"/>
      <c r="C106" s="263"/>
      <c r="BV106" s="263"/>
    </row>
    <row r="107" spans="1:74" s="264" customFormat="1" x14ac:dyDescent="0.2">
      <c r="A107" s="263"/>
      <c r="B107" s="263"/>
      <c r="C107" s="263"/>
      <c r="BV107" s="263"/>
    </row>
    <row r="108" spans="1:74" s="264" customFormat="1" x14ac:dyDescent="0.2">
      <c r="A108" s="263"/>
      <c r="B108" s="263"/>
      <c r="C108" s="263"/>
      <c r="BV108" s="263"/>
    </row>
    <row r="109" spans="1:74" s="264" customFormat="1" x14ac:dyDescent="0.2">
      <c r="A109" s="263"/>
      <c r="B109" s="263"/>
      <c r="C109" s="263"/>
      <c r="BV109" s="263"/>
    </row>
    <row r="110" spans="1:74" s="264" customFormat="1" x14ac:dyDescent="0.2">
      <c r="A110" s="263"/>
      <c r="B110" s="263"/>
      <c r="C110" s="263"/>
      <c r="BV110" s="263"/>
    </row>
    <row r="111" spans="1:74" s="264" customFormat="1" x14ac:dyDescent="0.2">
      <c r="A111" s="263"/>
      <c r="B111" s="263"/>
      <c r="C111" s="263"/>
      <c r="BV111" s="263"/>
    </row>
    <row r="112" spans="1:74" s="264" customFormat="1" x14ac:dyDescent="0.2">
      <c r="A112" s="263"/>
      <c r="B112" s="263"/>
      <c r="C112" s="263"/>
      <c r="BV112" s="263"/>
    </row>
    <row r="113" spans="1:74" s="264" customFormat="1" x14ac:dyDescent="0.2">
      <c r="A113" s="263"/>
      <c r="B113" s="263"/>
      <c r="C113" s="263"/>
      <c r="BV113" s="263"/>
    </row>
    <row r="114" spans="1:74" s="264" customFormat="1" x14ac:dyDescent="0.2">
      <c r="A114" s="263"/>
      <c r="B114" s="263"/>
      <c r="C114" s="263"/>
      <c r="BV114" s="263"/>
    </row>
    <row r="115" spans="1:74" s="264" customFormat="1" x14ac:dyDescent="0.2">
      <c r="A115" s="263"/>
      <c r="B115" s="263"/>
      <c r="C115" s="263"/>
      <c r="BV115" s="263"/>
    </row>
    <row r="116" spans="1:74" s="264" customFormat="1" x14ac:dyDescent="0.2">
      <c r="A116" s="263"/>
      <c r="B116" s="263"/>
      <c r="C116" s="263"/>
      <c r="BV116" s="263"/>
    </row>
    <row r="117" spans="1:74" s="264" customFormat="1" x14ac:dyDescent="0.2">
      <c r="A117" s="263"/>
      <c r="B117" s="263"/>
      <c r="C117" s="263"/>
      <c r="BV117" s="263"/>
    </row>
    <row r="118" spans="1:74" s="264" customFormat="1" x14ac:dyDescent="0.2">
      <c r="A118" s="263"/>
      <c r="B118" s="263"/>
      <c r="C118" s="263"/>
      <c r="BV118" s="263"/>
    </row>
    <row r="119" spans="1:74" s="264" customFormat="1" x14ac:dyDescent="0.2">
      <c r="A119" s="263"/>
      <c r="B119" s="263"/>
      <c r="C119" s="263"/>
      <c r="BV119" s="263"/>
    </row>
    <row r="120" spans="1:74" s="264" customFormat="1" x14ac:dyDescent="0.2">
      <c r="A120" s="263"/>
      <c r="B120" s="263"/>
      <c r="C120" s="263"/>
      <c r="BV120" s="263"/>
    </row>
    <row r="121" spans="1:74" s="264" customFormat="1" x14ac:dyDescent="0.2">
      <c r="A121" s="263"/>
      <c r="B121" s="263"/>
      <c r="C121" s="263"/>
      <c r="BV121" s="263"/>
    </row>
    <row r="122" spans="1:74" s="264" customFormat="1" x14ac:dyDescent="0.2">
      <c r="A122" s="263"/>
      <c r="B122" s="263"/>
      <c r="C122" s="263"/>
      <c r="BV122" s="263"/>
    </row>
    <row r="123" spans="1:74" s="264" customFormat="1" x14ac:dyDescent="0.2">
      <c r="A123" s="263"/>
      <c r="B123" s="263"/>
      <c r="C123" s="263"/>
      <c r="BV123" s="263"/>
    </row>
    <row r="124" spans="1:74" s="264" customFormat="1" x14ac:dyDescent="0.2">
      <c r="A124" s="263"/>
      <c r="B124" s="263"/>
      <c r="C124" s="263"/>
      <c r="BV124" s="263"/>
    </row>
    <row r="125" spans="1:74" s="264" customFormat="1" x14ac:dyDescent="0.2">
      <c r="A125" s="263"/>
      <c r="B125" s="263"/>
      <c r="C125" s="263"/>
      <c r="BV125" s="263"/>
    </row>
    <row r="126" spans="1:74" s="264" customFormat="1" x14ac:dyDescent="0.2">
      <c r="A126" s="263"/>
      <c r="B126" s="263"/>
      <c r="C126" s="263"/>
      <c r="BV126" s="263"/>
    </row>
    <row r="127" spans="1:74" s="264" customFormat="1" x14ac:dyDescent="0.2">
      <c r="A127" s="263"/>
      <c r="B127" s="263"/>
      <c r="C127" s="263"/>
      <c r="BV127" s="263"/>
    </row>
    <row r="128" spans="1:74" s="264" customFormat="1" x14ac:dyDescent="0.2">
      <c r="A128" s="263"/>
      <c r="B128" s="263"/>
      <c r="C128" s="263"/>
      <c r="BV128" s="263"/>
    </row>
    <row r="129" spans="1:74" s="264" customFormat="1" x14ac:dyDescent="0.2">
      <c r="A129" s="263"/>
      <c r="B129" s="263"/>
      <c r="C129" s="263"/>
      <c r="BV129" s="263"/>
    </row>
    <row r="130" spans="1:74" s="264" customFormat="1" x14ac:dyDescent="0.2">
      <c r="A130" s="263"/>
      <c r="B130" s="263"/>
      <c r="C130" s="263"/>
      <c r="BV130" s="263"/>
    </row>
    <row r="131" spans="1:74" s="264" customFormat="1" x14ac:dyDescent="0.2">
      <c r="A131" s="263"/>
      <c r="B131" s="263"/>
      <c r="C131" s="263"/>
      <c r="BV131" s="263"/>
    </row>
    <row r="132" spans="1:74" s="264" customFormat="1" x14ac:dyDescent="0.2">
      <c r="A132" s="263"/>
      <c r="B132" s="263"/>
      <c r="C132" s="263"/>
      <c r="BV132" s="263"/>
    </row>
    <row r="133" spans="1:74" s="264" customFormat="1" x14ac:dyDescent="0.2">
      <c r="A133" s="263"/>
      <c r="B133" s="263"/>
      <c r="C133" s="263"/>
      <c r="BV133" s="263"/>
    </row>
    <row r="134" spans="1:74" s="264" customFormat="1" x14ac:dyDescent="0.2">
      <c r="A134" s="263"/>
      <c r="B134" s="263"/>
      <c r="C134" s="263"/>
      <c r="BV134" s="263"/>
    </row>
    <row r="135" spans="1:74" s="264" customFormat="1" x14ac:dyDescent="0.2">
      <c r="A135" s="263"/>
      <c r="B135" s="263"/>
      <c r="C135" s="263"/>
      <c r="BV135" s="263"/>
    </row>
    <row r="136" spans="1:74" s="264" customFormat="1" x14ac:dyDescent="0.2">
      <c r="A136" s="263"/>
      <c r="B136" s="263"/>
      <c r="C136" s="263"/>
      <c r="BV136" s="263"/>
    </row>
    <row r="137" spans="1:74" s="264" customFormat="1" x14ac:dyDescent="0.2">
      <c r="A137" s="263"/>
      <c r="B137" s="263"/>
      <c r="C137" s="263"/>
      <c r="BV137" s="263"/>
    </row>
    <row r="138" spans="1:74" s="264" customFormat="1" x14ac:dyDescent="0.2">
      <c r="A138" s="263"/>
      <c r="B138" s="263"/>
      <c r="C138" s="263"/>
      <c r="BV138" s="263"/>
    </row>
    <row r="139" spans="1:74" s="264" customFormat="1" x14ac:dyDescent="0.2">
      <c r="A139" s="263"/>
      <c r="B139" s="263"/>
      <c r="C139" s="263"/>
      <c r="BV139" s="263"/>
    </row>
    <row r="140" spans="1:74" s="264" customFormat="1" x14ac:dyDescent="0.2">
      <c r="A140" s="263"/>
      <c r="B140" s="263"/>
      <c r="C140" s="263"/>
      <c r="BV140" s="263"/>
    </row>
    <row r="141" spans="1:74" s="264" customFormat="1" x14ac:dyDescent="0.2">
      <c r="A141" s="263"/>
      <c r="B141" s="263"/>
      <c r="C141" s="263"/>
      <c r="BV141" s="263"/>
    </row>
    <row r="142" spans="1:74" s="264" customFormat="1" x14ac:dyDescent="0.2">
      <c r="A142" s="263"/>
      <c r="B142" s="263"/>
      <c r="C142" s="263"/>
      <c r="BV142" s="263"/>
    </row>
    <row r="143" spans="1:74" s="264" customFormat="1" x14ac:dyDescent="0.2">
      <c r="A143" s="263"/>
      <c r="B143" s="263"/>
      <c r="C143" s="263"/>
      <c r="BV143" s="263"/>
    </row>
    <row r="144" spans="1:74" s="264" customFormat="1" x14ac:dyDescent="0.2">
      <c r="A144" s="263"/>
      <c r="B144" s="263"/>
      <c r="C144" s="263"/>
      <c r="BV144" s="263"/>
    </row>
    <row r="145" spans="1:74" s="264" customFormat="1" x14ac:dyDescent="0.2">
      <c r="A145" s="263"/>
      <c r="B145" s="263"/>
      <c r="C145" s="263"/>
      <c r="BV145" s="263"/>
    </row>
    <row r="146" spans="1:74" s="264" customFormat="1" x14ac:dyDescent="0.2">
      <c r="A146" s="263"/>
      <c r="B146" s="263"/>
      <c r="C146" s="263"/>
      <c r="BV146" s="263"/>
    </row>
    <row r="147" spans="1:74" s="264" customFormat="1" x14ac:dyDescent="0.2">
      <c r="A147" s="263"/>
      <c r="B147" s="263"/>
      <c r="C147" s="263"/>
      <c r="BV147" s="263"/>
    </row>
    <row r="148" spans="1:74" s="264" customFormat="1" x14ac:dyDescent="0.2">
      <c r="A148" s="263"/>
      <c r="B148" s="263"/>
      <c r="C148" s="263"/>
      <c r="BV148" s="263"/>
    </row>
    <row r="149" spans="1:74" s="264" customFormat="1" x14ac:dyDescent="0.2">
      <c r="A149" s="263"/>
      <c r="B149" s="263"/>
      <c r="C149" s="263"/>
      <c r="BV149" s="263"/>
    </row>
    <row r="150" spans="1:74" s="264" customFormat="1" x14ac:dyDescent="0.2">
      <c r="A150" s="263"/>
      <c r="B150" s="263"/>
      <c r="C150" s="263"/>
      <c r="BV150" s="263"/>
    </row>
    <row r="151" spans="1:74" s="264" customFormat="1" x14ac:dyDescent="0.2">
      <c r="A151" s="263"/>
      <c r="B151" s="263"/>
      <c r="C151" s="263"/>
      <c r="BV151" s="263"/>
    </row>
    <row r="152" spans="1:74" s="264" customFormat="1" x14ac:dyDescent="0.2">
      <c r="A152" s="263"/>
      <c r="B152" s="263"/>
      <c r="C152" s="263"/>
      <c r="BV152" s="263"/>
    </row>
    <row r="153" spans="1:74" s="264" customFormat="1" x14ac:dyDescent="0.2">
      <c r="A153" s="263"/>
      <c r="B153" s="263"/>
      <c r="C153" s="263"/>
      <c r="BV153" s="263"/>
    </row>
    <row r="154" spans="1:74" s="264" customFormat="1" x14ac:dyDescent="0.2">
      <c r="A154" s="263"/>
      <c r="B154" s="263"/>
      <c r="C154" s="263"/>
      <c r="BV154" s="263"/>
    </row>
    <row r="155" spans="1:74" s="264" customFormat="1" x14ac:dyDescent="0.2">
      <c r="A155" s="263"/>
      <c r="B155" s="263"/>
      <c r="C155" s="263"/>
      <c r="BV155" s="263"/>
    </row>
    <row r="156" spans="1:74" s="264" customFormat="1" x14ac:dyDescent="0.2">
      <c r="A156" s="263"/>
      <c r="B156" s="263"/>
      <c r="C156" s="263"/>
      <c r="BV156" s="263"/>
    </row>
    <row r="157" spans="1:74" s="264" customFormat="1" x14ac:dyDescent="0.2">
      <c r="A157" s="263"/>
      <c r="B157" s="263"/>
      <c r="C157" s="263"/>
      <c r="BV157" s="263"/>
    </row>
    <row r="158" spans="1:74" s="264" customFormat="1" x14ac:dyDescent="0.2">
      <c r="A158" s="263"/>
      <c r="B158" s="263"/>
      <c r="C158" s="263"/>
      <c r="BV158" s="263"/>
    </row>
    <row r="159" spans="1:74" s="264" customFormat="1" x14ac:dyDescent="0.2">
      <c r="A159" s="263"/>
      <c r="B159" s="263"/>
      <c r="C159" s="263"/>
      <c r="BV159" s="263"/>
    </row>
    <row r="160" spans="1:74" s="264" customFormat="1" x14ac:dyDescent="0.2">
      <c r="A160" s="263"/>
      <c r="B160" s="263"/>
      <c r="C160" s="263"/>
      <c r="BV160" s="263"/>
    </row>
    <row r="161" spans="1:74" s="264" customFormat="1" x14ac:dyDescent="0.2">
      <c r="A161" s="263"/>
      <c r="B161" s="263"/>
      <c r="C161" s="263"/>
      <c r="BV161" s="263"/>
    </row>
    <row r="162" spans="1:74" s="264" customFormat="1" x14ac:dyDescent="0.2">
      <c r="A162" s="263"/>
      <c r="B162" s="263"/>
      <c r="C162" s="263"/>
      <c r="BV162" s="263"/>
    </row>
    <row r="163" spans="1:74" s="264" customFormat="1" x14ac:dyDescent="0.2">
      <c r="A163" s="263"/>
      <c r="B163" s="263"/>
      <c r="C163" s="263"/>
      <c r="BV163" s="263"/>
    </row>
    <row r="164" spans="1:74" s="264" customFormat="1" x14ac:dyDescent="0.2">
      <c r="A164" s="263"/>
      <c r="B164" s="263"/>
      <c r="C164" s="263"/>
      <c r="BV164" s="263"/>
    </row>
    <row r="165" spans="1:74" s="264" customFormat="1" x14ac:dyDescent="0.2">
      <c r="A165" s="263"/>
      <c r="B165" s="263"/>
      <c r="C165" s="263"/>
      <c r="BV165" s="263"/>
    </row>
    <row r="166" spans="1:74" s="264" customFormat="1" x14ac:dyDescent="0.2">
      <c r="A166" s="263"/>
      <c r="B166" s="263"/>
      <c r="C166" s="263"/>
      <c r="BV166" s="263"/>
    </row>
    <row r="167" spans="1:74" s="264" customFormat="1" x14ac:dyDescent="0.2">
      <c r="A167" s="263"/>
      <c r="B167" s="263"/>
      <c r="C167" s="263"/>
      <c r="BV167" s="263"/>
    </row>
    <row r="168" spans="1:74" s="264" customFormat="1" x14ac:dyDescent="0.2">
      <c r="A168" s="263"/>
      <c r="B168" s="263"/>
      <c r="C168" s="263"/>
      <c r="BV168" s="263"/>
    </row>
    <row r="169" spans="1:74" s="264" customFormat="1" x14ac:dyDescent="0.2">
      <c r="A169" s="263"/>
      <c r="B169" s="263"/>
      <c r="C169" s="263"/>
      <c r="BV169" s="263"/>
    </row>
    <row r="170" spans="1:74" s="264" customFormat="1" x14ac:dyDescent="0.2">
      <c r="A170" s="263"/>
      <c r="B170" s="263"/>
      <c r="C170" s="263"/>
      <c r="BV170" s="263"/>
    </row>
    <row r="171" spans="1:74" s="264" customFormat="1" x14ac:dyDescent="0.2">
      <c r="A171" s="263"/>
      <c r="B171" s="263"/>
      <c r="C171" s="263"/>
      <c r="BV171" s="263"/>
    </row>
    <row r="172" spans="1:74" s="264" customFormat="1" x14ac:dyDescent="0.2">
      <c r="A172" s="263"/>
      <c r="B172" s="263"/>
      <c r="C172" s="263"/>
      <c r="BV172" s="263"/>
    </row>
    <row r="173" spans="1:74" s="264" customFormat="1" x14ac:dyDescent="0.2">
      <c r="A173" s="263"/>
      <c r="B173" s="263"/>
      <c r="C173" s="263"/>
      <c r="BV173" s="263"/>
    </row>
    <row r="174" spans="1:74" s="264" customFormat="1" x14ac:dyDescent="0.2">
      <c r="A174" s="263"/>
      <c r="B174" s="263"/>
      <c r="C174" s="263"/>
      <c r="BV174" s="263"/>
    </row>
    <row r="175" spans="1:74" s="264" customFormat="1" x14ac:dyDescent="0.2">
      <c r="A175" s="263"/>
      <c r="B175" s="263"/>
      <c r="C175" s="263"/>
      <c r="BV175" s="263"/>
    </row>
    <row r="176" spans="1:74" s="264" customFormat="1" x14ac:dyDescent="0.2">
      <c r="A176" s="263"/>
      <c r="B176" s="263"/>
      <c r="C176" s="263"/>
      <c r="BV176" s="263"/>
    </row>
    <row r="177" spans="1:74" s="264" customFormat="1" x14ac:dyDescent="0.2">
      <c r="A177" s="263"/>
      <c r="B177" s="263"/>
      <c r="C177" s="263"/>
      <c r="BV177" s="263"/>
    </row>
    <row r="178" spans="1:74" s="264" customFormat="1" x14ac:dyDescent="0.2">
      <c r="A178" s="263"/>
      <c r="B178" s="263"/>
      <c r="C178" s="263"/>
      <c r="BV178" s="263"/>
    </row>
    <row r="179" spans="1:74" s="264" customFormat="1" x14ac:dyDescent="0.2">
      <c r="A179" s="263"/>
      <c r="B179" s="263"/>
      <c r="C179" s="263"/>
      <c r="BV179" s="263"/>
    </row>
    <row r="180" spans="1:74" s="264" customFormat="1" x14ac:dyDescent="0.2">
      <c r="A180" s="263"/>
      <c r="B180" s="263"/>
      <c r="C180" s="263"/>
      <c r="BV180" s="263"/>
    </row>
    <row r="181" spans="1:74" s="264" customFormat="1" x14ac:dyDescent="0.2">
      <c r="A181" s="263"/>
      <c r="B181" s="263"/>
      <c r="C181" s="263"/>
      <c r="BV181" s="263"/>
    </row>
    <row r="182" spans="1:74" s="264" customFormat="1" x14ac:dyDescent="0.2">
      <c r="A182" s="263"/>
      <c r="B182" s="263"/>
      <c r="C182" s="263"/>
      <c r="BV182" s="263"/>
    </row>
    <row r="183" spans="1:74" s="264" customFormat="1" x14ac:dyDescent="0.2">
      <c r="A183" s="263"/>
      <c r="B183" s="263"/>
      <c r="C183" s="263"/>
      <c r="BV183" s="26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workbookViewId="0">
      <selection sqref="A1:A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36" t="s">
        <v>585</v>
      </c>
      <c r="B1" s="638" t="s">
        <v>586</v>
      </c>
      <c r="C1" s="639"/>
      <c r="D1" s="639"/>
      <c r="E1" s="639"/>
      <c r="F1" s="640"/>
      <c r="G1" s="638" t="s">
        <v>587</v>
      </c>
      <c r="H1" s="639"/>
      <c r="I1" s="639"/>
      <c r="J1" s="639"/>
      <c r="K1" s="640"/>
      <c r="L1" s="3"/>
      <c r="M1" s="3"/>
      <c r="N1" s="3"/>
      <c r="O1" s="3"/>
      <c r="P1" s="3"/>
      <c r="Q1" s="3"/>
      <c r="R1" s="3"/>
    </row>
    <row r="2" spans="1:18" ht="13.5" thickBot="1" x14ac:dyDescent="0.25">
      <c r="A2" s="637"/>
      <c r="B2" s="443" t="s">
        <v>254</v>
      </c>
      <c r="C2" s="444" t="s">
        <v>588</v>
      </c>
      <c r="D2" s="444" t="s">
        <v>589</v>
      </c>
      <c r="E2" s="444" t="s">
        <v>590</v>
      </c>
      <c r="F2" s="445" t="s">
        <v>591</v>
      </c>
      <c r="G2" s="443" t="s">
        <v>254</v>
      </c>
      <c r="H2" s="444" t="s">
        <v>588</v>
      </c>
      <c r="I2" s="444" t="s">
        <v>589</v>
      </c>
      <c r="J2" s="444" t="s">
        <v>590</v>
      </c>
      <c r="K2" s="445" t="s">
        <v>591</v>
      </c>
      <c r="L2" s="3"/>
      <c r="M2" s="446"/>
      <c r="N2" s="3"/>
      <c r="O2" s="3"/>
      <c r="P2" s="3"/>
      <c r="Q2" s="3"/>
      <c r="R2" s="3"/>
    </row>
    <row r="3" spans="1:18" x14ac:dyDescent="0.2">
      <c r="A3" s="447" t="s">
        <v>592</v>
      </c>
      <c r="B3" s="448">
        <f>SUM(C3:F3)</f>
        <v>113.577</v>
      </c>
      <c r="C3" s="449">
        <v>94.888999999999996</v>
      </c>
      <c r="D3" s="450">
        <v>2.831</v>
      </c>
      <c r="E3" s="450"/>
      <c r="F3" s="451">
        <v>15.856999999999999</v>
      </c>
      <c r="G3" s="448">
        <f>B3/3.6</f>
        <v>31.549166666666665</v>
      </c>
      <c r="H3" s="452">
        <f>C3/3.6</f>
        <v>26.358055555555552</v>
      </c>
      <c r="I3" s="452">
        <f>D3/3.6</f>
        <v>0.7863888888888888</v>
      </c>
      <c r="J3" s="452">
        <f>E3/3.6</f>
        <v>0</v>
      </c>
      <c r="K3" s="453">
        <f>F3/3.6</f>
        <v>4.4047222222222215</v>
      </c>
      <c r="L3" s="3"/>
      <c r="M3" s="454"/>
      <c r="N3" s="455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635" t="s">
        <v>588</v>
      </c>
      <c r="B7" s="635"/>
      <c r="C7" s="635"/>
      <c r="D7" s="63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56" t="s">
        <v>593</v>
      </c>
      <c r="B8" s="456">
        <v>2015</v>
      </c>
      <c r="C8" s="456">
        <v>2020</v>
      </c>
      <c r="D8" s="456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594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595</v>
      </c>
      <c r="B10" s="3"/>
      <c r="C10" s="388">
        <v>0.4</v>
      </c>
      <c r="D10" s="38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596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597</v>
      </c>
      <c r="B12" s="3"/>
      <c r="C12" s="388">
        <v>0.5</v>
      </c>
      <c r="D12" s="38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598</v>
      </c>
      <c r="B13" s="3"/>
      <c r="C13" s="388">
        <v>0.4</v>
      </c>
      <c r="D13" s="38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599</v>
      </c>
      <c r="B14" s="3"/>
      <c r="C14" s="457">
        <f>(C11/C12)*C13</f>
        <v>15.311999999999998</v>
      </c>
      <c r="D14" s="457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600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601</v>
      </c>
      <c r="B16" s="457">
        <f>C3</f>
        <v>94.888999999999996</v>
      </c>
      <c r="C16" s="457">
        <f>C15/1000</f>
        <v>55.12319999999999</v>
      </c>
      <c r="D16" s="473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57"/>
      <c r="C17" s="457"/>
      <c r="D17" s="45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635" t="s">
        <v>602</v>
      </c>
      <c r="B18" s="635"/>
      <c r="C18" s="635"/>
      <c r="D18" s="63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56" t="s">
        <v>593</v>
      </c>
      <c r="B19" s="456"/>
      <c r="C19" s="456">
        <v>2020</v>
      </c>
      <c r="D19" s="456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603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604</v>
      </c>
      <c r="B21" s="3"/>
      <c r="C21" s="458">
        <v>0.127</v>
      </c>
      <c r="D21" s="459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605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606</v>
      </c>
      <c r="B23" s="3"/>
      <c r="C23" s="442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607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608</v>
      </c>
      <c r="B25" s="3"/>
      <c r="C25" s="442">
        <f>C24*3600</f>
        <v>20047.670103092783</v>
      </c>
      <c r="D25" s="442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609</v>
      </c>
      <c r="B26" s="3"/>
      <c r="C26" s="457">
        <f>C25/1000</f>
        <v>20.047670103092784</v>
      </c>
      <c r="D26" s="473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635" t="s">
        <v>610</v>
      </c>
      <c r="B28" s="635"/>
      <c r="C28" s="635"/>
      <c r="D28" s="63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56" t="s">
        <v>593</v>
      </c>
      <c r="B29" s="456">
        <v>2015</v>
      </c>
      <c r="C29" s="456">
        <v>2020</v>
      </c>
      <c r="D29" s="456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37"/>
      <c r="U29" s="438"/>
      <c r="V29" s="439" t="s">
        <v>571</v>
      </c>
      <c r="W29" s="439" t="s">
        <v>572</v>
      </c>
      <c r="X29" s="439" t="s">
        <v>573</v>
      </c>
      <c r="Y29" s="439" t="s">
        <v>574</v>
      </c>
    </row>
    <row r="30" spans="1:30" x14ac:dyDescent="0.2">
      <c r="A30" s="3" t="s">
        <v>611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37"/>
      <c r="U30" s="437" t="s">
        <v>575</v>
      </c>
      <c r="V30" s="437" t="s">
        <v>576</v>
      </c>
      <c r="W30" s="437" t="s">
        <v>577</v>
      </c>
      <c r="X30" s="437" t="s">
        <v>578</v>
      </c>
      <c r="Y30" s="437" t="s">
        <v>579</v>
      </c>
    </row>
    <row r="31" spans="1:30" ht="15" x14ac:dyDescent="0.25">
      <c r="A31" s="3" t="s">
        <v>612</v>
      </c>
      <c r="B31" s="388">
        <v>0.25</v>
      </c>
      <c r="C31" s="388">
        <f>B31</f>
        <v>0.25</v>
      </c>
      <c r="D31" s="38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38" t="s">
        <v>580</v>
      </c>
      <c r="U31" s="437">
        <v>311.65399600000001</v>
      </c>
      <c r="V31" s="437">
        <v>8845.3479520000001</v>
      </c>
      <c r="W31" s="437">
        <v>22461.807872000001</v>
      </c>
      <c r="X31" s="437">
        <v>28682.778717000001</v>
      </c>
      <c r="Y31" s="437">
        <v>8653.6989190000004</v>
      </c>
    </row>
    <row r="32" spans="1:30" ht="15" x14ac:dyDescent="0.25">
      <c r="A32" s="3" t="s">
        <v>613</v>
      </c>
      <c r="B32" s="442">
        <f>B30/B31</f>
        <v>72</v>
      </c>
      <c r="C32" s="442">
        <f>C30/C31</f>
        <v>312</v>
      </c>
      <c r="D32" s="442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38" t="s">
        <v>581</v>
      </c>
      <c r="U32" s="440">
        <v>2.9555506715861044E-3</v>
      </c>
      <c r="V32" s="471">
        <v>8.3884289678565108E-2</v>
      </c>
      <c r="W32" s="471">
        <v>0.21301511353355998</v>
      </c>
      <c r="X32" s="471">
        <v>0.2720112913295839</v>
      </c>
      <c r="Y32" s="471">
        <v>8.2066798372623442E-2</v>
      </c>
      <c r="AA32" s="472">
        <f>SUM(V32:Y32)</f>
        <v>0.65097749291433249</v>
      </c>
      <c r="AD32" t="s">
        <v>642</v>
      </c>
    </row>
    <row r="33" spans="1:30" ht="15" x14ac:dyDescent="0.25">
      <c r="A33" s="3" t="s">
        <v>614</v>
      </c>
      <c r="B33" s="388">
        <v>0.8</v>
      </c>
      <c r="C33" s="388">
        <f>B33</f>
        <v>0.8</v>
      </c>
      <c r="D33" s="38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38" t="s">
        <v>93</v>
      </c>
      <c r="U33" s="441"/>
      <c r="V33" s="441">
        <v>8</v>
      </c>
      <c r="W33" s="441">
        <v>6</v>
      </c>
      <c r="X33" s="441">
        <v>3.7</v>
      </c>
      <c r="Y33" s="441">
        <v>1.9</v>
      </c>
      <c r="AD33" s="388">
        <v>0.65</v>
      </c>
    </row>
    <row r="34" spans="1:30" ht="15" x14ac:dyDescent="0.25">
      <c r="A34" s="3" t="s">
        <v>615</v>
      </c>
      <c r="B34" s="388">
        <v>0.7</v>
      </c>
      <c r="C34" s="388">
        <f>B34</f>
        <v>0.7</v>
      </c>
      <c r="D34" s="38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38" t="s">
        <v>582</v>
      </c>
      <c r="U34" s="437"/>
      <c r="V34" s="437">
        <v>1387</v>
      </c>
      <c r="W34" s="437">
        <v>2642</v>
      </c>
      <c r="X34" s="437">
        <v>2080</v>
      </c>
      <c r="Y34" s="437">
        <v>322</v>
      </c>
    </row>
    <row r="35" spans="1:30" ht="15" x14ac:dyDescent="0.25">
      <c r="A35" s="3" t="s">
        <v>616</v>
      </c>
      <c r="B35" s="442">
        <f>(B32*8760*B33*B34)</f>
        <v>353203.19999999995</v>
      </c>
      <c r="C35" s="442">
        <f>(C32*8760*C33*C34)</f>
        <v>1530547.2</v>
      </c>
      <c r="D35" s="442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38" t="s">
        <v>583</v>
      </c>
      <c r="U35" s="437"/>
      <c r="V35" s="470">
        <f t="shared" ref="V35:X35" si="0">V34*110%</f>
        <v>1525.7</v>
      </c>
      <c r="W35" s="470">
        <f>W34*110%</f>
        <v>2906.2000000000003</v>
      </c>
      <c r="X35" s="470">
        <f t="shared" si="0"/>
        <v>2288</v>
      </c>
      <c r="Y35" s="470">
        <f>Y34*110%</f>
        <v>354.20000000000005</v>
      </c>
    </row>
    <row r="36" spans="1:30" x14ac:dyDescent="0.2">
      <c r="A36" s="3" t="s">
        <v>587</v>
      </c>
      <c r="B36" s="457">
        <f>B35/10^6</f>
        <v>0.35320319999999994</v>
      </c>
      <c r="C36" s="457">
        <f>C35/10^6</f>
        <v>1.5305472</v>
      </c>
      <c r="D36" s="457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2"/>
      <c r="U36" s="442"/>
      <c r="V36" s="442"/>
      <c r="W36" s="442"/>
      <c r="X36" s="442"/>
      <c r="Y36" s="442"/>
    </row>
    <row r="37" spans="1:30" x14ac:dyDescent="0.2">
      <c r="A37" s="3" t="s">
        <v>617</v>
      </c>
      <c r="B37" s="442">
        <f>B36*3600</f>
        <v>1271.5315199999998</v>
      </c>
      <c r="C37" s="442">
        <f>C36*3600</f>
        <v>5509.9699199999995</v>
      </c>
      <c r="D37" s="442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2" t="s">
        <v>584</v>
      </c>
      <c r="U37" s="442"/>
      <c r="V37" s="442"/>
      <c r="W37" s="442"/>
      <c r="X37" s="442"/>
      <c r="Y37" s="442"/>
    </row>
    <row r="38" spans="1:30" x14ac:dyDescent="0.2">
      <c r="A38" s="3" t="s">
        <v>586</v>
      </c>
      <c r="B38" s="1">
        <f>B37/1000</f>
        <v>1.2715315199999997</v>
      </c>
      <c r="C38" s="1">
        <f>C37/1000</f>
        <v>5.5099699199999996</v>
      </c>
      <c r="D38" s="474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629</v>
      </c>
      <c r="Z39">
        <v>2018</v>
      </c>
    </row>
    <row r="40" spans="1:30" ht="15" x14ac:dyDescent="0.25">
      <c r="A40" s="635" t="s">
        <v>591</v>
      </c>
      <c r="B40" s="635"/>
      <c r="C40" s="635"/>
      <c r="D40" s="63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630</v>
      </c>
      <c r="V40">
        <v>101.7</v>
      </c>
      <c r="W40" s="3" t="s">
        <v>13</v>
      </c>
      <c r="Y40" t="s">
        <v>633</v>
      </c>
      <c r="Z40">
        <v>4.6900000000000004</v>
      </c>
      <c r="AA40" t="s">
        <v>13</v>
      </c>
    </row>
    <row r="41" spans="1:30" ht="15" x14ac:dyDescent="0.25">
      <c r="A41" s="456" t="s">
        <v>593</v>
      </c>
      <c r="B41" s="456">
        <v>2015</v>
      </c>
      <c r="C41" s="3"/>
      <c r="D41" s="456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632</v>
      </c>
      <c r="T41" s="3" t="s">
        <v>631</v>
      </c>
      <c r="U41" s="3"/>
      <c r="V41">
        <v>26.74</v>
      </c>
      <c r="W41" s="3" t="s">
        <v>13</v>
      </c>
      <c r="Y41" t="s">
        <v>634</v>
      </c>
      <c r="Z41">
        <v>37.79</v>
      </c>
      <c r="AA41" t="s">
        <v>13</v>
      </c>
    </row>
    <row r="42" spans="1:30" ht="15" x14ac:dyDescent="0.25">
      <c r="A42" s="3" t="s">
        <v>618</v>
      </c>
      <c r="B42" s="1">
        <f>F3</f>
        <v>15.856999999999999</v>
      </c>
      <c r="C42" s="3"/>
      <c r="D42" s="475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635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635" t="s">
        <v>619</v>
      </c>
      <c r="B45" s="635"/>
      <c r="C45" s="635"/>
      <c r="D45" s="63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56" t="s">
        <v>593</v>
      </c>
      <c r="B46" s="456">
        <v>2018</v>
      </c>
      <c r="C46" s="456">
        <v>2020</v>
      </c>
      <c r="D46" s="456">
        <v>2030</v>
      </c>
      <c r="E46" s="3"/>
      <c r="F46" s="456" t="s">
        <v>620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621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637</v>
      </c>
    </row>
    <row r="48" spans="1:30" ht="30" customHeight="1" x14ac:dyDescent="0.25">
      <c r="A48" s="460" t="s">
        <v>622</v>
      </c>
      <c r="B48" s="461">
        <v>0.5</v>
      </c>
      <c r="C48" s="461">
        <f>B48</f>
        <v>0.5</v>
      </c>
      <c r="D48" s="461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636</v>
      </c>
      <c r="Z48" s="641" t="s">
        <v>574</v>
      </c>
      <c r="AA48" s="642"/>
      <c r="AB48" s="642"/>
    </row>
    <row r="49" spans="1:28" x14ac:dyDescent="0.2">
      <c r="A49" s="3" t="s">
        <v>623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633</v>
      </c>
      <c r="Z49" s="3">
        <v>0.35792764326805798</v>
      </c>
    </row>
    <row r="50" spans="1:28" x14ac:dyDescent="0.2">
      <c r="A50" s="3" t="s">
        <v>624</v>
      </c>
      <c r="B50" s="388">
        <v>1</v>
      </c>
      <c r="C50" s="388">
        <f>B50</f>
        <v>1</v>
      </c>
      <c r="D50" s="38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634</v>
      </c>
      <c r="Z50" s="3">
        <v>0.5922178577259587</v>
      </c>
    </row>
    <row r="51" spans="1:28" x14ac:dyDescent="0.2">
      <c r="A51" s="3" t="s">
        <v>625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635</v>
      </c>
      <c r="Z51" s="3">
        <v>5.2470383697893502E-2</v>
      </c>
    </row>
    <row r="52" spans="1:28" x14ac:dyDescent="0.2">
      <c r="A52" s="3" t="s">
        <v>626</v>
      </c>
      <c r="B52" s="457">
        <f>B51/10^6</f>
        <v>1.752</v>
      </c>
      <c r="C52" s="457">
        <f>C51/10^6</f>
        <v>3.0659999999999998</v>
      </c>
      <c r="D52" s="457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76" t="s">
        <v>641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627</v>
      </c>
      <c r="B53" s="442">
        <f>B52*3600</f>
        <v>6307.2</v>
      </c>
      <c r="C53" s="442">
        <f>C52*3600</f>
        <v>11037.599999999999</v>
      </c>
      <c r="D53" s="442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638</v>
      </c>
      <c r="Z53" s="641" t="s">
        <v>573</v>
      </c>
      <c r="AA53" s="642"/>
      <c r="AB53" s="642"/>
    </row>
    <row r="54" spans="1:28" x14ac:dyDescent="0.2">
      <c r="A54" s="3" t="s">
        <v>628</v>
      </c>
      <c r="B54" s="1">
        <f>B53/1000</f>
        <v>6.3071999999999999</v>
      </c>
      <c r="C54" s="1">
        <f>C53/1000</f>
        <v>11.037599999999999</v>
      </c>
      <c r="D54" s="474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633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634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635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76" t="s">
        <v>641</v>
      </c>
      <c r="AA57" s="3"/>
    </row>
    <row r="58" spans="1:28" ht="15" x14ac:dyDescent="0.25">
      <c r="A58" s="462" t="str">
        <f>A54</f>
        <v>Excess Heat Production (PJ)</v>
      </c>
      <c r="B58" s="462">
        <v>2020</v>
      </c>
      <c r="C58" s="462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3" t="str">
        <f>A7</f>
        <v>Power Plants</v>
      </c>
      <c r="B59" s="464">
        <f>C16</f>
        <v>55.12319999999999</v>
      </c>
      <c r="C59" s="464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639</v>
      </c>
      <c r="Z59" s="641" t="s">
        <v>640</v>
      </c>
      <c r="AA59" s="642"/>
      <c r="AB59" s="642"/>
    </row>
    <row r="60" spans="1:28" x14ac:dyDescent="0.2">
      <c r="A60" s="463" t="str">
        <f>A18</f>
        <v>Excess Renewable Electricity via Heat Pump</v>
      </c>
      <c r="B60" s="465">
        <f>C26</f>
        <v>20.047670103092784</v>
      </c>
      <c r="C60" s="465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633</v>
      </c>
      <c r="Z60">
        <v>0.20014125552486003</v>
      </c>
    </row>
    <row r="61" spans="1:28" x14ac:dyDescent="0.2">
      <c r="A61" s="463" t="str">
        <f>A28</f>
        <v>Waste Incinteration</v>
      </c>
      <c r="B61" s="464">
        <f>C38</f>
        <v>5.5099699199999996</v>
      </c>
      <c r="C61" s="464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634</v>
      </c>
      <c r="Z61">
        <v>0.54761388560430635</v>
      </c>
    </row>
    <row r="62" spans="1:28" x14ac:dyDescent="0.2">
      <c r="A62" s="463" t="str">
        <f>A40</f>
        <v>Industrial Excess Heat</v>
      </c>
      <c r="B62" s="464">
        <f>B42</f>
        <v>15.856999999999999</v>
      </c>
      <c r="C62" s="464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635</v>
      </c>
      <c r="Z62" s="3">
        <v>0.25224485887083364</v>
      </c>
    </row>
    <row r="63" spans="1:28" ht="13.5" thickBot="1" x14ac:dyDescent="0.25">
      <c r="A63" s="466" t="str">
        <f>A45</f>
        <v>Data Centres</v>
      </c>
      <c r="B63" s="467">
        <f>C54</f>
        <v>11.037599999999999</v>
      </c>
      <c r="C63" s="467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76" t="s">
        <v>641</v>
      </c>
    </row>
    <row r="64" spans="1:28" ht="15.75" thickTop="1" x14ac:dyDescent="0.25">
      <c r="A64" s="468" t="s">
        <v>254</v>
      </c>
      <c r="B64" s="469">
        <f>SUM(B59:B63)</f>
        <v>107.57544002309277</v>
      </c>
      <c r="C64" s="469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2022-03-30T15:23:44Z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464545845985412</vt:r8>
  </property>
</Properties>
</file>