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GitHub\Bald-Guy-From-Die-Hard\Recovery\"/>
    </mc:Choice>
  </mc:AlternateContent>
  <xr:revisionPtr revIDLastSave="0" documentId="12_ncr:500000_{23B94123-F525-4646-B97E-92602EEF5677}" xr6:coauthVersionLast="31" xr6:coauthVersionMax="31" xr10:uidLastSave="{00000000-0000-0000-0000-000000000000}"/>
  <bookViews>
    <workbookView xWindow="1296" yWindow="0" windowWidth="16284" windowHeight="6108" activeTab="1" xr2:uid="{00000000-000D-0000-FFFF-FFFF00000000}"/>
  </bookViews>
  <sheets>
    <sheet name="Altimeter Vent Size" sheetId="6" r:id="rId1"/>
    <sheet name="Black Powder Calculator" sheetId="1" r:id="rId2"/>
    <sheet name="Screw Shear Strength" sheetId="5" r:id="rId3"/>
    <sheet name="Black Powder Calc Formulas" sheetId="4" r:id="rId4"/>
  </sheets>
  <calcPr calcId="162913"/>
</workbook>
</file>

<file path=xl/calcChain.xml><?xml version="1.0" encoding="utf-8"?>
<calcChain xmlns="http://schemas.openxmlformats.org/spreadsheetml/2006/main">
  <c r="B22" i="1" l="1"/>
  <c r="C18" i="4" l="1"/>
  <c r="D18" i="4"/>
  <c r="D17" i="4"/>
  <c r="B13" i="6"/>
  <c r="B5" i="6"/>
  <c r="B7" i="6"/>
  <c r="B8" i="6" s="1"/>
  <c r="B15" i="1"/>
  <c r="B19" i="1" s="1"/>
  <c r="B13" i="1"/>
  <c r="B14" i="1"/>
  <c r="C7" i="5"/>
  <c r="E7" i="5" s="1"/>
  <c r="B18" i="1" s="1"/>
  <c r="C8" i="5"/>
  <c r="D8" i="5" s="1"/>
  <c r="C9" i="5"/>
  <c r="D9" i="5" s="1"/>
  <c r="C10" i="5"/>
  <c r="D10" i="5" s="1"/>
  <c r="E10" i="5"/>
  <c r="C6" i="5"/>
  <c r="E6" i="5" s="1"/>
  <c r="C19" i="4"/>
  <c r="D19" i="4" s="1"/>
  <c r="C20" i="4" l="1"/>
  <c r="E8" i="5"/>
  <c r="B9" i="6"/>
  <c r="B11" i="6"/>
  <c r="B10" i="6"/>
  <c r="D6" i="5"/>
  <c r="D7" i="5"/>
  <c r="B17" i="1" s="1"/>
  <c r="E9" i="5"/>
  <c r="B16" i="1"/>
  <c r="B20" i="1" s="1"/>
  <c r="B21" i="1" l="1"/>
  <c r="D20" i="4"/>
  <c r="C21" i="4"/>
  <c r="C22" i="4" l="1"/>
  <c r="D21" i="4"/>
  <c r="C23" i="4" l="1"/>
  <c r="D22" i="4"/>
  <c r="C24" i="4" l="1"/>
  <c r="D23" i="4"/>
  <c r="D24" i="4" l="1"/>
  <c r="C25" i="4"/>
  <c r="D25" i="4" l="1"/>
  <c r="C26" i="4"/>
  <c r="C27" i="4" l="1"/>
  <c r="D26" i="4"/>
  <c r="C28" i="4" l="1"/>
  <c r="D27" i="4"/>
  <c r="D28" i="4" l="1"/>
  <c r="C29" i="4"/>
  <c r="D29" i="4" l="1"/>
  <c r="C30" i="4"/>
  <c r="C31" i="4" l="1"/>
  <c r="D30" i="4"/>
  <c r="D31" i="4" l="1"/>
  <c r="C32" i="4"/>
  <c r="C33" i="4" l="1"/>
  <c r="D32" i="4"/>
  <c r="C34" i="4" l="1"/>
  <c r="D33" i="4"/>
  <c r="C35" i="4" l="1"/>
  <c r="D34" i="4"/>
  <c r="C36" i="4" l="1"/>
  <c r="D35" i="4"/>
  <c r="C37" i="4" l="1"/>
  <c r="D37" i="4" s="1"/>
  <c r="D36" i="4"/>
</calcChain>
</file>

<file path=xl/sharedStrings.xml><?xml version="1.0" encoding="utf-8"?>
<sst xmlns="http://schemas.openxmlformats.org/spreadsheetml/2006/main" count="121" uniqueCount="93">
  <si>
    <t>Black powder - Shear Pin Calculator</t>
  </si>
  <si>
    <t>Screw</t>
  </si>
  <si>
    <t>Size</t>
  </si>
  <si>
    <t>Diameters (in)</t>
  </si>
  <si>
    <t>Areas (sq in)</t>
  </si>
  <si>
    <t>Shear Strength (lbs)</t>
  </si>
  <si>
    <t>Minor</t>
  </si>
  <si>
    <t>Min</t>
  </si>
  <si>
    <t>Max</t>
  </si>
  <si>
    <t>M2</t>
  </si>
  <si>
    <t>M3</t>
  </si>
  <si>
    <t>From: http://www.feretich.com/Rocketry/Resources/shearPins.html</t>
  </si>
  <si>
    <t>Screw size</t>
  </si>
  <si>
    <t>Number of screws</t>
  </si>
  <si>
    <t>2-56</t>
  </si>
  <si>
    <t>6-32</t>
  </si>
  <si>
    <t>inches</t>
  </si>
  <si>
    <t>ft</t>
  </si>
  <si>
    <t>lbs</t>
  </si>
  <si>
    <t>grams</t>
  </si>
  <si>
    <t>psi</t>
  </si>
  <si>
    <t>Body tube diameter</t>
  </si>
  <si>
    <t>Body tube length</t>
  </si>
  <si>
    <t>Force to overcome friction</t>
  </si>
  <si>
    <t>Ejection charge pressure</t>
  </si>
  <si>
    <t>Force on nosecone at max altitude</t>
  </si>
  <si>
    <t>4-40</t>
  </si>
  <si>
    <t>Ejection charge force at ground level</t>
  </si>
  <si>
    <t>Max altitude</t>
  </si>
  <si>
    <t>Black powder weight</t>
  </si>
  <si>
    <t>Ground level pressure</t>
  </si>
  <si>
    <t>Max altitude pressure</t>
  </si>
  <si>
    <t>Min shear strength of screws</t>
  </si>
  <si>
    <t>Max shear strength of screws</t>
  </si>
  <si>
    <t>ft per meter</t>
  </si>
  <si>
    <t>Pa=101325*(1 - 2.25577*10^-5*Altitude(meters))^5.25588</t>
  </si>
  <si>
    <t>Atmospheric pressure</t>
  </si>
  <si>
    <t>psi=0.0001450326*Pa</t>
  </si>
  <si>
    <t>Pressure</t>
  </si>
  <si>
    <t>ft=3.28*m</t>
  </si>
  <si>
    <t>Nylon 6/6 Shear Strength (psi)</t>
  </si>
  <si>
    <t>Entered values</t>
  </si>
  <si>
    <t>Calculated Values</t>
  </si>
  <si>
    <t>Ground level altitude</t>
  </si>
  <si>
    <t>Must be greater than force on nosecone at max altitude</t>
  </si>
  <si>
    <t>Ejection charge net force at max altitude</t>
  </si>
  <si>
    <t>Must be less than ejection charge force</t>
  </si>
  <si>
    <t>Black powder pressure</t>
  </si>
  <si>
    <t>g=454*lbs</t>
  </si>
  <si>
    <t>Weight</t>
  </si>
  <si>
    <t>R=22.16 (ft-lbf/lbm R)</t>
  </si>
  <si>
    <t>in=12*ft</t>
  </si>
  <si>
    <t>T=3307 (deg R)</t>
  </si>
  <si>
    <t>Black powder combustion temp</t>
  </si>
  <si>
    <t>Combustion gas constant for FFFF black powder</t>
  </si>
  <si>
    <t>length</t>
  </si>
  <si>
    <t>dP=Wp(lbs)*R*12*T/(3.14159*(D/2)^2*L)</t>
  </si>
  <si>
    <t>Diameter of tube</t>
  </si>
  <si>
    <t>D</t>
  </si>
  <si>
    <t>Length of tube</t>
  </si>
  <si>
    <t>L</t>
  </si>
  <si>
    <t>Black poweder equation from www.info-central.org/recovery_powder.shtml</t>
  </si>
  <si>
    <t>Good Combination?</t>
  </si>
  <si>
    <t>Should be greater than the max shear force of the screws</t>
  </si>
  <si>
    <t>Rocket</t>
  </si>
  <si>
    <t>Rocket Diameter</t>
  </si>
  <si>
    <t>Bay Length</t>
  </si>
  <si>
    <t>Single Port Diameter</t>
  </si>
  <si>
    <t>Two Port Diameter</t>
  </si>
  <si>
    <t>Three Port Diameter</t>
  </si>
  <si>
    <t>sq inches</t>
  </si>
  <si>
    <t>Total Port Area</t>
  </si>
  <si>
    <t>Bay Volume</t>
  </si>
  <si>
    <t>cu in</t>
  </si>
  <si>
    <t xml:space="preserve">#2 Nylon Screws </t>
  </si>
  <si>
    <r>
      <t> </t>
    </r>
    <r>
      <rPr>
        <b/>
        <sz val="12"/>
        <rFont val="Arial"/>
      </rPr>
      <t>#4 Nylon Screws</t>
    </r>
  </si>
  <si>
    <t xml:space="preserve"># of Pins </t>
  </si>
  <si>
    <t>Peak Load (lbs) </t>
  </si>
  <si>
    <t>Peak Load (Each Pin)</t>
  </si>
  <si>
    <t>Avgs</t>
  </si>
  <si>
    <t>http://www.rocketmaterials.org/datastore/cord/Shear_Pins/index.php</t>
  </si>
  <si>
    <t>From Drake D</t>
  </si>
  <si>
    <t>Four Port Diameter</t>
  </si>
  <si>
    <t>Altimeter Vent Size Calculator</t>
  </si>
  <si>
    <t>Ebay Parameters</t>
  </si>
  <si>
    <t>Black Powder Calculator Formulas</t>
  </si>
  <si>
    <t>Screw Shear Strength</t>
  </si>
  <si>
    <t>From: Modern High Power Rocketry</t>
  </si>
  <si>
    <t>From: Perfect Flite</t>
  </si>
  <si>
    <t>Altitude</t>
  </si>
  <si>
    <t>Chuckler</t>
  </si>
  <si>
    <t>Eq CO2 Mass</t>
  </si>
  <si>
    <t>Eq CO2 mass is 5*black 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</si>
</sst>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13" x14ac:knownFonts="1">
    <font>
      <sz val="10"/>
      <name val="Arial"/>
    </font>
    <font>
      <sz val="8"/>
      <name val="Arial"/>
    </font>
    <font>
      <sz val="10"/>
      <name val="Arial"/>
      <family val="2"/>
    </font>
    <font>
      <sz val="10"/>
      <color indexed="12"/>
      <name val="Arial"/>
    </font>
    <font>
      <b/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</font>
    <font>
      <sz val="12"/>
      <name val="Arial"/>
    </font>
    <font>
      <b/>
      <sz val="12"/>
      <name val="Arial"/>
    </font>
    <font>
      <b/>
      <i/>
      <sz val="10"/>
      <name val="Arial"/>
    </font>
    <font>
      <sz val="10"/>
      <color indexed="8"/>
      <name val="Arial"/>
      <family val="2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2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0" fontId="0" fillId="3" borderId="1" xfId="0" applyFill="1" applyBorder="1"/>
    <xf numFmtId="0" fontId="0" fillId="4" borderId="1" xfId="0" applyFill="1" applyBorder="1"/>
    <xf numFmtId="0" fontId="5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/>
    <xf numFmtId="0" fontId="0" fillId="3" borderId="1" xfId="0" applyFill="1" applyBorder="1" applyAlignment="1"/>
    <xf numFmtId="0" fontId="0" fillId="4" borderId="1" xfId="0" applyFill="1" applyBorder="1" applyAlignment="1"/>
    <xf numFmtId="2" fontId="7" fillId="0" borderId="1" xfId="0" applyNumberFormat="1" applyFont="1" applyBorder="1"/>
    <xf numFmtId="0" fontId="3" fillId="0" borderId="0" xfId="0" applyFont="1"/>
    <xf numFmtId="0" fontId="6" fillId="0" borderId="0" xfId="0" applyFont="1"/>
    <xf numFmtId="0" fontId="0" fillId="5" borderId="1" xfId="0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9" borderId="1" xfId="0" applyFill="1" applyBorder="1"/>
    <xf numFmtId="0" fontId="6" fillId="9" borderId="1" xfId="0" applyFont="1" applyFill="1" applyBorder="1"/>
    <xf numFmtId="49" fontId="6" fillId="9" borderId="1" xfId="0" applyNumberFormat="1" applyFont="1" applyFill="1" applyBorder="1" applyAlignment="1">
      <alignment horizontal="right"/>
    </xf>
    <xf numFmtId="2" fontId="0" fillId="9" borderId="1" xfId="0" applyNumberFormat="1" applyFill="1" applyBorder="1"/>
    <xf numFmtId="0" fontId="11" fillId="0" borderId="1" xfId="0" applyFont="1" applyBorder="1"/>
    <xf numFmtId="0" fontId="12" fillId="0" borderId="0" xfId="0" applyFont="1"/>
    <xf numFmtId="165" fontId="0" fillId="0" borderId="1" xfId="0" applyNumberFormat="1" applyBorder="1"/>
    <xf numFmtId="0" fontId="5" fillId="8" borderId="1" xfId="0" applyFont="1" applyFill="1" applyBorder="1" applyAlignment="1">
      <alignment horizontal="righ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0" fontId="0" fillId="9" borderId="5" xfId="0" applyFill="1" applyBorder="1"/>
  </cellXfs>
  <cellStyles count="1">
    <cellStyle name="Normal" xfId="0" builtinId="0"/>
  </cellStyles>
  <dxfs count="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1"/>
        </patternFill>
      </fill>
    </dxf>
    <dxf>
      <font>
        <condense val="0"/>
        <extend val="0"/>
        <color indexed="11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Atmospheric Pressure vs Altitude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'Black Powder Calc Formulas'!$C$17:$C$37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cat>
          <c:val>
            <c:numRef>
              <c:f>'Black Powder Calc Formulas'!$D$17:$D$37</c:f>
              <c:numCache>
                <c:formatCode>0.0</c:formatCode>
                <c:ptCount val="21"/>
                <c:pt idx="0">
                  <c:v>14.695428195</c:v>
                </c:pt>
                <c:pt idx="1">
                  <c:v>13.663685503684709</c:v>
                </c:pt>
                <c:pt idx="2">
                  <c:v>12.691397542537908</c:v>
                </c:pt>
                <c:pt idx="3">
                  <c:v>11.775906992470363</c:v>
                </c:pt>
                <c:pt idx="4">
                  <c:v>10.914639978468539</c:v>
                </c:pt>
                <c:pt idx="5">
                  <c:v>10.105104590103352</c:v>
                </c:pt>
                <c:pt idx="6">
                  <c:v>9.3448894074607711</c:v>
                </c:pt>
                <c:pt idx="7">
                  <c:v>8.6316620325527094</c:v>
                </c:pt>
                <c:pt idx="8">
                  <c:v>7.9631676262684428</c:v>
                </c:pt>
                <c:pt idx="9">
                  <c:v>7.3372274509282569</c:v>
                </c:pt>
                <c:pt idx="10">
                  <c:v>6.7517374185025902</c:v>
                </c:pt>
                <c:pt idx="11">
                  <c:v>6.2046666445618079</c:v>
                </c:pt>
                <c:pt idx="12">
                  <c:v>5.6940560080233444</c:v>
                </c:pt>
                <c:pt idx="13">
                  <c:v>5.2180167167649509</c:v>
                </c:pt>
                <c:pt idx="14">
                  <c:v>4.7747288791746234</c:v>
                </c:pt>
                <c:pt idx="15">
                  <c:v>4.3624400817098765</c:v>
                </c:pt>
                <c:pt idx="16">
                  <c:v>3.9794639725411169</c:v>
                </c:pt>
                <c:pt idx="17">
                  <c:v>3.6241788513560729</c:v>
                </c:pt>
                <c:pt idx="18">
                  <c:v>3.2950262654045783</c:v>
                </c:pt>
                <c:pt idx="19">
                  <c:v>2.9905096118654972</c:v>
                </c:pt>
                <c:pt idx="20">
                  <c:v>2.7091927466199941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E-4210-8D9E-12DFF805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72512"/>
        <c:axId val="70274432"/>
      </c:lineChart>
      <c:catAx>
        <c:axId val="7027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(ft)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74432"/>
        <c:crosses val="autoZero"/>
        <c:auto val="1"/>
        <c:lblAlgn val="ctr"/>
        <c:lblOffset val="100"/>
        <c:noMultiLvlLbl val="0"/>
      </c:catAx>
      <c:valAx>
        <c:axId val="7027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(psi)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0272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13</xdr:row>
      <xdr:rowOff>104775</xdr:rowOff>
    </xdr:from>
    <xdr:to>
      <xdr:col>13</xdr:col>
      <xdr:colOff>19050</xdr:colOff>
      <xdr:row>30</xdr:row>
      <xdr:rowOff>95250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3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showGridLines="0" workbookViewId="0">
      <selection activeCell="B10" sqref="B10"/>
    </sheetView>
  </sheetViews>
  <sheetFormatPr defaultRowHeight="13.2" x14ac:dyDescent="0.25"/>
  <cols>
    <col min="1" max="1" width="28" customWidth="1"/>
    <col min="2" max="2" width="12.44140625" bestFit="1" customWidth="1"/>
  </cols>
  <sheetData>
    <row r="1" spans="1:6" ht="15.6" x14ac:dyDescent="0.3">
      <c r="A1" s="33" t="s">
        <v>83</v>
      </c>
    </row>
    <row r="2" spans="1:6" x14ac:dyDescent="0.25">
      <c r="A2" s="38" t="s">
        <v>84</v>
      </c>
      <c r="B2" s="36"/>
      <c r="C2" s="37"/>
    </row>
    <row r="3" spans="1:6" x14ac:dyDescent="0.25">
      <c r="A3" s="22" t="s">
        <v>65</v>
      </c>
      <c r="B3" s="27">
        <v>6</v>
      </c>
      <c r="C3" s="22" t="s">
        <v>16</v>
      </c>
    </row>
    <row r="4" spans="1:6" x14ac:dyDescent="0.25">
      <c r="A4" s="22" t="s">
        <v>66</v>
      </c>
      <c r="B4" s="27">
        <v>12</v>
      </c>
      <c r="C4" s="22" t="s">
        <v>16</v>
      </c>
      <c r="F4" s="17"/>
    </row>
    <row r="5" spans="1:6" x14ac:dyDescent="0.25">
      <c r="A5" s="22" t="s">
        <v>72</v>
      </c>
      <c r="B5" s="24">
        <f>3.14*(B3/2)^2*B4</f>
        <v>339.12</v>
      </c>
      <c r="C5" s="22" t="s">
        <v>73</v>
      </c>
      <c r="F5" s="17"/>
    </row>
    <row r="6" spans="1:6" x14ac:dyDescent="0.25">
      <c r="A6" s="36" t="s">
        <v>87</v>
      </c>
      <c r="B6" s="36"/>
      <c r="C6" s="37"/>
      <c r="F6" s="17"/>
    </row>
    <row r="7" spans="1:6" x14ac:dyDescent="0.25">
      <c r="A7" s="22" t="s">
        <v>71</v>
      </c>
      <c r="B7" s="26">
        <f>(B4^2*3.14^3*(B3/2)^4)/800^2</f>
        <v>0.56423039939999997</v>
      </c>
      <c r="C7" s="22" t="s">
        <v>70</v>
      </c>
    </row>
    <row r="8" spans="1:6" x14ac:dyDescent="0.25">
      <c r="A8" s="22" t="s">
        <v>67</v>
      </c>
      <c r="B8" s="26">
        <f>2*(B$7/3.14)^0.5</f>
        <v>0.8478</v>
      </c>
      <c r="C8" s="22" t="s">
        <v>16</v>
      </c>
    </row>
    <row r="9" spans="1:6" x14ac:dyDescent="0.25">
      <c r="A9" s="22" t="s">
        <v>68</v>
      </c>
      <c r="B9" s="26">
        <f>2*(B$7/(2*3.14))^0.5</f>
        <v>0.59948512908995499</v>
      </c>
      <c r="C9" s="22" t="s">
        <v>16</v>
      </c>
    </row>
    <row r="10" spans="1:6" x14ac:dyDescent="0.25">
      <c r="A10" s="22" t="s">
        <v>69</v>
      </c>
      <c r="B10" s="26">
        <f>2*(B$7/(3*3.14))^0.5</f>
        <v>0.48947755821896471</v>
      </c>
      <c r="C10" s="22" t="s">
        <v>16</v>
      </c>
    </row>
    <row r="11" spans="1:6" x14ac:dyDescent="0.25">
      <c r="A11" s="23" t="s">
        <v>82</v>
      </c>
      <c r="B11" s="26">
        <f>2*(B$7/(4*3.14))^0.5</f>
        <v>0.4239</v>
      </c>
      <c r="C11" s="22" t="s">
        <v>16</v>
      </c>
    </row>
    <row r="12" spans="1:6" x14ac:dyDescent="0.25">
      <c r="A12" s="36" t="s">
        <v>88</v>
      </c>
      <c r="B12" s="36"/>
      <c r="C12" s="37"/>
    </row>
    <row r="13" spans="1:6" x14ac:dyDescent="0.25">
      <c r="A13" s="22" t="s">
        <v>67</v>
      </c>
      <c r="B13" s="25">
        <f>B3*B4*0.006</f>
        <v>0.432</v>
      </c>
      <c r="C13" s="22" t="s">
        <v>16</v>
      </c>
    </row>
  </sheetData>
  <mergeCells count="3">
    <mergeCell ref="A6:C6"/>
    <mergeCell ref="A12:C12"/>
    <mergeCell ref="A2:C2"/>
  </mergeCells>
  <phoneticPr fontId="1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6"/>
  <sheetViews>
    <sheetView showGridLines="0" tabSelected="1" workbookViewId="0">
      <selection activeCell="B18" sqref="B18"/>
    </sheetView>
  </sheetViews>
  <sheetFormatPr defaultRowHeight="13.2" x14ac:dyDescent="0.25"/>
  <cols>
    <col min="1" max="1" width="34.6640625" customWidth="1"/>
    <col min="2" max="2" width="8.109375" customWidth="1"/>
    <col min="4" max="4" width="48.109375" customWidth="1"/>
  </cols>
  <sheetData>
    <row r="1" spans="1:6" ht="15.6" x14ac:dyDescent="0.3">
      <c r="A1" s="33" t="s">
        <v>0</v>
      </c>
    </row>
    <row r="2" spans="1:6" x14ac:dyDescent="0.25">
      <c r="A2" s="39" t="s">
        <v>41</v>
      </c>
      <c r="B2" s="39"/>
      <c r="C2" s="39"/>
    </row>
    <row r="3" spans="1:6" x14ac:dyDescent="0.25">
      <c r="A3" s="23" t="s">
        <v>64</v>
      </c>
      <c r="B3" s="41" t="s">
        <v>90</v>
      </c>
      <c r="C3" s="41"/>
    </row>
    <row r="4" spans="1:6" x14ac:dyDescent="0.25">
      <c r="A4" s="28" t="s">
        <v>21</v>
      </c>
      <c r="B4" s="29">
        <v>6</v>
      </c>
      <c r="C4" s="28" t="s">
        <v>16</v>
      </c>
    </row>
    <row r="5" spans="1:6" x14ac:dyDescent="0.25">
      <c r="A5" s="28" t="s">
        <v>22</v>
      </c>
      <c r="B5" s="29">
        <v>13</v>
      </c>
      <c r="C5" s="28" t="s">
        <v>16</v>
      </c>
    </row>
    <row r="6" spans="1:6" x14ac:dyDescent="0.25">
      <c r="A6" s="28" t="s">
        <v>43</v>
      </c>
      <c r="B6" s="29">
        <v>250</v>
      </c>
      <c r="C6" s="28" t="s">
        <v>17</v>
      </c>
    </row>
    <row r="7" spans="1:6" x14ac:dyDescent="0.25">
      <c r="A7" s="28" t="s">
        <v>28</v>
      </c>
      <c r="B7" s="29">
        <v>10250</v>
      </c>
      <c r="C7" s="28" t="s">
        <v>17</v>
      </c>
    </row>
    <row r="8" spans="1:6" x14ac:dyDescent="0.25">
      <c r="A8" s="28" t="s">
        <v>23</v>
      </c>
      <c r="B8" s="29">
        <v>5</v>
      </c>
      <c r="C8" s="28" t="s">
        <v>18</v>
      </c>
    </row>
    <row r="9" spans="1:6" x14ac:dyDescent="0.25">
      <c r="A9" s="28" t="s">
        <v>12</v>
      </c>
      <c r="B9" s="30" t="s">
        <v>26</v>
      </c>
      <c r="C9" s="28"/>
    </row>
    <row r="10" spans="1:6" x14ac:dyDescent="0.25">
      <c r="A10" s="28" t="s">
        <v>13</v>
      </c>
      <c r="B10" s="29">
        <v>4</v>
      </c>
      <c r="C10" s="28"/>
    </row>
    <row r="11" spans="1:6" x14ac:dyDescent="0.25">
      <c r="A11" s="28" t="s">
        <v>29</v>
      </c>
      <c r="B11" s="29">
        <v>1.77</v>
      </c>
      <c r="C11" s="28" t="s">
        <v>19</v>
      </c>
    </row>
    <row r="12" spans="1:6" x14ac:dyDescent="0.25">
      <c r="A12" s="40" t="s">
        <v>42</v>
      </c>
      <c r="B12" s="40"/>
      <c r="C12" s="40"/>
      <c r="F12" s="16"/>
    </row>
    <row r="13" spans="1:6" x14ac:dyDescent="0.25">
      <c r="A13" s="28" t="s">
        <v>30</v>
      </c>
      <c r="B13" s="31">
        <f>0.0001450326*101325*(1 - 2.25577*10^-5*B6/3.28)^5.25588</f>
        <v>14.563116023500619</v>
      </c>
      <c r="C13" s="28" t="s">
        <v>20</v>
      </c>
    </row>
    <row r="14" spans="1:6" x14ac:dyDescent="0.25">
      <c r="A14" s="28" t="s">
        <v>31</v>
      </c>
      <c r="B14" s="31">
        <f>1.450326*10^-4*101325*(1 - 2.25577*10^-5*B7/3.28)^5.25588</f>
        <v>10.007429079555651</v>
      </c>
      <c r="C14" s="28" t="s">
        <v>20</v>
      </c>
    </row>
    <row r="15" spans="1:6" x14ac:dyDescent="0.25">
      <c r="A15" s="28" t="s">
        <v>24</v>
      </c>
      <c r="B15" s="31">
        <f>B11/454*22.16*12*3307/(3.14159*(B4/2)^2*B5)</f>
        <v>9.3275426370061663</v>
      </c>
      <c r="C15" s="28" t="s">
        <v>20</v>
      </c>
    </row>
    <row r="16" spans="1:6" x14ac:dyDescent="0.25">
      <c r="A16" s="28" t="s">
        <v>25</v>
      </c>
      <c r="B16" s="31">
        <f>3.14159*(B4/2)^2*(B13-B14)</f>
        <v>128.80890491605265</v>
      </c>
      <c r="C16" s="28" t="s">
        <v>18</v>
      </c>
    </row>
    <row r="17" spans="1:4" x14ac:dyDescent="0.25">
      <c r="A17" s="28" t="s">
        <v>32</v>
      </c>
      <c r="B17" s="31">
        <f>B10*VLOOKUP(B9,'Screw Shear Strength'!A5:E10,4,FALSE)</f>
        <v>199.34338566815998</v>
      </c>
      <c r="C17" s="28" t="s">
        <v>18</v>
      </c>
      <c r="D17" t="s">
        <v>44</v>
      </c>
    </row>
    <row r="18" spans="1:4" x14ac:dyDescent="0.25">
      <c r="A18" s="28" t="s">
        <v>33</v>
      </c>
      <c r="B18" s="31">
        <f>B10*VLOOKUP(B9,'Screw Shear Strength'!A5:E10,5,FALSE)+B8</f>
        <v>223.03182807454999</v>
      </c>
      <c r="C18" s="28" t="s">
        <v>18</v>
      </c>
      <c r="D18" t="s">
        <v>46</v>
      </c>
    </row>
    <row r="19" spans="1:4" x14ac:dyDescent="0.25">
      <c r="A19" s="28" t="s">
        <v>27</v>
      </c>
      <c r="B19" s="31">
        <f>B15*3.14159*(B4/2)^2+B8</f>
        <v>268.72983205692981</v>
      </c>
      <c r="C19" s="28" t="s">
        <v>18</v>
      </c>
      <c r="D19" t="s">
        <v>63</v>
      </c>
    </row>
    <row r="20" spans="1:4" x14ac:dyDescent="0.25">
      <c r="A20" s="28" t="s">
        <v>45</v>
      </c>
      <c r="B20" s="31">
        <f>B19+B16</f>
        <v>397.53873697298246</v>
      </c>
      <c r="C20" s="28" t="s">
        <v>18</v>
      </c>
    </row>
    <row r="21" spans="1:4" x14ac:dyDescent="0.25">
      <c r="A21" s="32" t="s">
        <v>62</v>
      </c>
      <c r="B21" s="15" t="b">
        <f>AND($B$19-$B$18 &gt; 0,  $B$17 &gt; $B$16)</f>
        <v>1</v>
      </c>
      <c r="C21" s="22"/>
    </row>
    <row r="22" spans="1:4" x14ac:dyDescent="0.25">
      <c r="A22" s="46" t="s">
        <v>91</v>
      </c>
      <c r="B22">
        <f>5*B11</f>
        <v>8.85</v>
      </c>
      <c r="C22" s="46" t="s">
        <v>19</v>
      </c>
      <c r="D22" t="s">
        <v>92</v>
      </c>
    </row>
    <row r="23" spans="1:4" x14ac:dyDescent="0.25">
      <c r="B23" s="1"/>
    </row>
    <row r="25" spans="1:4" x14ac:dyDescent="0.25">
      <c r="B25" s="1"/>
    </row>
    <row r="26" spans="1:4" x14ac:dyDescent="0.25">
      <c r="B26" s="1"/>
    </row>
  </sheetData>
  <mergeCells count="3">
    <mergeCell ref="A2:C2"/>
    <mergeCell ref="A12:C12"/>
    <mergeCell ref="B3:C3"/>
  </mergeCells>
  <phoneticPr fontId="1" type="noConversion"/>
  <conditionalFormatting sqref="B17">
    <cfRule type="cellIs" dxfId="6" priority="1" stopIfTrue="1" operator="lessThan">
      <formula>$B$16</formula>
    </cfRule>
  </conditionalFormatting>
  <conditionalFormatting sqref="A21">
    <cfRule type="cellIs" dxfId="5" priority="2" stopIfTrue="1" operator="equal">
      <formula>TRUE</formula>
    </cfRule>
  </conditionalFormatting>
  <conditionalFormatting sqref="B21">
    <cfRule type="cellIs" dxfId="4" priority="3" stopIfTrue="1" operator="equal">
      <formula>TRUE</formula>
    </cfRule>
    <cfRule type="cellIs" dxfId="3" priority="4" stopIfTrue="1" operator="equal">
      <formula>FALSE</formula>
    </cfRule>
  </conditionalFormatting>
  <conditionalFormatting sqref="B18">
    <cfRule type="cellIs" dxfId="2" priority="5" stopIfTrue="1" operator="greaterThan">
      <formula>$B$19</formula>
    </cfRule>
  </conditionalFormatting>
  <conditionalFormatting sqref="B19">
    <cfRule type="cellIs" dxfId="1" priority="6" stopIfTrue="1" operator="lessThan">
      <formula>$B$18</formula>
    </cfRule>
  </conditionalFormatting>
  <conditionalFormatting sqref="B16">
    <cfRule type="cellIs" dxfId="0" priority="7" stopIfTrue="1" operator="greaterThan">
      <formula>$B$17</formula>
    </cfRule>
  </conditionalFormatting>
  <pageMargins left="0.75" right="0.75" top="1" bottom="1" header="0.5" footer="0.5"/>
  <pageSetup scale="90" orientation="portrait" horizontalDpi="4294967293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showGridLines="0" workbookViewId="0">
      <selection activeCell="F13" sqref="F13"/>
    </sheetView>
  </sheetViews>
  <sheetFormatPr defaultRowHeight="13.2" x14ac:dyDescent="0.25"/>
  <cols>
    <col min="3" max="3" width="11.5546875" bestFit="1" customWidth="1"/>
    <col min="4" max="4" width="10.5546875" bestFit="1" customWidth="1"/>
    <col min="5" max="5" width="11.5546875" bestFit="1" customWidth="1"/>
  </cols>
  <sheetData>
    <row r="1" spans="1:5" ht="15.6" x14ac:dyDescent="0.3">
      <c r="A1" s="33" t="s">
        <v>86</v>
      </c>
    </row>
    <row r="2" spans="1:5" x14ac:dyDescent="0.25">
      <c r="A2" s="43" t="s">
        <v>40</v>
      </c>
      <c r="B2" s="43"/>
      <c r="C2" s="43"/>
      <c r="D2" s="10" t="s">
        <v>7</v>
      </c>
      <c r="E2" s="10" t="s">
        <v>8</v>
      </c>
    </row>
    <row r="3" spans="1:5" x14ac:dyDescent="0.25">
      <c r="A3" s="43"/>
      <c r="B3" s="43"/>
      <c r="C3" s="43"/>
      <c r="D3" s="11">
        <v>9600</v>
      </c>
      <c r="E3" s="11">
        <v>10500</v>
      </c>
    </row>
    <row r="4" spans="1:5" ht="25.5" customHeight="1" x14ac:dyDescent="0.25">
      <c r="A4" s="2" t="s">
        <v>1</v>
      </c>
      <c r="B4" s="2" t="s">
        <v>3</v>
      </c>
      <c r="C4" s="2" t="s">
        <v>4</v>
      </c>
      <c r="D4" s="42" t="s">
        <v>5</v>
      </c>
      <c r="E4" s="42"/>
    </row>
    <row r="5" spans="1:5" x14ac:dyDescent="0.25">
      <c r="A5" s="2" t="s">
        <v>2</v>
      </c>
      <c r="B5" s="2" t="s">
        <v>6</v>
      </c>
      <c r="C5" s="2" t="s">
        <v>6</v>
      </c>
      <c r="D5" s="3" t="s">
        <v>7</v>
      </c>
      <c r="E5" s="3" t="s">
        <v>8</v>
      </c>
    </row>
    <row r="6" spans="1:5" x14ac:dyDescent="0.25">
      <c r="A6" s="4" t="s">
        <v>9</v>
      </c>
      <c r="B6" s="5">
        <v>5.9420000000000001E-2</v>
      </c>
      <c r="C6" s="6">
        <f>3.14159*(B6/2)^2</f>
        <v>2.773031541719E-3</v>
      </c>
      <c r="D6" s="7">
        <f>D$3*C6</f>
        <v>26.621102800502399</v>
      </c>
      <c r="E6" s="7">
        <f>E$3*C6</f>
        <v>29.116831188049499</v>
      </c>
    </row>
    <row r="7" spans="1:5" x14ac:dyDescent="0.25">
      <c r="A7" s="4" t="s">
        <v>14</v>
      </c>
      <c r="B7" s="5">
        <v>6.4100000000000004E-2</v>
      </c>
      <c r="C7" s="6">
        <f>3.14159*(B7/2)^2</f>
        <v>3.2270491019750006E-3</v>
      </c>
      <c r="D7" s="7">
        <f>D$3*C7</f>
        <v>30.979671378960006</v>
      </c>
      <c r="E7" s="7">
        <f>E$3*C7</f>
        <v>33.884015570737503</v>
      </c>
    </row>
    <row r="8" spans="1:5" x14ac:dyDescent="0.25">
      <c r="A8" s="4" t="s">
        <v>26</v>
      </c>
      <c r="B8" s="5">
        <v>8.1299999999999997E-2</v>
      </c>
      <c r="C8" s="6">
        <f>3.14159*(B8/2)^2</f>
        <v>5.1912340017749997E-3</v>
      </c>
      <c r="D8" s="7">
        <f>D$3*C8</f>
        <v>49.835846417039996</v>
      </c>
      <c r="E8" s="7">
        <f>E$3*C8</f>
        <v>54.507957018637498</v>
      </c>
    </row>
    <row r="9" spans="1:5" x14ac:dyDescent="0.25">
      <c r="A9" s="4" t="s">
        <v>10</v>
      </c>
      <c r="B9" s="5">
        <v>9.3960000000000002E-2</v>
      </c>
      <c r="C9" s="6">
        <f>3.14159*(B9/2)^2</f>
        <v>6.9338673774359998E-3</v>
      </c>
      <c r="D9" s="7">
        <f>D$3*C9</f>
        <v>66.565126823385597</v>
      </c>
      <c r="E9" s="7">
        <f>E$3*C9</f>
        <v>72.805607463078005</v>
      </c>
    </row>
    <row r="10" spans="1:5" x14ac:dyDescent="0.25">
      <c r="A10" s="4" t="s">
        <v>15</v>
      </c>
      <c r="B10" s="5">
        <v>9.9699999999999997E-2</v>
      </c>
      <c r="C10" s="6">
        <f>3.14159*(B10/2)^2</f>
        <v>7.8069218357749983E-3</v>
      </c>
      <c r="D10" s="7">
        <f>D$3*C10</f>
        <v>74.946449623439989</v>
      </c>
      <c r="E10" s="7">
        <f>E$3*C10</f>
        <v>81.972679275637489</v>
      </c>
    </row>
    <row r="12" spans="1:5" x14ac:dyDescent="0.25">
      <c r="A12" t="s">
        <v>11</v>
      </c>
    </row>
    <row r="16" spans="1:5" x14ac:dyDescent="0.25">
      <c r="A16" t="s">
        <v>81</v>
      </c>
    </row>
    <row r="17" spans="1:7" ht="15.75" customHeight="1" x14ac:dyDescent="0.3">
      <c r="A17" s="44" t="s">
        <v>74</v>
      </c>
      <c r="B17" s="44"/>
      <c r="C17" s="44"/>
      <c r="D17" s="18"/>
      <c r="E17" s="45" t="s">
        <v>75</v>
      </c>
      <c r="F17" s="45"/>
      <c r="G17" s="45"/>
    </row>
    <row r="18" spans="1:7" ht="39.6" x14ac:dyDescent="0.25">
      <c r="A18" s="19" t="s">
        <v>76</v>
      </c>
      <c r="B18" s="19" t="s">
        <v>77</v>
      </c>
      <c r="C18" s="19" t="s">
        <v>78</v>
      </c>
      <c r="D18" s="18"/>
      <c r="E18" s="19" t="s">
        <v>76</v>
      </c>
      <c r="F18" s="19" t="s">
        <v>77</v>
      </c>
      <c r="G18" s="19" t="s">
        <v>78</v>
      </c>
    </row>
    <row r="19" spans="1:7" x14ac:dyDescent="0.25">
      <c r="A19" s="20">
        <v>2</v>
      </c>
      <c r="B19" s="20">
        <v>53.122999999999998</v>
      </c>
      <c r="C19" s="20">
        <v>26.56</v>
      </c>
      <c r="D19" s="20"/>
      <c r="E19" s="20">
        <v>2</v>
      </c>
      <c r="F19" s="20">
        <v>81.304000000000002</v>
      </c>
      <c r="G19" s="20">
        <v>40.65</v>
      </c>
    </row>
    <row r="20" spans="1:7" x14ac:dyDescent="0.25">
      <c r="A20" s="20">
        <v>2</v>
      </c>
      <c r="B20" s="20">
        <v>45.951999999999998</v>
      </c>
      <c r="C20" s="20">
        <v>22.98</v>
      </c>
      <c r="D20" s="20"/>
      <c r="E20" s="20">
        <v>2</v>
      </c>
      <c r="F20" s="20">
        <v>85.147999999999996</v>
      </c>
      <c r="G20" s="20">
        <v>42.57</v>
      </c>
    </row>
    <row r="21" spans="1:7" x14ac:dyDescent="0.25">
      <c r="A21" s="20">
        <v>2</v>
      </c>
      <c r="B21" s="20">
        <v>50.847999999999999</v>
      </c>
      <c r="C21" s="20">
        <v>25.42</v>
      </c>
      <c r="D21" s="20"/>
      <c r="E21" s="20">
        <v>2</v>
      </c>
      <c r="F21" s="20">
        <v>75.944000000000003</v>
      </c>
      <c r="G21" s="20">
        <v>37.57</v>
      </c>
    </row>
    <row r="22" spans="1:7" x14ac:dyDescent="0.25">
      <c r="A22" s="20">
        <v>2</v>
      </c>
      <c r="B22" s="20">
        <v>51.798999999999999</v>
      </c>
      <c r="C22" s="20">
        <v>25.9</v>
      </c>
      <c r="D22" s="20"/>
      <c r="E22" s="20">
        <v>2</v>
      </c>
      <c r="F22" s="20">
        <v>80.391000000000005</v>
      </c>
      <c r="G22" s="20">
        <v>40.200000000000003</v>
      </c>
    </row>
    <row r="23" spans="1:7" x14ac:dyDescent="0.25">
      <c r="A23" s="20">
        <v>2</v>
      </c>
      <c r="B23" s="20">
        <v>47.923999999999999</v>
      </c>
      <c r="C23" s="20">
        <v>23.96</v>
      </c>
      <c r="D23" s="20"/>
      <c r="E23" s="20">
        <v>2</v>
      </c>
      <c r="F23" s="20">
        <v>80.908000000000001</v>
      </c>
      <c r="G23" s="20">
        <v>40.450000000000003</v>
      </c>
    </row>
    <row r="24" spans="1:7" x14ac:dyDescent="0.25">
      <c r="A24" s="21" t="s">
        <v>79</v>
      </c>
      <c r="B24" s="21">
        <v>49.93</v>
      </c>
      <c r="C24" s="21">
        <v>24.64</v>
      </c>
      <c r="D24" s="20"/>
      <c r="E24" s="20"/>
      <c r="F24" s="21">
        <v>80.75</v>
      </c>
      <c r="G24" s="21">
        <v>40.299999999999997</v>
      </c>
    </row>
    <row r="25" spans="1:7" x14ac:dyDescent="0.25">
      <c r="A25" s="20"/>
      <c r="B25" s="20"/>
      <c r="C25" s="20"/>
      <c r="D25" s="20"/>
      <c r="E25" s="20"/>
      <c r="F25" s="20"/>
      <c r="G25" s="20"/>
    </row>
    <row r="26" spans="1:7" x14ac:dyDescent="0.25">
      <c r="A26" s="20">
        <v>3</v>
      </c>
      <c r="B26" s="20">
        <v>62.637</v>
      </c>
      <c r="C26" s="20">
        <v>20.88</v>
      </c>
      <c r="D26" s="20"/>
      <c r="E26" s="20">
        <v>3</v>
      </c>
      <c r="F26" s="20">
        <v>119.273</v>
      </c>
      <c r="G26" s="20">
        <v>39.76</v>
      </c>
    </row>
    <row r="27" spans="1:7" x14ac:dyDescent="0.25">
      <c r="A27" s="20">
        <v>3</v>
      </c>
      <c r="B27" s="20">
        <v>60.569000000000003</v>
      </c>
      <c r="C27" s="20">
        <v>20.190000000000001</v>
      </c>
      <c r="D27" s="20"/>
      <c r="E27" s="20">
        <v>3</v>
      </c>
      <c r="F27" s="20">
        <v>110.999</v>
      </c>
      <c r="G27" s="20">
        <v>37</v>
      </c>
    </row>
    <row r="28" spans="1:7" x14ac:dyDescent="0.25">
      <c r="A28" s="20">
        <v>3</v>
      </c>
      <c r="B28" s="20">
        <v>64.394999999999996</v>
      </c>
      <c r="C28" s="20">
        <v>21.47</v>
      </c>
      <c r="D28" s="20"/>
      <c r="E28" s="20">
        <v>3</v>
      </c>
      <c r="F28" s="20">
        <v>99.968999999999994</v>
      </c>
      <c r="G28" s="20">
        <v>33.32</v>
      </c>
    </row>
    <row r="29" spans="1:7" x14ac:dyDescent="0.25">
      <c r="A29" s="20">
        <v>3</v>
      </c>
      <c r="B29" s="20">
        <v>62.412999999999997</v>
      </c>
      <c r="C29" s="20">
        <v>20.8</v>
      </c>
      <c r="D29" s="20"/>
      <c r="E29" s="20">
        <v>3</v>
      </c>
      <c r="F29" s="20">
        <v>113.554</v>
      </c>
      <c r="G29" s="20">
        <v>37.85</v>
      </c>
    </row>
    <row r="30" spans="1:7" x14ac:dyDescent="0.25">
      <c r="A30" s="20">
        <v>3</v>
      </c>
      <c r="B30" s="20">
        <v>68.760000000000005</v>
      </c>
      <c r="C30" s="20">
        <v>22.92</v>
      </c>
      <c r="D30" s="20"/>
      <c r="E30" s="20">
        <v>3</v>
      </c>
      <c r="F30" s="20">
        <v>116.208</v>
      </c>
      <c r="G30" s="20">
        <v>38.729999999999997</v>
      </c>
    </row>
    <row r="31" spans="1:7" x14ac:dyDescent="0.25">
      <c r="A31" s="20">
        <v>3</v>
      </c>
      <c r="B31" s="20">
        <v>66.643000000000001</v>
      </c>
      <c r="C31" s="20">
        <v>22.21</v>
      </c>
      <c r="D31" s="20"/>
      <c r="E31" s="20">
        <v>3</v>
      </c>
      <c r="F31" s="20">
        <v>121.121</v>
      </c>
      <c r="G31" s="20">
        <v>40.369999999999997</v>
      </c>
    </row>
    <row r="32" spans="1:7" x14ac:dyDescent="0.25">
      <c r="A32" s="20"/>
      <c r="B32" s="20"/>
      <c r="C32" s="20"/>
      <c r="D32" s="20"/>
      <c r="E32" s="20">
        <v>3</v>
      </c>
      <c r="F32" s="20">
        <v>123.68899999999999</v>
      </c>
      <c r="G32" s="20">
        <v>41.23</v>
      </c>
    </row>
    <row r="33" spans="1:7" x14ac:dyDescent="0.25">
      <c r="A33" s="21" t="s">
        <v>79</v>
      </c>
      <c r="B33" s="21">
        <v>64.239999999999995</v>
      </c>
      <c r="C33" s="21">
        <v>21.41</v>
      </c>
      <c r="D33" s="20"/>
      <c r="E33" s="20"/>
      <c r="F33" s="21">
        <v>114.97</v>
      </c>
      <c r="G33" s="21">
        <v>38.32</v>
      </c>
    </row>
    <row r="34" spans="1:7" x14ac:dyDescent="0.25">
      <c r="A34" s="20"/>
      <c r="B34" s="20"/>
      <c r="C34" s="20"/>
      <c r="D34" s="20"/>
      <c r="E34" s="20"/>
      <c r="F34" s="20"/>
      <c r="G34" s="20"/>
    </row>
    <row r="35" spans="1:7" x14ac:dyDescent="0.25">
      <c r="A35" s="20">
        <v>4</v>
      </c>
      <c r="B35" s="20">
        <v>86.698999999999998</v>
      </c>
      <c r="C35" s="20">
        <v>21.67</v>
      </c>
      <c r="D35" s="20"/>
      <c r="E35" s="20">
        <v>4</v>
      </c>
      <c r="F35" s="20">
        <v>143.405</v>
      </c>
      <c r="G35" s="20">
        <v>35.85</v>
      </c>
    </row>
    <row r="36" spans="1:7" x14ac:dyDescent="0.25">
      <c r="A36" s="20">
        <v>4</v>
      </c>
      <c r="B36" s="20">
        <v>86.855000000000004</v>
      </c>
      <c r="C36" s="20">
        <v>21.71</v>
      </c>
      <c r="D36" s="20"/>
      <c r="E36" s="20">
        <v>4</v>
      </c>
      <c r="F36" s="20">
        <v>152.36799999999999</v>
      </c>
      <c r="G36" s="20">
        <v>38.090000000000003</v>
      </c>
    </row>
    <row r="37" spans="1:7" x14ac:dyDescent="0.25">
      <c r="A37" s="20">
        <v>4</v>
      </c>
      <c r="B37" s="20">
        <v>78.771000000000001</v>
      </c>
      <c r="C37" s="20">
        <v>19.690000000000001</v>
      </c>
      <c r="D37" s="20"/>
      <c r="E37" s="20">
        <v>4</v>
      </c>
      <c r="F37" s="20">
        <v>142.02600000000001</v>
      </c>
      <c r="G37" s="20">
        <v>35.51</v>
      </c>
    </row>
    <row r="38" spans="1:7" x14ac:dyDescent="0.25">
      <c r="A38" s="20">
        <v>4</v>
      </c>
      <c r="B38" s="20">
        <v>84.269000000000005</v>
      </c>
      <c r="C38" s="20">
        <v>21.07</v>
      </c>
      <c r="D38" s="20"/>
      <c r="E38" s="20">
        <v>4</v>
      </c>
      <c r="F38" s="20">
        <v>160.489</v>
      </c>
      <c r="G38" s="20">
        <v>40.119999999999997</v>
      </c>
    </row>
    <row r="39" spans="1:7" x14ac:dyDescent="0.25">
      <c r="A39" s="20">
        <v>4</v>
      </c>
      <c r="B39" s="20">
        <v>85.617000000000004</v>
      </c>
      <c r="C39" s="20">
        <v>21.4</v>
      </c>
      <c r="D39" s="20"/>
      <c r="E39" s="20">
        <v>4</v>
      </c>
      <c r="F39" s="20">
        <v>153.30199999999999</v>
      </c>
      <c r="G39" s="20">
        <v>38.33</v>
      </c>
    </row>
    <row r="40" spans="1:7" x14ac:dyDescent="0.25">
      <c r="A40" s="20">
        <v>4</v>
      </c>
      <c r="B40" s="20">
        <v>90.402000000000001</v>
      </c>
      <c r="C40" s="20">
        <v>22.6</v>
      </c>
      <c r="D40" s="20"/>
      <c r="E40" s="20">
        <v>4</v>
      </c>
      <c r="F40" s="20">
        <v>154.76599999999999</v>
      </c>
      <c r="G40" s="20">
        <v>38.69</v>
      </c>
    </row>
    <row r="41" spans="1:7" x14ac:dyDescent="0.25">
      <c r="A41" s="20"/>
      <c r="B41" s="20"/>
      <c r="C41" s="20"/>
      <c r="D41" s="20"/>
      <c r="E41" s="20">
        <v>4</v>
      </c>
      <c r="F41" s="20">
        <v>160.36799999999999</v>
      </c>
      <c r="G41" s="20">
        <v>40.090000000000003</v>
      </c>
    </row>
    <row r="42" spans="1:7" x14ac:dyDescent="0.25">
      <c r="A42" s="21" t="s">
        <v>79</v>
      </c>
      <c r="B42" s="21">
        <v>84.44</v>
      </c>
      <c r="C42" s="21">
        <v>21.36</v>
      </c>
      <c r="D42" s="20"/>
      <c r="E42" s="20"/>
      <c r="F42" s="21">
        <v>152.38</v>
      </c>
      <c r="G42" s="21">
        <v>38.21</v>
      </c>
    </row>
    <row r="44" spans="1:7" x14ac:dyDescent="0.25">
      <c r="A44" t="s">
        <v>80</v>
      </c>
    </row>
  </sheetData>
  <mergeCells count="4">
    <mergeCell ref="D4:E4"/>
    <mergeCell ref="A2:C3"/>
    <mergeCell ref="A17:C17"/>
    <mergeCell ref="E17:G17"/>
  </mergeCells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7"/>
  <sheetViews>
    <sheetView showGridLines="0" topLeftCell="A2" zoomScale="90" zoomScaleNormal="90" workbookViewId="0">
      <selection activeCell="B16" sqref="B16"/>
    </sheetView>
  </sheetViews>
  <sheetFormatPr defaultRowHeight="13.2" x14ac:dyDescent="0.25"/>
  <cols>
    <col min="1" max="1" width="45" customWidth="1"/>
    <col min="2" max="2" width="52.88671875" customWidth="1"/>
  </cols>
  <sheetData>
    <row r="1" spans="1:4" ht="15.6" x14ac:dyDescent="0.3">
      <c r="A1" s="33" t="s">
        <v>85</v>
      </c>
    </row>
    <row r="2" spans="1:4" x14ac:dyDescent="0.25">
      <c r="A2" s="8" t="s">
        <v>38</v>
      </c>
      <c r="B2" s="8" t="s">
        <v>37</v>
      </c>
    </row>
    <row r="3" spans="1:4" x14ac:dyDescent="0.25">
      <c r="A3" s="9" t="s">
        <v>34</v>
      </c>
      <c r="B3" s="9" t="s">
        <v>39</v>
      </c>
    </row>
    <row r="4" spans="1:4" x14ac:dyDescent="0.25">
      <c r="A4" s="8" t="s">
        <v>36</v>
      </c>
      <c r="B4" s="13" t="s">
        <v>35</v>
      </c>
    </row>
    <row r="5" spans="1:4" x14ac:dyDescent="0.25">
      <c r="A5" s="9" t="s">
        <v>49</v>
      </c>
      <c r="B5" s="14" t="s">
        <v>48</v>
      </c>
    </row>
    <row r="6" spans="1:4" x14ac:dyDescent="0.25">
      <c r="A6" s="8" t="s">
        <v>47</v>
      </c>
      <c r="B6" s="8" t="s">
        <v>56</v>
      </c>
    </row>
    <row r="7" spans="1:4" x14ac:dyDescent="0.25">
      <c r="A7" s="9" t="s">
        <v>54</v>
      </c>
      <c r="B7" s="9" t="s">
        <v>50</v>
      </c>
    </row>
    <row r="8" spans="1:4" x14ac:dyDescent="0.25">
      <c r="A8" s="8" t="s">
        <v>55</v>
      </c>
      <c r="B8" s="8" t="s">
        <v>51</v>
      </c>
    </row>
    <row r="9" spans="1:4" x14ac:dyDescent="0.25">
      <c r="A9" s="9" t="s">
        <v>53</v>
      </c>
      <c r="B9" s="9" t="s">
        <v>52</v>
      </c>
    </row>
    <row r="10" spans="1:4" x14ac:dyDescent="0.25">
      <c r="A10" s="8" t="s">
        <v>57</v>
      </c>
      <c r="B10" s="8" t="s">
        <v>58</v>
      </c>
    </row>
    <row r="11" spans="1:4" x14ac:dyDescent="0.25">
      <c r="A11" s="9" t="s">
        <v>59</v>
      </c>
      <c r="B11" s="9" t="s">
        <v>60</v>
      </c>
    </row>
    <row r="13" spans="1:4" x14ac:dyDescent="0.25">
      <c r="A13" s="12" t="s">
        <v>61</v>
      </c>
    </row>
    <row r="15" spans="1:4" x14ac:dyDescent="0.25">
      <c r="C15" s="35" t="s">
        <v>89</v>
      </c>
      <c r="D15" s="35" t="s">
        <v>38</v>
      </c>
    </row>
    <row r="16" spans="1:4" x14ac:dyDescent="0.25">
      <c r="C16" s="22">
        <v>2000</v>
      </c>
      <c r="D16" s="22"/>
    </row>
    <row r="17" spans="3:4" x14ac:dyDescent="0.25">
      <c r="C17" s="22">
        <v>0</v>
      </c>
      <c r="D17" s="34">
        <f>0.0001450326*101325*(1 - 2.25577*10^-5*C17/3.28)^5.25588</f>
        <v>14.695428195</v>
      </c>
    </row>
    <row r="18" spans="3:4" x14ac:dyDescent="0.25">
      <c r="C18" s="22">
        <f>C17+C$16</f>
        <v>2000</v>
      </c>
      <c r="D18" s="34">
        <f t="shared" ref="D18:D37" si="0">0.0001450326*101325*(1 - 2.25577*10^-5*C18/3.28)^5.25588</f>
        <v>13.663685503684709</v>
      </c>
    </row>
    <row r="19" spans="3:4" x14ac:dyDescent="0.25">
      <c r="C19" s="22">
        <f t="shared" ref="C19:C37" si="1">C18+C$16</f>
        <v>4000</v>
      </c>
      <c r="D19" s="34">
        <f t="shared" si="0"/>
        <v>12.691397542537908</v>
      </c>
    </row>
    <row r="20" spans="3:4" x14ac:dyDescent="0.25">
      <c r="C20" s="22">
        <f t="shared" si="1"/>
        <v>6000</v>
      </c>
      <c r="D20" s="34">
        <f t="shared" si="0"/>
        <v>11.775906992470363</v>
      </c>
    </row>
    <row r="21" spans="3:4" x14ac:dyDescent="0.25">
      <c r="C21" s="22">
        <f t="shared" si="1"/>
        <v>8000</v>
      </c>
      <c r="D21" s="34">
        <f t="shared" si="0"/>
        <v>10.914639978468539</v>
      </c>
    </row>
    <row r="22" spans="3:4" x14ac:dyDescent="0.25">
      <c r="C22" s="22">
        <f t="shared" si="1"/>
        <v>10000</v>
      </c>
      <c r="D22" s="34">
        <f t="shared" si="0"/>
        <v>10.105104590103352</v>
      </c>
    </row>
    <row r="23" spans="3:4" x14ac:dyDescent="0.25">
      <c r="C23" s="22">
        <f t="shared" si="1"/>
        <v>12000</v>
      </c>
      <c r="D23" s="34">
        <f t="shared" si="0"/>
        <v>9.3448894074607711</v>
      </c>
    </row>
    <row r="24" spans="3:4" x14ac:dyDescent="0.25">
      <c r="C24" s="22">
        <f t="shared" si="1"/>
        <v>14000</v>
      </c>
      <c r="D24" s="34">
        <f t="shared" si="0"/>
        <v>8.6316620325527094</v>
      </c>
    </row>
    <row r="25" spans="3:4" x14ac:dyDescent="0.25">
      <c r="C25" s="22">
        <f t="shared" si="1"/>
        <v>16000</v>
      </c>
      <c r="D25" s="34">
        <f t="shared" si="0"/>
        <v>7.9631676262684428</v>
      </c>
    </row>
    <row r="26" spans="3:4" x14ac:dyDescent="0.25">
      <c r="C26" s="22">
        <f t="shared" si="1"/>
        <v>18000</v>
      </c>
      <c r="D26" s="34">
        <f t="shared" si="0"/>
        <v>7.3372274509282569</v>
      </c>
    </row>
    <row r="27" spans="3:4" x14ac:dyDescent="0.25">
      <c r="C27" s="22">
        <f t="shared" si="1"/>
        <v>20000</v>
      </c>
      <c r="D27" s="34">
        <f t="shared" si="0"/>
        <v>6.7517374185025902</v>
      </c>
    </row>
    <row r="28" spans="3:4" x14ac:dyDescent="0.25">
      <c r="C28" s="22">
        <f t="shared" si="1"/>
        <v>22000</v>
      </c>
      <c r="D28" s="34">
        <f t="shared" si="0"/>
        <v>6.2046666445618079</v>
      </c>
    </row>
    <row r="29" spans="3:4" x14ac:dyDescent="0.25">
      <c r="C29" s="22">
        <f t="shared" si="1"/>
        <v>24000</v>
      </c>
      <c r="D29" s="34">
        <f t="shared" si="0"/>
        <v>5.6940560080233444</v>
      </c>
    </row>
    <row r="30" spans="3:4" x14ac:dyDescent="0.25">
      <c r="C30" s="22">
        <f t="shared" si="1"/>
        <v>26000</v>
      </c>
      <c r="D30" s="34">
        <f t="shared" si="0"/>
        <v>5.2180167167649509</v>
      </c>
    </row>
    <row r="31" spans="3:4" x14ac:dyDescent="0.25">
      <c r="C31" s="22">
        <f t="shared" si="1"/>
        <v>28000</v>
      </c>
      <c r="D31" s="34">
        <f t="shared" si="0"/>
        <v>4.7747288791746234</v>
      </c>
    </row>
    <row r="32" spans="3:4" x14ac:dyDescent="0.25">
      <c r="C32" s="22">
        <f t="shared" si="1"/>
        <v>30000</v>
      </c>
      <c r="D32" s="34">
        <f t="shared" si="0"/>
        <v>4.3624400817098765</v>
      </c>
    </row>
    <row r="33" spans="3:4" x14ac:dyDescent="0.25">
      <c r="C33" s="22">
        <f t="shared" si="1"/>
        <v>32000</v>
      </c>
      <c r="D33" s="34">
        <f t="shared" si="0"/>
        <v>3.9794639725411169</v>
      </c>
    </row>
    <row r="34" spans="3:4" x14ac:dyDescent="0.25">
      <c r="C34" s="22">
        <f t="shared" si="1"/>
        <v>34000</v>
      </c>
      <c r="D34" s="34">
        <f t="shared" si="0"/>
        <v>3.6241788513560729</v>
      </c>
    </row>
    <row r="35" spans="3:4" x14ac:dyDescent="0.25">
      <c r="C35" s="22">
        <f t="shared" si="1"/>
        <v>36000</v>
      </c>
      <c r="D35" s="34">
        <f t="shared" si="0"/>
        <v>3.2950262654045783</v>
      </c>
    </row>
    <row r="36" spans="3:4" x14ac:dyDescent="0.25">
      <c r="C36" s="22">
        <f t="shared" si="1"/>
        <v>38000</v>
      </c>
      <c r="D36" s="34">
        <f t="shared" si="0"/>
        <v>2.9905096118654972</v>
      </c>
    </row>
    <row r="37" spans="3:4" x14ac:dyDescent="0.25">
      <c r="C37" s="22">
        <f t="shared" si="1"/>
        <v>40000</v>
      </c>
      <c r="D37" s="34">
        <f t="shared" si="0"/>
        <v>2.7091927466199941</v>
      </c>
    </row>
  </sheetData>
  <phoneticPr fontId="1" type="noConversion"/>
  <pageMargins left="0.75" right="0.75" top="1" bottom="1" header="0.5" footer="0.5"/>
  <pageSetup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Altimeter Vent Size</vt:lpstr>
      <vt:lpstr>Black Powder Calculator</vt:lpstr>
      <vt:lpstr>Screw Shear Strength</vt:lpstr>
      <vt:lpstr>Black Powder Calc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fetchen</dc:creator>
  <cp:lastModifiedBy>Daniel Kolano</cp:lastModifiedBy>
  <cp:lastPrinted>2009-11-03T03:41:50Z</cp:lastPrinted>
  <dcterms:created xsi:type="dcterms:W3CDTF">1996-10-14T23:33:28Z</dcterms:created>
  <dcterms:modified xsi:type="dcterms:W3CDTF">2018-04-06T23:42:55Z</dcterms:modified>
</cp:coreProperties>
</file>